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navalag\Downloads\"/>
    </mc:Choice>
  </mc:AlternateContent>
  <xr:revisionPtr revIDLastSave="0" documentId="13_ncr:1_{A384D755-BB43-403E-A261-9EAA5BBDCF87}" xr6:coauthVersionLast="47" xr6:coauthVersionMax="47" xr10:uidLastSave="{00000000-0000-0000-0000-000000000000}"/>
  <bookViews>
    <workbookView xWindow="-110" yWindow="-110" windowWidth="19420" windowHeight="10300" firstSheet="7" activeTab="9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2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7" roundtripDataChecksum="AocCtlsZ8O6AgpYcR9HvrKgYcT3tyHp7k/8rAjnI5n0="/>
    </ext>
  </extLst>
</workbook>
</file>

<file path=xl/calcChain.xml><?xml version="1.0" encoding="utf-8"?>
<calcChain xmlns="http://schemas.openxmlformats.org/spreadsheetml/2006/main">
  <c r="N36" i="13" l="1"/>
  <c r="N35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B30" i="13"/>
  <c r="N28" i="13"/>
  <c r="N27" i="13"/>
  <c r="N26" i="13"/>
  <c r="N25" i="13"/>
  <c r="N24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B19" i="13"/>
  <c r="N18" i="13"/>
  <c r="N8" i="13"/>
  <c r="M8" i="13"/>
  <c r="L8" i="13"/>
  <c r="K8" i="13"/>
  <c r="J8" i="13"/>
  <c r="I8" i="13"/>
  <c r="H8" i="13"/>
  <c r="G8" i="13"/>
  <c r="F8" i="13"/>
  <c r="E8" i="13"/>
  <c r="D8" i="13"/>
  <c r="C8" i="13"/>
  <c r="B8" i="13"/>
  <c r="N6" i="13"/>
  <c r="N5" i="13"/>
  <c r="N4" i="13"/>
  <c r="N3" i="13"/>
  <c r="N2" i="13"/>
  <c r="H17" i="12"/>
  <c r="G17" i="12"/>
  <c r="F17" i="12"/>
  <c r="D17" i="12"/>
  <c r="B17" i="12"/>
  <c r="H15" i="12"/>
  <c r="G15" i="12"/>
  <c r="F15" i="12"/>
  <c r="D15" i="12"/>
  <c r="B15" i="12"/>
  <c r="H13" i="12"/>
  <c r="D13" i="12"/>
  <c r="I10" i="12"/>
  <c r="I13" i="12" s="1"/>
  <c r="H10" i="12"/>
  <c r="G10" i="12"/>
  <c r="G13" i="12" s="1"/>
  <c r="F10" i="12"/>
  <c r="F13" i="12" s="1"/>
  <c r="E10" i="12"/>
  <c r="E13" i="12" s="1"/>
  <c r="D10" i="12"/>
  <c r="C10" i="12"/>
  <c r="C13" i="12" s="1"/>
  <c r="B10" i="12"/>
  <c r="B13" i="12" s="1"/>
  <c r="H9" i="12"/>
  <c r="G9" i="12"/>
  <c r="F9" i="12"/>
  <c r="D9" i="12"/>
  <c r="B9" i="12"/>
  <c r="H8" i="12"/>
  <c r="G8" i="12"/>
  <c r="F8" i="12"/>
  <c r="D8" i="12"/>
  <c r="B8" i="12"/>
  <c r="H17" i="11"/>
  <c r="G17" i="11"/>
  <c r="F17" i="11"/>
  <c r="D17" i="11"/>
  <c r="B17" i="11"/>
  <c r="H15" i="11"/>
  <c r="G15" i="11"/>
  <c r="F15" i="11"/>
  <c r="D15" i="11"/>
  <c r="B15" i="11"/>
  <c r="H13" i="11"/>
  <c r="D13" i="11"/>
  <c r="I10" i="11"/>
  <c r="I13" i="11" s="1"/>
  <c r="H10" i="11"/>
  <c r="G10" i="11"/>
  <c r="G13" i="11" s="1"/>
  <c r="F10" i="11"/>
  <c r="F13" i="11" s="1"/>
  <c r="E10" i="11"/>
  <c r="E13" i="11" s="1"/>
  <c r="D10" i="11"/>
  <c r="C10" i="11"/>
  <c r="C13" i="11" s="1"/>
  <c r="B10" i="11"/>
  <c r="B13" i="11" s="1"/>
  <c r="H9" i="11"/>
  <c r="G9" i="11"/>
  <c r="F9" i="11"/>
  <c r="D9" i="11"/>
  <c r="B9" i="11"/>
  <c r="H8" i="11"/>
  <c r="G8" i="11"/>
  <c r="F8" i="11"/>
  <c r="D8" i="11"/>
  <c r="B8" i="11"/>
  <c r="H17" i="10"/>
  <c r="G17" i="10"/>
  <c r="F17" i="10"/>
  <c r="D17" i="10"/>
  <c r="B17" i="10"/>
  <c r="H15" i="10"/>
  <c r="G15" i="10"/>
  <c r="F15" i="10"/>
  <c r="D15" i="10"/>
  <c r="B15" i="10"/>
  <c r="H13" i="10"/>
  <c r="D13" i="10"/>
  <c r="I10" i="10"/>
  <c r="I13" i="10" s="1"/>
  <c r="H10" i="10"/>
  <c r="G10" i="10"/>
  <c r="G13" i="10" s="1"/>
  <c r="F10" i="10"/>
  <c r="F13" i="10" s="1"/>
  <c r="E10" i="10"/>
  <c r="E13" i="10" s="1"/>
  <c r="D10" i="10"/>
  <c r="C10" i="10"/>
  <c r="C13" i="10" s="1"/>
  <c r="B10" i="10"/>
  <c r="B13" i="10" s="1"/>
  <c r="H9" i="10"/>
  <c r="G9" i="10"/>
  <c r="F9" i="10"/>
  <c r="D9" i="10"/>
  <c r="B9" i="10"/>
  <c r="H8" i="10"/>
  <c r="G8" i="10"/>
  <c r="F8" i="10"/>
  <c r="D8" i="10"/>
  <c r="B8" i="10"/>
  <c r="H17" i="9"/>
  <c r="G17" i="9"/>
  <c r="F17" i="9"/>
  <c r="D17" i="9"/>
  <c r="B17" i="9"/>
  <c r="H15" i="9"/>
  <c r="G15" i="9"/>
  <c r="F15" i="9"/>
  <c r="D15" i="9"/>
  <c r="B15" i="9"/>
  <c r="H13" i="9"/>
  <c r="D13" i="9"/>
  <c r="I10" i="9"/>
  <c r="I13" i="9" s="1"/>
  <c r="H10" i="9"/>
  <c r="G10" i="9"/>
  <c r="G13" i="9" s="1"/>
  <c r="F10" i="9"/>
  <c r="F13" i="9" s="1"/>
  <c r="E10" i="9"/>
  <c r="E13" i="9" s="1"/>
  <c r="D10" i="9"/>
  <c r="C10" i="9"/>
  <c r="C13" i="9" s="1"/>
  <c r="B10" i="9"/>
  <c r="B13" i="9" s="1"/>
  <c r="H9" i="9"/>
  <c r="G9" i="9"/>
  <c r="F9" i="9"/>
  <c r="D9" i="9"/>
  <c r="B9" i="9"/>
  <c r="H8" i="9"/>
  <c r="G8" i="9"/>
  <c r="F8" i="9"/>
  <c r="D8" i="9"/>
  <c r="B8" i="9"/>
  <c r="H17" i="8"/>
  <c r="G17" i="8"/>
  <c r="F17" i="8"/>
  <c r="D17" i="8"/>
  <c r="B17" i="8"/>
  <c r="H15" i="8"/>
  <c r="G15" i="8"/>
  <c r="F15" i="8"/>
  <c r="D15" i="8"/>
  <c r="B15" i="8"/>
  <c r="H13" i="8"/>
  <c r="D13" i="8"/>
  <c r="I10" i="8"/>
  <c r="I13" i="8" s="1"/>
  <c r="H10" i="8"/>
  <c r="G10" i="8"/>
  <c r="G13" i="8" s="1"/>
  <c r="F10" i="8"/>
  <c r="F13" i="8" s="1"/>
  <c r="E10" i="8"/>
  <c r="E13" i="8" s="1"/>
  <c r="D10" i="8"/>
  <c r="C10" i="8"/>
  <c r="C13" i="8" s="1"/>
  <c r="B10" i="8"/>
  <c r="B13" i="8" s="1"/>
  <c r="H9" i="8"/>
  <c r="G9" i="8"/>
  <c r="F9" i="8"/>
  <c r="D9" i="8"/>
  <c r="B9" i="8"/>
  <c r="H8" i="8"/>
  <c r="G8" i="8"/>
  <c r="F8" i="8"/>
  <c r="D8" i="8"/>
  <c r="B8" i="8"/>
  <c r="H17" i="7"/>
  <c r="G17" i="7"/>
  <c r="F17" i="7"/>
  <c r="D17" i="7"/>
  <c r="B17" i="7"/>
  <c r="H15" i="7"/>
  <c r="G15" i="7"/>
  <c r="F15" i="7"/>
  <c r="D15" i="7"/>
  <c r="B15" i="7"/>
  <c r="H13" i="7"/>
  <c r="D13" i="7"/>
  <c r="I10" i="7"/>
  <c r="I13" i="7" s="1"/>
  <c r="H10" i="7"/>
  <c r="G10" i="7"/>
  <c r="G13" i="7" s="1"/>
  <c r="F10" i="7"/>
  <c r="F13" i="7" s="1"/>
  <c r="E10" i="7"/>
  <c r="E13" i="7" s="1"/>
  <c r="D10" i="7"/>
  <c r="C10" i="7"/>
  <c r="C13" i="7" s="1"/>
  <c r="B10" i="7"/>
  <c r="B13" i="7" s="1"/>
  <c r="H9" i="7"/>
  <c r="G9" i="7"/>
  <c r="F9" i="7"/>
  <c r="D9" i="7"/>
  <c r="B9" i="7"/>
  <c r="H8" i="7"/>
  <c r="G8" i="7"/>
  <c r="F8" i="7"/>
  <c r="D8" i="7"/>
  <c r="B8" i="7"/>
  <c r="H17" i="6"/>
  <c r="G17" i="6"/>
  <c r="F17" i="6"/>
  <c r="D17" i="6"/>
  <c r="B17" i="6"/>
  <c r="H15" i="6"/>
  <c r="G15" i="6"/>
  <c r="F15" i="6"/>
  <c r="D15" i="6"/>
  <c r="B15" i="6"/>
  <c r="H13" i="6"/>
  <c r="D13" i="6"/>
  <c r="I10" i="6"/>
  <c r="I13" i="6" s="1"/>
  <c r="H10" i="6"/>
  <c r="G10" i="6"/>
  <c r="G13" i="6" s="1"/>
  <c r="F10" i="6"/>
  <c r="F13" i="6" s="1"/>
  <c r="E10" i="6"/>
  <c r="E13" i="6" s="1"/>
  <c r="D10" i="6"/>
  <c r="C10" i="6"/>
  <c r="C13" i="6" s="1"/>
  <c r="B10" i="6"/>
  <c r="B13" i="6" s="1"/>
  <c r="H9" i="6"/>
  <c r="G9" i="6"/>
  <c r="F9" i="6"/>
  <c r="D9" i="6"/>
  <c r="B9" i="6"/>
  <c r="H8" i="6"/>
  <c r="G8" i="6"/>
  <c r="F8" i="6"/>
  <c r="D8" i="6"/>
  <c r="B8" i="6"/>
  <c r="H17" i="5"/>
  <c r="G17" i="5"/>
  <c r="F17" i="5"/>
  <c r="D17" i="5"/>
  <c r="B17" i="5"/>
  <c r="H15" i="5"/>
  <c r="G15" i="5"/>
  <c r="F15" i="5"/>
  <c r="D15" i="5"/>
  <c r="B15" i="5"/>
  <c r="H13" i="5"/>
  <c r="D13" i="5"/>
  <c r="I10" i="5"/>
  <c r="I13" i="5" s="1"/>
  <c r="H10" i="5"/>
  <c r="G10" i="5"/>
  <c r="G13" i="5" s="1"/>
  <c r="F10" i="5"/>
  <c r="F13" i="5" s="1"/>
  <c r="E10" i="5"/>
  <c r="E13" i="5" s="1"/>
  <c r="D10" i="5"/>
  <c r="C10" i="5"/>
  <c r="C13" i="5" s="1"/>
  <c r="B10" i="5"/>
  <c r="B13" i="5" s="1"/>
  <c r="H9" i="5"/>
  <c r="G9" i="5"/>
  <c r="F9" i="5"/>
  <c r="D9" i="5"/>
  <c r="B9" i="5"/>
  <c r="H8" i="5"/>
  <c r="G8" i="5"/>
  <c r="F8" i="5"/>
  <c r="D8" i="5"/>
  <c r="B8" i="5"/>
  <c r="H17" i="4"/>
  <c r="G17" i="4"/>
  <c r="F17" i="4"/>
  <c r="D17" i="4"/>
  <c r="B17" i="4"/>
  <c r="H15" i="4"/>
  <c r="G15" i="4"/>
  <c r="F15" i="4"/>
  <c r="D15" i="4"/>
  <c r="B15" i="4"/>
  <c r="H13" i="4"/>
  <c r="D13" i="4"/>
  <c r="I10" i="4"/>
  <c r="I13" i="4" s="1"/>
  <c r="H10" i="4"/>
  <c r="G10" i="4"/>
  <c r="G13" i="4" s="1"/>
  <c r="F10" i="4"/>
  <c r="F13" i="4" s="1"/>
  <c r="E10" i="4"/>
  <c r="E13" i="4" s="1"/>
  <c r="D10" i="4"/>
  <c r="C10" i="4"/>
  <c r="C13" i="4" s="1"/>
  <c r="B10" i="4"/>
  <c r="B13" i="4" s="1"/>
  <c r="H9" i="4"/>
  <c r="G9" i="4"/>
  <c r="F9" i="4"/>
  <c r="D9" i="4"/>
  <c r="B9" i="4"/>
  <c r="H8" i="4"/>
  <c r="G8" i="4"/>
  <c r="F8" i="4"/>
  <c r="D8" i="4"/>
  <c r="B8" i="4"/>
  <c r="H17" i="3"/>
  <c r="G17" i="3"/>
  <c r="F17" i="3"/>
  <c r="D17" i="3"/>
  <c r="B17" i="3"/>
  <c r="H15" i="3"/>
  <c r="G15" i="3"/>
  <c r="F15" i="3"/>
  <c r="D15" i="3"/>
  <c r="B15" i="3"/>
  <c r="H13" i="3"/>
  <c r="D13" i="3"/>
  <c r="I10" i="3"/>
  <c r="I13" i="3" s="1"/>
  <c r="H10" i="3"/>
  <c r="G10" i="3"/>
  <c r="G13" i="3" s="1"/>
  <c r="F10" i="3"/>
  <c r="F13" i="3" s="1"/>
  <c r="E10" i="3"/>
  <c r="E13" i="3" s="1"/>
  <c r="D10" i="3"/>
  <c r="C10" i="3"/>
  <c r="C13" i="3" s="1"/>
  <c r="B10" i="3"/>
  <c r="B13" i="3" s="1"/>
  <c r="H9" i="3"/>
  <c r="G9" i="3"/>
  <c r="F9" i="3"/>
  <c r="D9" i="3"/>
  <c r="B9" i="3"/>
  <c r="H8" i="3"/>
  <c r="G8" i="3"/>
  <c r="F8" i="3"/>
  <c r="D8" i="3"/>
  <c r="B8" i="3"/>
  <c r="H17" i="2"/>
  <c r="G17" i="2"/>
  <c r="F17" i="2"/>
  <c r="D17" i="2"/>
  <c r="B17" i="2"/>
  <c r="H15" i="2"/>
  <c r="G15" i="2"/>
  <c r="F15" i="2"/>
  <c r="D15" i="2"/>
  <c r="B15" i="2"/>
  <c r="H13" i="2"/>
  <c r="D13" i="2"/>
  <c r="I10" i="2"/>
  <c r="I13" i="2" s="1"/>
  <c r="H10" i="2"/>
  <c r="G10" i="2"/>
  <c r="G13" i="2" s="1"/>
  <c r="F10" i="2"/>
  <c r="F13" i="2" s="1"/>
  <c r="E10" i="2"/>
  <c r="E13" i="2" s="1"/>
  <c r="D10" i="2"/>
  <c r="C10" i="2"/>
  <c r="C13" i="2" s="1"/>
  <c r="B10" i="2"/>
  <c r="B13" i="2" s="1"/>
  <c r="H9" i="2"/>
  <c r="G9" i="2"/>
  <c r="F9" i="2"/>
  <c r="D9" i="2"/>
  <c r="B9" i="2"/>
  <c r="H8" i="2"/>
  <c r="G8" i="2"/>
  <c r="F8" i="2"/>
  <c r="D8" i="2"/>
  <c r="B8" i="2"/>
  <c r="I17" i="1"/>
  <c r="I17" i="2" s="1"/>
  <c r="I17" i="3" s="1"/>
  <c r="I17" i="4" s="1"/>
  <c r="I17" i="5" s="1"/>
  <c r="I17" i="6" s="1"/>
  <c r="I17" i="7" s="1"/>
  <c r="I17" i="8" s="1"/>
  <c r="I17" i="9" s="1"/>
  <c r="I17" i="10" s="1"/>
  <c r="I17" i="11" s="1"/>
  <c r="I17" i="12" s="1"/>
  <c r="H17" i="1"/>
  <c r="G17" i="1"/>
  <c r="D17" i="1"/>
  <c r="B17" i="1"/>
  <c r="F17" i="1" s="1"/>
  <c r="I15" i="1"/>
  <c r="I15" i="2" s="1"/>
  <c r="I15" i="3" s="1"/>
  <c r="I15" i="4" s="1"/>
  <c r="I15" i="5" s="1"/>
  <c r="I15" i="6" s="1"/>
  <c r="I15" i="7" s="1"/>
  <c r="I15" i="8" s="1"/>
  <c r="I15" i="9" s="1"/>
  <c r="I15" i="10" s="1"/>
  <c r="I15" i="11" s="1"/>
  <c r="I15" i="12" s="1"/>
  <c r="H15" i="1"/>
  <c r="G15" i="1"/>
  <c r="D15" i="1"/>
  <c r="B15" i="1"/>
  <c r="F15" i="1" s="1"/>
  <c r="H13" i="1"/>
  <c r="D13" i="1"/>
  <c r="I10" i="1"/>
  <c r="I13" i="1" s="1"/>
  <c r="H10" i="1"/>
  <c r="G10" i="1"/>
  <c r="G13" i="1" s="1"/>
  <c r="F10" i="1"/>
  <c r="F13" i="1" s="1"/>
  <c r="E10" i="1"/>
  <c r="E13" i="1" s="1"/>
  <c r="D10" i="1"/>
  <c r="C10" i="1"/>
  <c r="C13" i="1" s="1"/>
  <c r="B10" i="1"/>
  <c r="B13" i="1" s="1"/>
  <c r="I9" i="1"/>
  <c r="I9" i="2" s="1"/>
  <c r="I9" i="3" s="1"/>
  <c r="I9" i="4" s="1"/>
  <c r="I9" i="5" s="1"/>
  <c r="I9" i="6" s="1"/>
  <c r="I9" i="7" s="1"/>
  <c r="H9" i="1"/>
  <c r="G9" i="1"/>
  <c r="F9" i="1"/>
  <c r="D9" i="1"/>
  <c r="B9" i="1"/>
  <c r="I8" i="1"/>
  <c r="I8" i="2" s="1"/>
  <c r="I8" i="3" s="1"/>
  <c r="I8" i="4" s="1"/>
  <c r="I8" i="5" s="1"/>
  <c r="I8" i="6" s="1"/>
  <c r="I8" i="7" s="1"/>
  <c r="H8" i="1"/>
  <c r="G8" i="1"/>
  <c r="F8" i="1"/>
  <c r="D8" i="1"/>
  <c r="B8" i="1"/>
  <c r="I8" i="12" l="1"/>
  <c r="I8" i="11"/>
  <c r="I8" i="10"/>
  <c r="I8" i="8"/>
  <c r="I8" i="9" s="1"/>
  <c r="I9" i="12"/>
  <c r="I9" i="11"/>
  <c r="I9" i="10"/>
  <c r="I9" i="8"/>
  <c r="I9" i="9" s="1"/>
</calcChain>
</file>

<file path=xl/sharedStrings.xml><?xml version="1.0" encoding="utf-8"?>
<sst xmlns="http://schemas.openxmlformats.org/spreadsheetml/2006/main" count="360" uniqueCount="58">
  <si>
    <t>Musicar VENEZUELA</t>
  </si>
  <si>
    <t>Resultados del mes de:</t>
  </si>
  <si>
    <t>enero</t>
  </si>
  <si>
    <t>de 2025</t>
  </si>
  <si>
    <t>Ventas, Instalaciones y Retiros en Dólares</t>
  </si>
  <si>
    <t>VENEZUELA</t>
  </si>
  <si>
    <t>Descripción</t>
  </si>
  <si>
    <t>Mes</t>
  </si>
  <si>
    <t>Acumulado</t>
  </si>
  <si>
    <t>Ppto</t>
  </si>
  <si>
    <t>Real</t>
  </si>
  <si>
    <t>% Cump</t>
  </si>
  <si>
    <t>Clientes</t>
  </si>
  <si>
    <t>Ventas Nuevas</t>
  </si>
  <si>
    <t>Desinstalaciones</t>
  </si>
  <si>
    <t>Neto MC-MTO REDES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</si>
  <si>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</si>
  <si>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</si>
  <si>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</si>
  <si>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</si>
  <si>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</si>
  <si>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</si>
  <si>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</si>
  <si>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</si>
  <si>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</si>
  <si>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</si>
  <si>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</si>
  <si>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</si>
  <si>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</si>
  <si>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</si>
  <si>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</si>
  <si>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</si>
  <si>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</si>
  <si>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</si>
  <si>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</si>
  <si>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</si>
  <si>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</si>
  <si>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</si>
  <si>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</si>
  <si>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</si>
  <si>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</si>
  <si>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</si>
  <si>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</si>
  <si>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</si>
  <si>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</si>
  <si>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</si>
  <si>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</si>
  <si>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</si>
  <si>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</si>
  <si>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TOTAL VENTAS N</t>
  </si>
  <si>
    <t>PRESUPUESTO DE DESINSTALACIONES GERENTE:</t>
  </si>
  <si>
    <t>Olfa Experiece</t>
  </si>
  <si>
    <t>TOTAL DESINSTAL</t>
  </si>
  <si>
    <t>PRESUPUESTO DE AGREGADO NETO GERENTE:</t>
  </si>
  <si>
    <t>Agregado Neto</t>
  </si>
  <si>
    <t>TOTAL NETO AGRE</t>
  </si>
  <si>
    <t>PRESUPUESTO DE LINEAS DE FACTURACIÓN GERENTE CO: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</si>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</sst>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3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11"/>
      <color rgb="FFFFFFFF"/>
      <name val="Calibri"/>
    </font>
    <font>
      <sz val="10"/>
      <color rgb="FF000000"/>
      <name val="Arial"/>
    </font>
    <font>
      <sz val="10"/>
      <color theme="1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4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008000"/>
        <bgColor rgb="FF008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6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6" fillId="0" borderId="0" xfId="0" applyNumberFormat="1" applyFont="1"/>
    <xf numFmtId="0" fontId="2" fillId="0" borderId="8" xfId="0" applyFont="1" applyBorder="1"/>
    <xf numFmtId="0" fontId="7" fillId="7" borderId="6" xfId="0" applyFont="1" applyFill="1" applyBorder="1" applyAlignment="1">
      <alignment vertical="center" wrapText="1"/>
    </xf>
    <xf numFmtId="0" fontId="7" fillId="7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8" fillId="0" borderId="6" xfId="0" applyFont="1" applyBorder="1" applyAlignment="1">
      <alignment wrapText="1"/>
    </xf>
    <xf numFmtId="3" fontId="9" fillId="0" borderId="6" xfId="0" applyNumberFormat="1" applyFont="1" applyBorder="1" applyAlignment="1">
      <alignment horizontal="center" vertical="center"/>
    </xf>
    <xf numFmtId="3" fontId="10" fillId="0" borderId="6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wrapText="1"/>
    </xf>
    <xf numFmtId="9" fontId="8" fillId="0" borderId="0" xfId="0" applyNumberFormat="1" applyFont="1" applyAlignment="1">
      <alignment wrapText="1"/>
    </xf>
    <xf numFmtId="0" fontId="11" fillId="0" borderId="0" xfId="0" applyFont="1" applyAlignment="1">
      <alignment vertical="center"/>
    </xf>
    <xf numFmtId="0" fontId="7" fillId="8" borderId="6" xfId="0" applyFont="1" applyFill="1" applyBorder="1" applyAlignment="1">
      <alignment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7" fillId="9" borderId="6" xfId="0" applyFont="1" applyFill="1" applyBorder="1" applyAlignment="1">
      <alignment vertical="center" wrapText="1"/>
    </xf>
    <xf numFmtId="0" fontId="7" fillId="9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7" fillId="10" borderId="6" xfId="0" applyFont="1" applyFill="1" applyBorder="1" applyAlignment="1">
      <alignment vertical="center" wrapText="1"/>
    </xf>
    <xf numFmtId="0" fontId="7" fillId="10" borderId="6" xfId="0" applyFont="1" applyFill="1" applyBorder="1" applyAlignment="1">
      <alignment horizontal="center" vertical="center" wrapText="1"/>
    </xf>
    <xf numFmtId="3" fontId="8" fillId="0" borderId="6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5"/>
  <sheetViews>
    <sheetView showGridLines="0" workbookViewId="0">
      <selection sqref="A1:I1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IFERROR(__xludf.DUMMYFUNCTION("+Hoja2!B8"),54.1999999999999)</f>
        <v>54.199999999999903</v>
      </c>
      <c r="C8" s="8"/>
      <c r="D8" s="9">
        <f ca="1">IFERROR(__xludf.DUMMYFUNCTION("+IFERROR((C8/B8),0)"),0)</f>
        <v>0</v>
      </c>
      <c r="E8" s="8"/>
      <c r="F8" s="8">
        <f ca="1">IFERROR(__xludf.DUMMYFUNCTION("+B8"),54.1999999999999)</f>
        <v>54.199999999999903</v>
      </c>
      <c r="G8" s="8" t="str">
        <f ca="1">IFERROR(__xludf.DUMMYFUNCTION("+C8"),"")</f>
        <v/>
      </c>
      <c r="H8" s="9">
        <f ca="1">IFERROR(__xludf.DUMMYFUNCTION("+IFERROR((G8/F8),0)"),0)</f>
        <v>0</v>
      </c>
      <c r="I8" s="10">
        <f t="shared" ref="I8:I9" si="0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IFERROR(__xludf.DUMMYFUNCTION("+Hoja2!B19"),6.4)</f>
        <v>6.4</v>
      </c>
      <c r="C9" s="8"/>
      <c r="D9" s="9">
        <f ca="1">IFERROR(__xludf.DUMMYFUNCTION("+IFERROR((C9/B9),0)"),0)</f>
        <v>0</v>
      </c>
      <c r="E9" s="8"/>
      <c r="F9" s="8">
        <f ca="1">IFERROR(__xludf.DUMMYFUNCTION("+B9"),6.4)</f>
        <v>6.4</v>
      </c>
      <c r="G9" s="8" t="str">
        <f ca="1">IFERROR(__xludf.DUMMYFUNCTION("+C9"),"")</f>
        <v/>
      </c>
      <c r="H9" s="9">
        <f ca="1">IFERROR(__xludf.DUMMYFUNCTION("+IFERROR((G9/F9),0)"),0)</f>
        <v>0</v>
      </c>
      <c r="I9" s="10">
        <f t="shared" si="0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IFERROR(__xludf.DUMMYFUNCTION("+B8-B9"),47.8)</f>
        <v>47.8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IFERROR(__xludf.DUMMYFUNCTION("+F8-F9"),47.8)</f>
        <v>47.8</v>
      </c>
      <c r="G10" s="12">
        <f ca="1">IFERROR(__xludf.DUMMYFUNCTION("+G8-G9"),0)</f>
        <v>0</v>
      </c>
      <c r="H10" s="13">
        <f ca="1">IFERROR(__xludf.DUMMYFUNCTION("+IFERROR(G10/F10,0)"),0)</f>
        <v>0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1">B10</f>
        <v>47.8</v>
      </c>
      <c r="C13" s="12">
        <f t="shared" ca="1" si="1"/>
        <v>0</v>
      </c>
      <c r="D13" s="13">
        <f ca="1">IFERROR(__xludf.DUMMYFUNCTION("+IFERROR((C13/B13),0)"),0)</f>
        <v>0</v>
      </c>
      <c r="E13" s="12">
        <f t="shared" ref="E13:G13" ca="1" si="2">E10</f>
        <v>0</v>
      </c>
      <c r="F13" s="12">
        <f t="shared" ca="1" si="2"/>
        <v>47.8</v>
      </c>
      <c r="G13" s="12">
        <f t="shared" ca="1" si="2"/>
        <v>0</v>
      </c>
      <c r="H13" s="13">
        <f ca="1">IFERROR(__xludf.DUMMYFUNCTION("+IFERROR((G13/F13),0)"),0)</f>
        <v>0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IFERROR(__xludf.DUMMYFUNCTION("+Hoja2!B35"),1083.45)</f>
        <v>1083.45</v>
      </c>
      <c r="C15" s="8"/>
      <c r="D15" s="13">
        <f ca="1">IFERROR(__xludf.DUMMYFUNCTION("+IFERROR((C15/B15),0)"),0)</f>
        <v>0</v>
      </c>
      <c r="E15" s="8"/>
      <c r="F15" s="17">
        <f ca="1">B15</f>
        <v>1083.45</v>
      </c>
      <c r="G15" s="17" t="str">
        <f ca="1">IFERROR(__xludf.DUMMYFUNCTION("+C15"),"")</f>
        <v/>
      </c>
      <c r="H15" s="13">
        <f ca="1">IFERROR(__xludf.DUMMYFUNCTION("+IFERROR((G15/F15),0)"),0)</f>
        <v>0</v>
      </c>
      <c r="I15" s="18">
        <f>E15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IFERROR(__xludf.DUMMYFUNCTION("+Hoja2!B36"),835)</f>
        <v>835</v>
      </c>
      <c r="C17" s="8"/>
      <c r="D17" s="13">
        <f ca="1">IFERROR(__xludf.DUMMYFUNCTION("+IFERROR((C17/B17),0)"),0)</f>
        <v>0</v>
      </c>
      <c r="E17" s="8"/>
      <c r="F17" s="17">
        <f ca="1">B17</f>
        <v>835</v>
      </c>
      <c r="G17" s="17" t="str">
        <f ca="1">IFERROR(__xludf.DUMMYFUNCTION("+C17"),"")</f>
        <v/>
      </c>
      <c r="H17" s="13">
        <f ca="1">IFERROR(__xludf.DUMMYFUNCTION("+IFERROR((G17/F17),0)"),0)</f>
        <v>0</v>
      </c>
      <c r="I17" s="18">
        <f>E17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85"/>
  <sheetViews>
    <sheetView showGridLines="0" tabSelected="1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27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IFERROR(__xludf.DUMMYFUNCTION("+Hoja2!K8"),119.24)</f>
        <v>119.24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IFERROR(__xludf.DUMMYFUNCTION("+B8+SEP!F8"),867.2)</f>
        <v>867.2</v>
      </c>
      <c r="G8" s="8">
        <f ca="1">IFERROR(__xludf.DUMMYFUNCTION("+C8+SEP!G8"),0)</f>
        <v>0</v>
      </c>
      <c r="H8" s="9">
        <f ca="1">IFERROR(__xludf.DUMMYFUNCTION("+IFERROR((G8/F8),0)"),0)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IFERROR(__xludf.DUMMYFUNCTION("+Hoja2!K19"),14.08)</f>
        <v>14.08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IFERROR(__xludf.DUMMYFUNCTION("+B9+SEP!F9"),102.399999999999)</f>
        <v>102.399999999999</v>
      </c>
      <c r="G9" s="8">
        <f ca="1">IFERROR(__xludf.DUMMYFUNCTION("+C9+SEP!G9"),107)</f>
        <v>107</v>
      </c>
      <c r="H9" s="9">
        <f ca="1">IFERROR(__xludf.DUMMYFUNCTION("+IFERROR((G9/F9),0)"),1.044921875)</f>
        <v>1.044921875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IFERROR(__xludf.DUMMYFUNCTION("+F8-F9"),764.8)</f>
        <v>764.8</v>
      </c>
      <c r="G10" s="12">
        <f ca="1">IFERROR(__xludf.DUMMYFUNCTION("+G8-G9"),-107)</f>
        <v>-107</v>
      </c>
      <c r="H10" s="13">
        <f ca="1">IFERROR(__xludf.DUMMYFUNCTION("+IFERROR(G10/F10,0)"),-0.139905857740585)</f>
        <v>-0.139905857740585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764.8</v>
      </c>
      <c r="G13" s="12">
        <f t="shared" ca="1" si="1"/>
        <v>-107</v>
      </c>
      <c r="H13" s="13">
        <f ca="1">IFERROR(__xludf.DUMMYFUNCTION("+IFERROR((G13/F13),0)"),-0.139905857740585)</f>
        <v>-0.139905857740585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IFERROR(__xludf.DUMMYFUNCTION("+Hoja2!K35"),2383.59)</f>
        <v>2383.59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IFERROR(__xludf.DUMMYFUNCTION("+B15+SEP!F15"),17335.2)</f>
        <v>17335.2</v>
      </c>
      <c r="G15" s="8">
        <f ca="1">IFERROR(__xludf.DUMMYFUNCTION("+C15+SEP!G15"),3758)</f>
        <v>3758</v>
      </c>
      <c r="H15" s="13">
        <f ca="1">IFERROR(__xludf.DUMMYFUNCTION("+IFERROR((G15/F15),0)"),0.216784346301167)</f>
        <v>0.216784346301167</v>
      </c>
      <c r="I15" s="18">
        <f>E15+SEP!I15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IFERROR(__xludf.DUMMYFUNCTION("+Hoja2!K36"),1837)</f>
        <v>1837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IFERROR(__xludf.DUMMYFUNCTION("+B17+SEP!F17"),13360)</f>
        <v>13360</v>
      </c>
      <c r="G17" s="8">
        <f ca="1">IFERROR(__xludf.DUMMYFUNCTION("+C17+SEP!G17"),608)</f>
        <v>608</v>
      </c>
      <c r="H17" s="13">
        <f ca="1">IFERROR(__xludf.DUMMYFUNCTION("+IFERROR((G17/F17),0)"),0.0455089820359281)</f>
        <v>4.5508982035928097E-2</v>
      </c>
      <c r="I17" s="18">
        <f>E17+SEP!I17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0" width="11.453125" customWidth="1"/>
    <col min="11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28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IFERROR(__xludf.DUMMYFUNCTION("+Hoja2!L8"),119.24)</f>
        <v>119.24</v>
      </c>
      <c r="C8" s="8"/>
      <c r="D8" s="9">
        <f ca="1">IFERROR(__xludf.DUMMYFUNCTION("+IFERROR((C8/B8),0)"),0)</f>
        <v>0</v>
      </c>
      <c r="E8" s="8"/>
      <c r="F8" s="8">
        <f ca="1">IFERROR(__xludf.DUMMYFUNCTION("+B8+OCT!F8"),986.44)</f>
        <v>986.44</v>
      </c>
      <c r="G8" s="8">
        <f ca="1">IFERROR(__xludf.DUMMYFUNCTION("+C8+OCT!G8"),0)</f>
        <v>0</v>
      </c>
      <c r="H8" s="9">
        <f ca="1">IFERROR(__xludf.DUMMYFUNCTION("+IFERROR((G8/F8),0)"),0)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IFERROR(__xludf.DUMMYFUNCTION("+Hoja2!L19"),14.08)</f>
        <v>14.08</v>
      </c>
      <c r="C9" s="8"/>
      <c r="D9" s="9">
        <f ca="1">IFERROR(__xludf.DUMMYFUNCTION("+IFERROR((C9/B9),0)"),0)</f>
        <v>0</v>
      </c>
      <c r="E9" s="8"/>
      <c r="F9" s="8">
        <f ca="1">IFERROR(__xludf.DUMMYFUNCTION("+B9+OCT!F9"),116.479999999999)</f>
        <v>116.479999999999</v>
      </c>
      <c r="G9" s="8">
        <f ca="1">IFERROR(__xludf.DUMMYFUNCTION("+C9+OCT!G9"),107)</f>
        <v>107</v>
      </c>
      <c r="H9" s="9">
        <f ca="1">IFERROR(__xludf.DUMMYFUNCTION("+IFERROR((G9/F9),0)"),0.918612637362637)</f>
        <v>0.91861263736263699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IFERROR(__xludf.DUMMYFUNCTION("+F8-F9"),869.96)</f>
        <v>869.96</v>
      </c>
      <c r="G10" s="12">
        <f ca="1">IFERROR(__xludf.DUMMYFUNCTION("+G8-G9"),-107)</f>
        <v>-107</v>
      </c>
      <c r="H10" s="13">
        <f ca="1">IFERROR(__xludf.DUMMYFUNCTION("+IFERROR(G10/F10,0)"),-0.122994160651064)</f>
        <v>-0.122994160651064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869.96</v>
      </c>
      <c r="G13" s="12">
        <f t="shared" ca="1" si="1"/>
        <v>-107</v>
      </c>
      <c r="H13" s="13">
        <f ca="1">IFERROR(__xludf.DUMMYFUNCTION("+IFERROR((G13/F13),0)"),-0.122994160651064)</f>
        <v>-0.122994160651064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IFERROR(__xludf.DUMMYFUNCTION("+Hoja2!L35"),2383.59)</f>
        <v>2383.59</v>
      </c>
      <c r="C15" s="8"/>
      <c r="D15" s="13">
        <f ca="1">IFERROR(__xludf.DUMMYFUNCTION("+IFERROR((C15/B15),0)"),0)</f>
        <v>0</v>
      </c>
      <c r="E15" s="8"/>
      <c r="F15" s="8">
        <f ca="1">IFERROR(__xludf.DUMMYFUNCTION("+B15+OCT!F15"),19718.79)</f>
        <v>19718.79</v>
      </c>
      <c r="G15" s="8">
        <f ca="1">IFERROR(__xludf.DUMMYFUNCTION("+C15+OCT!G15"),3758)</f>
        <v>3758</v>
      </c>
      <c r="H15" s="13">
        <f ca="1">IFERROR(__xludf.DUMMYFUNCTION("+IFERROR((G15/F15),0)"),0.190579645099927)</f>
        <v>0.190579645099927</v>
      </c>
      <c r="I15" s="18">
        <f>E15+OCT!I15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IFERROR(__xludf.DUMMYFUNCTION("+Hoja2!L36"),1837)</f>
        <v>1837</v>
      </c>
      <c r="C17" s="8"/>
      <c r="D17" s="13">
        <f ca="1">IFERROR(__xludf.DUMMYFUNCTION("+IFERROR((C17/B17),0)"),0)</f>
        <v>0</v>
      </c>
      <c r="E17" s="8"/>
      <c r="F17" s="8">
        <f ca="1">IFERROR(__xludf.DUMMYFUNCTION("+B17+OCT!F17"),15197)</f>
        <v>15197</v>
      </c>
      <c r="G17" s="8">
        <f ca="1">IFERROR(__xludf.DUMMYFUNCTION("+C17+OCT!G17"),608)</f>
        <v>608</v>
      </c>
      <c r="H17" s="13">
        <f ca="1">IFERROR(__xludf.DUMMYFUNCTION("+IFERROR((G17/F17),0)"),0.0400078962953214)</f>
        <v>4.00078962953214E-2</v>
      </c>
      <c r="I17" s="18">
        <f>E17+OCT!I17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29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IFERROR(__xludf.DUMMYFUNCTION("+Hoja2!M8"),97.56)</f>
        <v>97.56</v>
      </c>
      <c r="C8" s="8"/>
      <c r="D8" s="9">
        <f ca="1">IFERROR(__xludf.DUMMYFUNCTION("+IFERROR((C8/B8),0)"),0)</f>
        <v>0</v>
      </c>
      <c r="E8" s="8"/>
      <c r="F8" s="8">
        <f ca="1">IFERROR(__xludf.DUMMYFUNCTION("+B8+NOV!F8"),1084)</f>
        <v>1084</v>
      </c>
      <c r="G8" s="8">
        <f ca="1">IFERROR(__xludf.DUMMYFUNCTION("+C8+NOV!G8"),0)</f>
        <v>0</v>
      </c>
      <c r="H8" s="9">
        <f ca="1">IFERROR(__xludf.DUMMYFUNCTION("+IFERROR((G8/F8),0)"),0)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IFERROR(__xludf.DUMMYFUNCTION("+Hoja2!M19"),11.52)</f>
        <v>11.52</v>
      </c>
      <c r="C9" s="8"/>
      <c r="D9" s="9">
        <f ca="1">IFERROR(__xludf.DUMMYFUNCTION("+IFERROR((C9/B9),0)"),0)</f>
        <v>0</v>
      </c>
      <c r="E9" s="8"/>
      <c r="F9" s="8">
        <f ca="1">IFERROR(__xludf.DUMMYFUNCTION("+B9+NOV!F9"),127.999999999999)</f>
        <v>127.99999999999901</v>
      </c>
      <c r="G9" s="8">
        <f ca="1">IFERROR(__xludf.DUMMYFUNCTION("+C9+NOV!G9"),107)</f>
        <v>107</v>
      </c>
      <c r="H9" s="9">
        <f ca="1">IFERROR(__xludf.DUMMYFUNCTION("+IFERROR((G9/F9),0)"),0.8359375)</f>
        <v>0.8359375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IFERROR(__xludf.DUMMYFUNCTION("+B8-B9"),86.04)</f>
        <v>86.04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IFERROR(__xludf.DUMMYFUNCTION("+F8-F9"),956)</f>
        <v>956</v>
      </c>
      <c r="G10" s="12">
        <f ca="1">IFERROR(__xludf.DUMMYFUNCTION("+G8-G9"),-107)</f>
        <v>-107</v>
      </c>
      <c r="H10" s="13">
        <f ca="1">IFERROR(__xludf.DUMMYFUNCTION("+IFERROR(G10/F10,0)"),-0.111924686192468)</f>
        <v>-0.111924686192468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86.04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956</v>
      </c>
      <c r="G13" s="12">
        <f t="shared" ca="1" si="1"/>
        <v>-107</v>
      </c>
      <c r="H13" s="13">
        <f ca="1">IFERROR(__xludf.DUMMYFUNCTION("+IFERROR((G13/F13),0)"),-0.111924686192468)</f>
        <v>-0.111924686192468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IFERROR(__xludf.DUMMYFUNCTION("+Hoja2!M35"),1950.21)</f>
        <v>1950.21</v>
      </c>
      <c r="C15" s="8"/>
      <c r="D15" s="13">
        <f ca="1">IFERROR(__xludf.DUMMYFUNCTION("+IFERROR((C15/B15),0)"),0)</f>
        <v>0</v>
      </c>
      <c r="E15" s="8"/>
      <c r="F15" s="8">
        <f ca="1">IFERROR(__xludf.DUMMYFUNCTION("+B15+NOV!F15"),21669)</f>
        <v>21669</v>
      </c>
      <c r="G15" s="8">
        <f ca="1">IFERROR(__xludf.DUMMYFUNCTION("+C15+NOV!G15"),3758)</f>
        <v>3758</v>
      </c>
      <c r="H15" s="13">
        <f ca="1">IFERROR(__xludf.DUMMYFUNCTION("+IFERROR((G15/F15),0)"),0.173427477040934)</f>
        <v>0.173427477040934</v>
      </c>
      <c r="I15" s="18">
        <f>E15+NOV!I15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IFERROR(__xludf.DUMMYFUNCTION("+Hoja2!M36"),1503)</f>
        <v>1503</v>
      </c>
      <c r="C17" s="8"/>
      <c r="D17" s="13">
        <f ca="1">IFERROR(__xludf.DUMMYFUNCTION("+IFERROR((C17/B17),0)"),0)</f>
        <v>0</v>
      </c>
      <c r="E17" s="8"/>
      <c r="F17" s="8">
        <f ca="1">IFERROR(__xludf.DUMMYFUNCTION("+B17+NOV!F17"),16700)</f>
        <v>16700</v>
      </c>
      <c r="G17" s="8">
        <f ca="1">IFERROR(__xludf.DUMMYFUNCTION("+C17+NOV!G17"),608)</f>
        <v>608</v>
      </c>
      <c r="H17" s="13">
        <f ca="1">IFERROR(__xludf.DUMMYFUNCTION("+IFERROR((G17/F17),0)"),0.0364071856287425)</f>
        <v>3.6407185628742497E-2</v>
      </c>
      <c r="I17" s="18">
        <f>E17+NOV!I17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1000"/>
  <sheetViews>
    <sheetView showGridLines="0" workbookViewId="0"/>
  </sheetViews>
  <sheetFormatPr baseColWidth="10" defaultColWidth="12.6328125" defaultRowHeight="15" customHeight="1" x14ac:dyDescent="0.25"/>
  <cols>
    <col min="1" max="1" width="24" customWidth="1"/>
    <col min="2" max="14" width="6.90625" customWidth="1"/>
    <col min="15" max="15" width="2" customWidth="1"/>
    <col min="16" max="26" width="44.453125" customWidth="1"/>
  </cols>
  <sheetData>
    <row r="1" spans="1:25" ht="14.5" x14ac:dyDescent="0.25">
      <c r="A1" s="22" t="s">
        <v>30</v>
      </c>
      <c r="B1" s="23" t="s">
        <v>31</v>
      </c>
      <c r="C1" s="23" t="s">
        <v>32</v>
      </c>
      <c r="D1" s="23" t="s">
        <v>33</v>
      </c>
      <c r="E1" s="23" t="s">
        <v>34</v>
      </c>
      <c r="F1" s="23" t="s">
        <v>35</v>
      </c>
      <c r="G1" s="23" t="s">
        <v>36</v>
      </c>
      <c r="H1" s="23" t="s">
        <v>37</v>
      </c>
      <c r="I1" s="23" t="s">
        <v>38</v>
      </c>
      <c r="J1" s="23" t="s">
        <v>39</v>
      </c>
      <c r="K1" s="23" t="s">
        <v>40</v>
      </c>
      <c r="L1" s="23" t="s">
        <v>41</v>
      </c>
      <c r="M1" s="23" t="s">
        <v>42</v>
      </c>
      <c r="N1" s="23" t="s">
        <v>43</v>
      </c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13" x14ac:dyDescent="0.3">
      <c r="A2" s="25" t="s">
        <v>44</v>
      </c>
      <c r="B2" s="26">
        <v>32.4</v>
      </c>
      <c r="C2" s="26">
        <v>32.4</v>
      </c>
      <c r="D2" s="26">
        <v>32.4</v>
      </c>
      <c r="E2" s="26">
        <v>32.4</v>
      </c>
      <c r="F2" s="26">
        <v>32.4</v>
      </c>
      <c r="G2" s="26">
        <v>71.28</v>
      </c>
      <c r="H2" s="26">
        <v>71.28</v>
      </c>
      <c r="I2" s="26">
        <v>71.28</v>
      </c>
      <c r="J2" s="26">
        <v>71.28</v>
      </c>
      <c r="K2" s="26">
        <v>71.28</v>
      </c>
      <c r="L2" s="26">
        <v>71.28</v>
      </c>
      <c r="M2" s="26">
        <v>58.32</v>
      </c>
      <c r="N2" s="27">
        <f ca="1">IFERROR(__xludf.DUMMYFUNCTION("+SUM(B2:M2)"),648)</f>
        <v>648</v>
      </c>
      <c r="O2" s="28"/>
      <c r="P2" s="24"/>
      <c r="Q2" s="24"/>
      <c r="R2" s="24"/>
      <c r="S2" s="24"/>
      <c r="T2" s="24"/>
      <c r="U2" s="24"/>
      <c r="V2" s="24"/>
      <c r="W2" s="24"/>
      <c r="X2" s="24"/>
      <c r="Y2" s="24"/>
    </row>
    <row r="3" spans="1:25" ht="13" x14ac:dyDescent="0.3">
      <c r="A3" s="25" t="s">
        <v>45</v>
      </c>
      <c r="B3" s="26">
        <v>6.4</v>
      </c>
      <c r="C3" s="26">
        <v>6.4</v>
      </c>
      <c r="D3" s="26">
        <v>6.4</v>
      </c>
      <c r="E3" s="26">
        <v>6.4</v>
      </c>
      <c r="F3" s="26">
        <v>6.4</v>
      </c>
      <c r="G3" s="26">
        <v>14.08</v>
      </c>
      <c r="H3" s="26">
        <v>14.08</v>
      </c>
      <c r="I3" s="26">
        <v>14.08</v>
      </c>
      <c r="J3" s="26">
        <v>14.08</v>
      </c>
      <c r="K3" s="26">
        <v>14.08</v>
      </c>
      <c r="L3" s="26">
        <v>14.08</v>
      </c>
      <c r="M3" s="26">
        <v>11.52</v>
      </c>
      <c r="N3" s="27">
        <f ca="1">IFERROR(__xludf.DUMMYFUNCTION("+SUM(B3:M3)"),127.999999999999)</f>
        <v>127.99999999999901</v>
      </c>
      <c r="O3" s="28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5" ht="13" x14ac:dyDescent="0.3">
      <c r="A4" s="25" t="s">
        <v>46</v>
      </c>
      <c r="B4" s="26">
        <v>0</v>
      </c>
      <c r="C4" s="26">
        <v>0</v>
      </c>
      <c r="D4" s="26">
        <v>0</v>
      </c>
      <c r="E4" s="26">
        <v>0</v>
      </c>
      <c r="F4" s="26">
        <v>0</v>
      </c>
      <c r="G4" s="26">
        <v>0</v>
      </c>
      <c r="H4" s="26">
        <v>0</v>
      </c>
      <c r="I4" s="26">
        <v>0</v>
      </c>
      <c r="J4" s="26">
        <v>0</v>
      </c>
      <c r="K4" s="26">
        <v>0</v>
      </c>
      <c r="L4" s="26">
        <v>0</v>
      </c>
      <c r="M4" s="26">
        <v>0</v>
      </c>
      <c r="N4" s="27">
        <f ca="1">IFERROR(__xludf.DUMMYFUNCTION("+SUM(B4:M4)"),0)</f>
        <v>0</v>
      </c>
      <c r="O4" s="28"/>
      <c r="P4" s="24"/>
      <c r="Q4" s="24"/>
      <c r="R4" s="24"/>
      <c r="S4" s="24"/>
      <c r="T4" s="24"/>
      <c r="U4" s="24"/>
      <c r="V4" s="24"/>
      <c r="W4" s="24"/>
      <c r="X4" s="24"/>
      <c r="Y4" s="24"/>
    </row>
    <row r="5" spans="1:25" ht="13" x14ac:dyDescent="0.3">
      <c r="A5" s="25" t="s">
        <v>47</v>
      </c>
      <c r="B5" s="26">
        <v>15.4</v>
      </c>
      <c r="C5" s="26">
        <v>15.4</v>
      </c>
      <c r="D5" s="26">
        <v>15.4</v>
      </c>
      <c r="E5" s="26">
        <v>15.4</v>
      </c>
      <c r="F5" s="26">
        <v>15.4</v>
      </c>
      <c r="G5" s="26">
        <v>33.880000000000003</v>
      </c>
      <c r="H5" s="26">
        <v>33.880000000000003</v>
      </c>
      <c r="I5" s="26">
        <v>33.880000000000003</v>
      </c>
      <c r="J5" s="26">
        <v>33.880000000000003</v>
      </c>
      <c r="K5" s="26">
        <v>33.880000000000003</v>
      </c>
      <c r="L5" s="26">
        <v>33.880000000000003</v>
      </c>
      <c r="M5" s="26">
        <v>27.72</v>
      </c>
      <c r="N5" s="27">
        <f ca="1">IFERROR(__xludf.DUMMYFUNCTION("+SUM(B5:M5)"),308)</f>
        <v>308</v>
      </c>
      <c r="O5" s="28"/>
      <c r="P5" s="24"/>
      <c r="Q5" s="24"/>
      <c r="R5" s="24"/>
      <c r="S5" s="24"/>
      <c r="T5" s="24"/>
      <c r="U5" s="24"/>
      <c r="V5" s="24"/>
      <c r="W5" s="24"/>
      <c r="X5" s="24"/>
      <c r="Y5" s="24"/>
    </row>
    <row r="6" spans="1:25" ht="13" x14ac:dyDescent="0.3">
      <c r="A6" s="25" t="s">
        <v>48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7">
        <f ca="1">IFERROR(__xludf.DUMMYFUNCTION("+SUM(B6:M6)"),0)</f>
        <v>0</v>
      </c>
      <c r="O6" s="28"/>
      <c r="P6" s="24"/>
      <c r="Q6" s="24"/>
      <c r="R6" s="24"/>
      <c r="S6" s="24"/>
      <c r="T6" s="24"/>
      <c r="U6" s="24"/>
      <c r="V6" s="24"/>
      <c r="W6" s="24"/>
      <c r="X6" s="24"/>
      <c r="Y6" s="24"/>
    </row>
    <row r="7" spans="1:25" ht="12.5" x14ac:dyDescent="0.25">
      <c r="A7" s="25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8"/>
      <c r="P7" s="24"/>
      <c r="Q7" s="24"/>
      <c r="R7" s="24"/>
      <c r="S7" s="24"/>
      <c r="T7" s="24"/>
      <c r="U7" s="24"/>
      <c r="V7" s="24"/>
      <c r="W7" s="24"/>
      <c r="X7" s="24"/>
      <c r="Y7" s="24"/>
    </row>
    <row r="8" spans="1:25" ht="12" customHeight="1" x14ac:dyDescent="0.3">
      <c r="A8" s="30" t="s">
        <v>49</v>
      </c>
      <c r="B8" s="27">
        <f ca="1">IFERROR(__xludf.DUMMYFUNCTION("+SUM(B2:B7)"),54.1999999999999)</f>
        <v>54.199999999999903</v>
      </c>
      <c r="C8" s="27">
        <f ca="1">IFERROR(__xludf.DUMMYFUNCTION("+SUM(C2:C7)"),54.1999999999999)</f>
        <v>54.199999999999903</v>
      </c>
      <c r="D8" s="27">
        <f ca="1">IFERROR(__xludf.DUMMYFUNCTION("+SUM(D2:D7)"),54.1999999999999)</f>
        <v>54.199999999999903</v>
      </c>
      <c r="E8" s="27">
        <f ca="1">IFERROR(__xludf.DUMMYFUNCTION("+SUM(E2:E7)"),54.1999999999999)</f>
        <v>54.199999999999903</v>
      </c>
      <c r="F8" s="27">
        <f ca="1">IFERROR(__xludf.DUMMYFUNCTION("+SUM(F2:F7)"),54.1999999999999)</f>
        <v>54.199999999999903</v>
      </c>
      <c r="G8" s="27">
        <f ca="1">IFERROR(__xludf.DUMMYFUNCTION("+SUM(G2:G7)"),119.24)</f>
        <v>119.24</v>
      </c>
      <c r="H8" s="27">
        <f ca="1">IFERROR(__xludf.DUMMYFUNCTION("+SUM(H2:H7)"),119.24)</f>
        <v>119.24</v>
      </c>
      <c r="I8" s="27">
        <f ca="1">IFERROR(__xludf.DUMMYFUNCTION("+SUM(I2:I7)"),119.24)</f>
        <v>119.24</v>
      </c>
      <c r="J8" s="27">
        <f ca="1">IFERROR(__xludf.DUMMYFUNCTION("+SUM(J2:J7)"),119.24)</f>
        <v>119.24</v>
      </c>
      <c r="K8" s="27">
        <f ca="1">IFERROR(__xludf.DUMMYFUNCTION("+SUM(K2:K7)"),119.24)</f>
        <v>119.24</v>
      </c>
      <c r="L8" s="27">
        <f ca="1">IFERROR(__xludf.DUMMYFUNCTION("+SUM(L2:L7)"),119.24)</f>
        <v>119.24</v>
      </c>
      <c r="M8" s="27">
        <f ca="1">IFERROR(__xludf.DUMMYFUNCTION("+SUM(M2:M7)"),97.56)</f>
        <v>97.56</v>
      </c>
      <c r="N8" s="27">
        <f ca="1">IFERROR(__xludf.DUMMYFUNCTION("+SUM(B8:M8)"),1084)</f>
        <v>1084</v>
      </c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spans="1:25" ht="12" customHeight="1" x14ac:dyDescent="0.25">
      <c r="A9" s="24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spans="1:25" ht="12" customHeight="1" x14ac:dyDescent="0.25">
      <c r="A10" s="32" t="s">
        <v>50</v>
      </c>
      <c r="B10" s="24"/>
      <c r="C10" s="24"/>
      <c r="D10" s="24"/>
      <c r="E10" s="24"/>
      <c r="F10" s="24"/>
      <c r="G10" s="24"/>
      <c r="H10" s="24"/>
      <c r="I10" s="32" t="s">
        <v>5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</row>
    <row r="11" spans="1:25" ht="12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</row>
    <row r="12" spans="1:25" ht="12" customHeight="1" x14ac:dyDescent="0.25">
      <c r="A12" s="33" t="s">
        <v>14</v>
      </c>
      <c r="B12" s="34" t="s">
        <v>31</v>
      </c>
      <c r="C12" s="34" t="s">
        <v>32</v>
      </c>
      <c r="D12" s="34" t="s">
        <v>33</v>
      </c>
      <c r="E12" s="34" t="s">
        <v>34</v>
      </c>
      <c r="F12" s="34" t="s">
        <v>35</v>
      </c>
      <c r="G12" s="34" t="s">
        <v>36</v>
      </c>
      <c r="H12" s="34" t="s">
        <v>37</v>
      </c>
      <c r="I12" s="34" t="s">
        <v>38</v>
      </c>
      <c r="J12" s="34" t="s">
        <v>39</v>
      </c>
      <c r="K12" s="34" t="s">
        <v>40</v>
      </c>
      <c r="L12" s="34" t="s">
        <v>41</v>
      </c>
      <c r="M12" s="34" t="s">
        <v>42</v>
      </c>
      <c r="N12" s="34" t="s">
        <v>43</v>
      </c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</row>
    <row r="13" spans="1:25" ht="12" customHeight="1" x14ac:dyDescent="0.3">
      <c r="A13" s="25" t="s">
        <v>44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35">
        <v>0</v>
      </c>
      <c r="O13" s="28"/>
      <c r="P13" s="24"/>
      <c r="Q13" s="24"/>
      <c r="R13" s="24"/>
      <c r="S13" s="24"/>
      <c r="T13" s="24"/>
      <c r="U13" s="24"/>
      <c r="V13" s="24"/>
      <c r="W13" s="24"/>
      <c r="X13" s="24"/>
      <c r="Y13" s="24"/>
    </row>
    <row r="14" spans="1:25" ht="12" customHeight="1" x14ac:dyDescent="0.3">
      <c r="A14" s="25" t="s">
        <v>45</v>
      </c>
      <c r="B14" s="29">
        <v>1.4000000000000001</v>
      </c>
      <c r="C14" s="29">
        <v>1.4000000000000001</v>
      </c>
      <c r="D14" s="29">
        <v>1.4000000000000001</v>
      </c>
      <c r="E14" s="29">
        <v>1.4000000000000001</v>
      </c>
      <c r="F14" s="29">
        <v>1.4000000000000001</v>
      </c>
      <c r="G14" s="29">
        <v>3.08</v>
      </c>
      <c r="H14" s="29">
        <v>3.08</v>
      </c>
      <c r="I14" s="29">
        <v>3.08</v>
      </c>
      <c r="J14" s="29">
        <v>3.08</v>
      </c>
      <c r="K14" s="29">
        <v>3.08</v>
      </c>
      <c r="L14" s="29">
        <v>3.08</v>
      </c>
      <c r="M14" s="29">
        <v>2.52</v>
      </c>
      <c r="N14" s="35">
        <v>27.999999999999996</v>
      </c>
      <c r="O14" s="28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12" customHeight="1" x14ac:dyDescent="0.3">
      <c r="A15" s="25" t="s">
        <v>46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35">
        <v>0</v>
      </c>
      <c r="O15" s="28"/>
      <c r="P15" s="24"/>
      <c r="Q15" s="24"/>
      <c r="R15" s="24"/>
      <c r="S15" s="24"/>
      <c r="T15" s="24"/>
      <c r="U15" s="24"/>
      <c r="V15" s="24"/>
      <c r="W15" s="24"/>
      <c r="X15" s="24"/>
      <c r="Y15" s="24"/>
    </row>
    <row r="16" spans="1:25" ht="12" customHeight="1" x14ac:dyDescent="0.3">
      <c r="A16" s="25" t="s">
        <v>47</v>
      </c>
      <c r="B16" s="29">
        <v>5</v>
      </c>
      <c r="C16" s="29">
        <v>5</v>
      </c>
      <c r="D16" s="29">
        <v>5</v>
      </c>
      <c r="E16" s="29">
        <v>5</v>
      </c>
      <c r="F16" s="29">
        <v>5</v>
      </c>
      <c r="G16" s="29">
        <v>11</v>
      </c>
      <c r="H16" s="29">
        <v>11</v>
      </c>
      <c r="I16" s="29">
        <v>11</v>
      </c>
      <c r="J16" s="29">
        <v>11</v>
      </c>
      <c r="K16" s="29">
        <v>11</v>
      </c>
      <c r="L16" s="29">
        <v>11</v>
      </c>
      <c r="M16" s="29">
        <v>9</v>
      </c>
      <c r="N16" s="35">
        <v>100</v>
      </c>
      <c r="O16" s="28"/>
      <c r="P16" s="24"/>
      <c r="Q16" s="24"/>
      <c r="R16" s="24"/>
      <c r="S16" s="24"/>
      <c r="T16" s="24"/>
      <c r="U16" s="24"/>
      <c r="V16" s="24"/>
      <c r="W16" s="24"/>
      <c r="X16" s="24"/>
      <c r="Y16" s="24"/>
    </row>
    <row r="17" spans="1:25" ht="12" customHeight="1" x14ac:dyDescent="0.3">
      <c r="A17" s="25" t="s">
        <v>48</v>
      </c>
      <c r="B17" s="29">
        <v>0</v>
      </c>
      <c r="C17" s="29">
        <v>0</v>
      </c>
      <c r="D17" s="29">
        <v>0</v>
      </c>
      <c r="E17" s="29">
        <v>0</v>
      </c>
      <c r="F17" s="29">
        <v>0</v>
      </c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  <c r="N17" s="35">
        <v>0</v>
      </c>
      <c r="O17" s="28"/>
      <c r="P17" s="24"/>
      <c r="Q17" s="24"/>
      <c r="R17" s="24"/>
      <c r="S17" s="24"/>
      <c r="T17" s="24"/>
      <c r="U17" s="24"/>
      <c r="V17" s="24"/>
      <c r="W17" s="24"/>
      <c r="X17" s="24"/>
      <c r="Y17" s="24"/>
    </row>
    <row r="18" spans="1:25" ht="12" customHeight="1" x14ac:dyDescent="0.3">
      <c r="A18" s="25" t="s">
        <v>51</v>
      </c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35">
        <f ca="1">IFERROR(__xludf.DUMMYFUNCTION("+SUM(B18:M18)"),0)</f>
        <v>0</v>
      </c>
      <c r="O18" s="28"/>
      <c r="P18" s="24"/>
      <c r="Q18" s="24"/>
      <c r="R18" s="24"/>
      <c r="S18" s="24"/>
      <c r="T18" s="24"/>
      <c r="U18" s="24"/>
      <c r="V18" s="24"/>
      <c r="W18" s="24"/>
      <c r="X18" s="24"/>
      <c r="Y18" s="24"/>
    </row>
    <row r="19" spans="1:25" ht="12" customHeight="1" x14ac:dyDescent="0.3">
      <c r="A19" s="30" t="s">
        <v>52</v>
      </c>
      <c r="B19" s="35">
        <f ca="1">IFERROR(__xludf.DUMMYFUNCTION("+SUM(B13:B18)"),6.4)</f>
        <v>6.4</v>
      </c>
      <c r="C19" s="35">
        <f ca="1">IFERROR(__xludf.DUMMYFUNCTION("+SUM(C13:C18)"),6.4)</f>
        <v>6.4</v>
      </c>
      <c r="D19" s="35">
        <f ca="1">IFERROR(__xludf.DUMMYFUNCTION("+SUM(D13:D18)"),6.4)</f>
        <v>6.4</v>
      </c>
      <c r="E19" s="35">
        <f ca="1">IFERROR(__xludf.DUMMYFUNCTION("+SUM(E13:E18)"),6.4)</f>
        <v>6.4</v>
      </c>
      <c r="F19" s="35">
        <f ca="1">IFERROR(__xludf.DUMMYFUNCTION("+SUM(F13:F18)"),6.4)</f>
        <v>6.4</v>
      </c>
      <c r="G19" s="35">
        <f ca="1">IFERROR(__xludf.DUMMYFUNCTION("+SUM(G13:G18)"),14.08)</f>
        <v>14.08</v>
      </c>
      <c r="H19" s="35">
        <f ca="1">IFERROR(__xludf.DUMMYFUNCTION("+SUM(H13:H18)"),14.08)</f>
        <v>14.08</v>
      </c>
      <c r="I19" s="35">
        <f ca="1">IFERROR(__xludf.DUMMYFUNCTION("+SUM(I13:I18)"),14.08)</f>
        <v>14.08</v>
      </c>
      <c r="J19" s="35">
        <f ca="1">IFERROR(__xludf.DUMMYFUNCTION("+SUM(J13:J18)"),14.08)</f>
        <v>14.08</v>
      </c>
      <c r="K19" s="35">
        <f ca="1">IFERROR(__xludf.DUMMYFUNCTION("+SUM(K13:K18)"),14.08)</f>
        <v>14.08</v>
      </c>
      <c r="L19" s="35">
        <f ca="1">IFERROR(__xludf.DUMMYFUNCTION("+SUM(L13:L18)"),14.08)</f>
        <v>14.08</v>
      </c>
      <c r="M19" s="35">
        <f ca="1">IFERROR(__xludf.DUMMYFUNCTION("+SUM(M13:M18)"),11.52)</f>
        <v>11.52</v>
      </c>
      <c r="N19" s="35">
        <f ca="1">IFERROR(__xludf.DUMMYFUNCTION("+SUM(B19:M19)"),127.999999999999)</f>
        <v>127.99999999999901</v>
      </c>
      <c r="O19" s="28"/>
      <c r="P19" s="24"/>
      <c r="Q19" s="24"/>
      <c r="R19" s="24"/>
      <c r="S19" s="24"/>
      <c r="T19" s="24"/>
      <c r="U19" s="24"/>
      <c r="V19" s="24"/>
      <c r="W19" s="24"/>
      <c r="X19" s="24"/>
      <c r="Y19" s="24"/>
    </row>
    <row r="20" spans="1:25" ht="12" customHeight="1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8"/>
      <c r="P20" s="24"/>
      <c r="Q20" s="24"/>
      <c r="R20" s="24"/>
      <c r="S20" s="24"/>
      <c r="T20" s="24"/>
      <c r="U20" s="24"/>
      <c r="V20" s="24"/>
      <c r="W20" s="24"/>
      <c r="X20" s="24"/>
      <c r="Y20" s="24"/>
    </row>
    <row r="21" spans="1:25" ht="12" customHeight="1" x14ac:dyDescent="0.25">
      <c r="A21" s="32" t="s">
        <v>53</v>
      </c>
      <c r="B21" s="24"/>
      <c r="C21" s="24"/>
      <c r="D21" s="24"/>
      <c r="E21" s="24"/>
      <c r="F21" s="24"/>
      <c r="G21" s="24"/>
      <c r="H21" s="24"/>
      <c r="I21" s="32" t="s">
        <v>5</v>
      </c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</row>
    <row r="22" spans="1:25" ht="12" customHeight="1" x14ac:dyDescent="0.25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</row>
    <row r="23" spans="1:25" ht="12" customHeight="1" x14ac:dyDescent="0.25">
      <c r="A23" s="36" t="s">
        <v>54</v>
      </c>
      <c r="B23" s="37" t="s">
        <v>31</v>
      </c>
      <c r="C23" s="37" t="s">
        <v>32</v>
      </c>
      <c r="D23" s="37" t="s">
        <v>33</v>
      </c>
      <c r="E23" s="37" t="s">
        <v>34</v>
      </c>
      <c r="F23" s="37" t="s">
        <v>35</v>
      </c>
      <c r="G23" s="37" t="s">
        <v>36</v>
      </c>
      <c r="H23" s="37" t="s">
        <v>37</v>
      </c>
      <c r="I23" s="37" t="s">
        <v>38</v>
      </c>
      <c r="J23" s="37" t="s">
        <v>39</v>
      </c>
      <c r="K23" s="37" t="s">
        <v>40</v>
      </c>
      <c r="L23" s="37" t="s">
        <v>41</v>
      </c>
      <c r="M23" s="37" t="s">
        <v>42</v>
      </c>
      <c r="N23" s="37" t="s">
        <v>43</v>
      </c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</row>
    <row r="24" spans="1:25" ht="12" customHeight="1" x14ac:dyDescent="0.3">
      <c r="A24" s="25" t="s">
        <v>44</v>
      </c>
      <c r="B24" s="29">
        <v>32.4</v>
      </c>
      <c r="C24" s="29">
        <v>32.4</v>
      </c>
      <c r="D24" s="29">
        <v>32.4</v>
      </c>
      <c r="E24" s="29">
        <v>32.4</v>
      </c>
      <c r="F24" s="29">
        <v>32.4</v>
      </c>
      <c r="G24" s="29">
        <v>71.28</v>
      </c>
      <c r="H24" s="29">
        <v>71.28</v>
      </c>
      <c r="I24" s="29">
        <v>71.28</v>
      </c>
      <c r="J24" s="29">
        <v>71.28</v>
      </c>
      <c r="K24" s="29">
        <v>71.28</v>
      </c>
      <c r="L24" s="29">
        <v>71.28</v>
      </c>
      <c r="M24" s="29">
        <v>58.32</v>
      </c>
      <c r="N24" s="35">
        <f ca="1">IFERROR(__xludf.DUMMYFUNCTION("+SUM(B24:M24)"),648)</f>
        <v>648</v>
      </c>
      <c r="O24" s="28"/>
      <c r="P24" s="24"/>
      <c r="Q24" s="24"/>
      <c r="R24" s="24"/>
      <c r="S24" s="24"/>
      <c r="T24" s="24"/>
      <c r="U24" s="24"/>
      <c r="V24" s="24"/>
      <c r="W24" s="24"/>
      <c r="X24" s="24"/>
      <c r="Y24" s="24"/>
    </row>
    <row r="25" spans="1:25" ht="12" customHeight="1" x14ac:dyDescent="0.3">
      <c r="A25" s="25" t="s">
        <v>45</v>
      </c>
      <c r="B25" s="29">
        <v>5</v>
      </c>
      <c r="C25" s="29">
        <v>5</v>
      </c>
      <c r="D25" s="29">
        <v>5</v>
      </c>
      <c r="E25" s="29">
        <v>5</v>
      </c>
      <c r="F25" s="29">
        <v>5</v>
      </c>
      <c r="G25" s="29">
        <v>11</v>
      </c>
      <c r="H25" s="29">
        <v>11</v>
      </c>
      <c r="I25" s="29">
        <v>11</v>
      </c>
      <c r="J25" s="29">
        <v>11</v>
      </c>
      <c r="K25" s="29">
        <v>11</v>
      </c>
      <c r="L25" s="29">
        <v>11</v>
      </c>
      <c r="M25" s="29">
        <v>9</v>
      </c>
      <c r="N25" s="35">
        <f ca="1">IFERROR(__xludf.DUMMYFUNCTION("+SUM(B25:M25)"),100)</f>
        <v>100</v>
      </c>
      <c r="O25" s="28"/>
      <c r="P25" s="24"/>
      <c r="Q25" s="24"/>
      <c r="R25" s="24"/>
      <c r="S25" s="24"/>
      <c r="T25" s="24"/>
      <c r="U25" s="24"/>
      <c r="V25" s="24"/>
      <c r="W25" s="24"/>
      <c r="X25" s="24"/>
      <c r="Y25" s="24"/>
    </row>
    <row r="26" spans="1:25" ht="12" customHeight="1" x14ac:dyDescent="0.3">
      <c r="A26" s="25" t="s">
        <v>46</v>
      </c>
      <c r="B26" s="29">
        <v>0</v>
      </c>
      <c r="C26" s="29">
        <v>0</v>
      </c>
      <c r="D26" s="29">
        <v>0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35">
        <f ca="1">IFERROR(__xludf.DUMMYFUNCTION("+SUM(B26:M26)"),0)</f>
        <v>0</v>
      </c>
      <c r="O26" s="28"/>
      <c r="P26" s="24"/>
      <c r="Q26" s="24"/>
      <c r="R26" s="24"/>
      <c r="S26" s="24"/>
      <c r="T26" s="24"/>
      <c r="U26" s="24"/>
      <c r="V26" s="24"/>
      <c r="W26" s="24"/>
      <c r="X26" s="24"/>
      <c r="Y26" s="24"/>
    </row>
    <row r="27" spans="1:25" ht="12" customHeight="1" x14ac:dyDescent="0.3">
      <c r="A27" s="25" t="s">
        <v>47</v>
      </c>
      <c r="B27" s="29">
        <v>10.4</v>
      </c>
      <c r="C27" s="29">
        <v>10.4</v>
      </c>
      <c r="D27" s="29">
        <v>10.4</v>
      </c>
      <c r="E27" s="29">
        <v>10.4</v>
      </c>
      <c r="F27" s="29">
        <v>10.4</v>
      </c>
      <c r="G27" s="29">
        <v>22.880000000000003</v>
      </c>
      <c r="H27" s="29">
        <v>22.880000000000003</v>
      </c>
      <c r="I27" s="29">
        <v>22.880000000000003</v>
      </c>
      <c r="J27" s="29">
        <v>22.880000000000003</v>
      </c>
      <c r="K27" s="29">
        <v>22.880000000000003</v>
      </c>
      <c r="L27" s="29">
        <v>22.880000000000003</v>
      </c>
      <c r="M27" s="29">
        <v>18.72</v>
      </c>
      <c r="N27" s="35">
        <f ca="1">IFERROR(__xludf.DUMMYFUNCTION("+SUM(B27:M27)"),207.999999999999)</f>
        <v>207.99999999999901</v>
      </c>
      <c r="O27" s="28"/>
      <c r="P27" s="24"/>
      <c r="Q27" s="24"/>
      <c r="R27" s="24"/>
      <c r="S27" s="24"/>
      <c r="T27" s="24"/>
      <c r="U27" s="24"/>
      <c r="V27" s="24"/>
      <c r="W27" s="24"/>
      <c r="X27" s="24"/>
      <c r="Y27" s="24"/>
    </row>
    <row r="28" spans="1:25" ht="12" customHeight="1" x14ac:dyDescent="0.3">
      <c r="A28" s="25" t="s">
        <v>48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35">
        <f ca="1">IFERROR(__xludf.DUMMYFUNCTION("+SUM(B28:M28)"),0)</f>
        <v>0</v>
      </c>
      <c r="O28" s="28"/>
      <c r="P28" s="24"/>
      <c r="Q28" s="24"/>
      <c r="R28" s="24"/>
      <c r="S28" s="24"/>
      <c r="T28" s="24"/>
      <c r="U28" s="24"/>
      <c r="V28" s="24"/>
      <c r="W28" s="24"/>
      <c r="X28" s="24"/>
      <c r="Y28" s="24"/>
    </row>
    <row r="29" spans="1:25" ht="12" customHeight="1" x14ac:dyDescent="0.25">
      <c r="A29" s="25" t="s">
        <v>51</v>
      </c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8"/>
      <c r="P29" s="24"/>
      <c r="Q29" s="24"/>
      <c r="R29" s="24"/>
      <c r="S29" s="24"/>
      <c r="T29" s="24"/>
      <c r="U29" s="24"/>
      <c r="V29" s="24"/>
      <c r="W29" s="24"/>
      <c r="X29" s="24"/>
      <c r="Y29" s="24"/>
    </row>
    <row r="30" spans="1:25" ht="12" customHeight="1" x14ac:dyDescent="0.3">
      <c r="A30" s="30" t="s">
        <v>55</v>
      </c>
      <c r="B30" s="35">
        <f ca="1">IFERROR(__xludf.DUMMYFUNCTION("+SUM(B24:B29)"),47.8)</f>
        <v>47.8</v>
      </c>
      <c r="C30" s="35">
        <f ca="1">IFERROR(__xludf.DUMMYFUNCTION("+SUM(C24:C29)"),47.8)</f>
        <v>47.8</v>
      </c>
      <c r="D30" s="35">
        <f ca="1">IFERROR(__xludf.DUMMYFUNCTION("+SUM(D24:D29)"),47.8)</f>
        <v>47.8</v>
      </c>
      <c r="E30" s="35">
        <f ca="1">IFERROR(__xludf.DUMMYFUNCTION("+SUM(E24:E29)"),47.8)</f>
        <v>47.8</v>
      </c>
      <c r="F30" s="35">
        <f ca="1">IFERROR(__xludf.DUMMYFUNCTION("+SUM(F24:F29)"),47.8)</f>
        <v>47.8</v>
      </c>
      <c r="G30" s="35">
        <f ca="1">IFERROR(__xludf.DUMMYFUNCTION("+SUM(G24:G29)"),105.16)</f>
        <v>105.16</v>
      </c>
      <c r="H30" s="35">
        <f ca="1">IFERROR(__xludf.DUMMYFUNCTION("+SUM(H24:H29)"),105.16)</f>
        <v>105.16</v>
      </c>
      <c r="I30" s="35">
        <f ca="1">IFERROR(__xludf.DUMMYFUNCTION("+SUM(I24:I29)"),105.16)</f>
        <v>105.16</v>
      </c>
      <c r="J30" s="35">
        <f ca="1">IFERROR(__xludf.DUMMYFUNCTION("+SUM(J24:J29)"),105.16)</f>
        <v>105.16</v>
      </c>
      <c r="K30" s="35">
        <f ca="1">IFERROR(__xludf.DUMMYFUNCTION("+SUM(K24:K29)"),105.16)</f>
        <v>105.16</v>
      </c>
      <c r="L30" s="35">
        <f ca="1">IFERROR(__xludf.DUMMYFUNCTION("+SUM(L24:L29)"),105.16)</f>
        <v>105.16</v>
      </c>
      <c r="M30" s="35">
        <f ca="1">IFERROR(__xludf.DUMMYFUNCTION("+SUM(M24:M29)"),86.0399999999999)</f>
        <v>86.039999999999907</v>
      </c>
      <c r="N30" s="35">
        <f ca="1">IFERROR(__xludf.DUMMYFUNCTION("+SUM(N24:N29)"),956)</f>
        <v>956</v>
      </c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</row>
    <row r="31" spans="1:25" ht="12" customHeight="1" x14ac:dyDescent="0.2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</row>
    <row r="32" spans="1:25" ht="12" customHeight="1" x14ac:dyDescent="0.25">
      <c r="A32" s="38" t="s">
        <v>56</v>
      </c>
      <c r="B32" s="39"/>
      <c r="C32" s="39"/>
      <c r="D32" s="39"/>
      <c r="E32" s="39"/>
      <c r="F32" s="39"/>
      <c r="G32" s="39"/>
      <c r="H32" s="24"/>
      <c r="I32" s="32" t="s">
        <v>5</v>
      </c>
      <c r="J32" s="39"/>
      <c r="K32" s="39"/>
      <c r="L32" s="39"/>
      <c r="M32" s="39"/>
      <c r="N32" s="39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</row>
    <row r="33" spans="1:25" ht="12" customHeight="1" x14ac:dyDescent="0.2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</row>
    <row r="34" spans="1:25" ht="12" customHeight="1" x14ac:dyDescent="0.25">
      <c r="A34" s="40" t="s">
        <v>54</v>
      </c>
      <c r="B34" s="41" t="s">
        <v>31</v>
      </c>
      <c r="C34" s="41" t="s">
        <v>32</v>
      </c>
      <c r="D34" s="41" t="s">
        <v>33</v>
      </c>
      <c r="E34" s="41" t="s">
        <v>34</v>
      </c>
      <c r="F34" s="41" t="s">
        <v>35</v>
      </c>
      <c r="G34" s="41" t="s">
        <v>36</v>
      </c>
      <c r="H34" s="41" t="s">
        <v>37</v>
      </c>
      <c r="I34" s="41" t="s">
        <v>38</v>
      </c>
      <c r="J34" s="41" t="s">
        <v>39</v>
      </c>
      <c r="K34" s="41" t="s">
        <v>40</v>
      </c>
      <c r="L34" s="41" t="s">
        <v>41</v>
      </c>
      <c r="M34" s="41" t="s">
        <v>42</v>
      </c>
      <c r="N34" s="41" t="s">
        <v>43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</row>
    <row r="35" spans="1:25" ht="12" customHeight="1" x14ac:dyDescent="0.3">
      <c r="A35" s="25" t="s">
        <v>57</v>
      </c>
      <c r="B35" s="29">
        <v>1083.45</v>
      </c>
      <c r="C35" s="29">
        <v>1083.45</v>
      </c>
      <c r="D35" s="29">
        <v>1083.45</v>
      </c>
      <c r="E35" s="29">
        <v>1083.45</v>
      </c>
      <c r="F35" s="29">
        <v>1083.45</v>
      </c>
      <c r="G35" s="42">
        <v>2383.59</v>
      </c>
      <c r="H35" s="42">
        <v>2383.59</v>
      </c>
      <c r="I35" s="42">
        <v>2383.59</v>
      </c>
      <c r="J35" s="42">
        <v>2383.59</v>
      </c>
      <c r="K35" s="42">
        <v>2383.59</v>
      </c>
      <c r="L35" s="42">
        <v>2383.59</v>
      </c>
      <c r="M35" s="42">
        <v>1950.21</v>
      </c>
      <c r="N35" s="35">
        <f ca="1">IFERROR(__xludf.DUMMYFUNCTION("+SUM(B35:M35)"),21669)</f>
        <v>21669</v>
      </c>
      <c r="O35" s="28"/>
      <c r="P35" s="24"/>
      <c r="Q35" s="24"/>
      <c r="R35" s="24"/>
      <c r="S35" s="24"/>
      <c r="T35" s="24"/>
      <c r="U35" s="24"/>
      <c r="V35" s="24"/>
      <c r="W35" s="24"/>
      <c r="X35" s="24"/>
      <c r="Y35" s="24"/>
    </row>
    <row r="36" spans="1:25" ht="12" customHeight="1" x14ac:dyDescent="0.3">
      <c r="A36" s="25" t="s">
        <v>18</v>
      </c>
      <c r="B36" s="29">
        <v>835</v>
      </c>
      <c r="C36" s="29">
        <v>835</v>
      </c>
      <c r="D36" s="29">
        <v>835</v>
      </c>
      <c r="E36" s="29">
        <v>835</v>
      </c>
      <c r="F36" s="29">
        <v>835</v>
      </c>
      <c r="G36" s="42">
        <v>1837</v>
      </c>
      <c r="H36" s="42">
        <v>1837</v>
      </c>
      <c r="I36" s="42">
        <v>1837</v>
      </c>
      <c r="J36" s="42">
        <v>1837</v>
      </c>
      <c r="K36" s="42">
        <v>1837</v>
      </c>
      <c r="L36" s="42">
        <v>1837</v>
      </c>
      <c r="M36" s="42">
        <v>1503</v>
      </c>
      <c r="N36" s="35">
        <f ca="1">IFERROR(__xludf.DUMMYFUNCTION("+SUM(B36:M36)"),16700)</f>
        <v>16700</v>
      </c>
      <c r="O36" s="28"/>
      <c r="P36" s="24"/>
      <c r="Q36" s="24"/>
      <c r="R36" s="24"/>
      <c r="S36" s="24"/>
      <c r="T36" s="24"/>
      <c r="U36" s="24"/>
      <c r="V36" s="24"/>
      <c r="W36" s="24"/>
      <c r="X36" s="24"/>
      <c r="Y36" s="24"/>
    </row>
    <row r="37" spans="1:25" ht="12" customHeight="1" x14ac:dyDescent="0.2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8"/>
      <c r="P37" s="24"/>
      <c r="Q37" s="24"/>
      <c r="R37" s="24"/>
      <c r="S37" s="24"/>
      <c r="T37" s="24"/>
      <c r="U37" s="24"/>
      <c r="V37" s="24"/>
      <c r="W37" s="24"/>
      <c r="X37" s="24"/>
      <c r="Y37" s="24"/>
    </row>
    <row r="38" spans="1:25" ht="12" customHeight="1" x14ac:dyDescent="0.2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</row>
    <row r="39" spans="1:25" ht="12" customHeight="1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</row>
    <row r="40" spans="1:25" ht="12" customHeight="1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</row>
    <row r="41" spans="1:25" ht="12" customHeight="1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</row>
    <row r="42" spans="1:25" ht="12" customHeight="1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</row>
    <row r="43" spans="1:25" ht="12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</row>
    <row r="44" spans="1:25" ht="12" customHeight="1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</row>
    <row r="45" spans="1:25" ht="12" customHeigh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</row>
    <row r="46" spans="1:25" ht="12" customHeight="1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</row>
    <row r="47" spans="1:25" ht="12" customHeight="1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</row>
    <row r="48" spans="1:25" ht="12" customHeight="1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</row>
    <row r="49" spans="1:25" ht="12" customHeight="1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</row>
    <row r="50" spans="1:25" ht="12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</row>
    <row r="51" spans="1:25" ht="12" customHeight="1" x14ac:dyDescent="0.25"/>
    <row r="52" spans="1:25" ht="12" customHeight="1" x14ac:dyDescent="0.25"/>
    <row r="53" spans="1:25" ht="12" customHeight="1" x14ac:dyDescent="0.25"/>
    <row r="54" spans="1:25" ht="12" customHeight="1" x14ac:dyDescent="0.25"/>
    <row r="55" spans="1:25" ht="12" customHeight="1" x14ac:dyDescent="0.25"/>
    <row r="56" spans="1:25" ht="12" customHeight="1" x14ac:dyDescent="0.25"/>
    <row r="57" spans="1:25" ht="12" customHeight="1" x14ac:dyDescent="0.25"/>
    <row r="58" spans="1:25" ht="12" customHeight="1" x14ac:dyDescent="0.25"/>
    <row r="59" spans="1:25" ht="12" customHeight="1" x14ac:dyDescent="0.25"/>
    <row r="60" spans="1:25" ht="12" customHeight="1" x14ac:dyDescent="0.25"/>
    <row r="61" spans="1:25" ht="12" customHeight="1" x14ac:dyDescent="0.25"/>
    <row r="62" spans="1:25" ht="12" customHeight="1" x14ac:dyDescent="0.25"/>
    <row r="63" spans="1:25" ht="12" customHeight="1" x14ac:dyDescent="0.25"/>
    <row r="64" spans="1:25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19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IFERROR(__xludf.DUMMYFUNCTION("+Hoja2!C8"),54.1999999999999)</f>
        <v>54.199999999999903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IFERROR(__xludf.DUMMYFUNCTION("+B8+ENE!F8"),108.399999999999)</f>
        <v>108.399999999999</v>
      </c>
      <c r="G8" s="8">
        <f ca="1">IFERROR(__xludf.DUMMYFUNCTION("+C8+ENE!G8"),0)</f>
        <v>0</v>
      </c>
      <c r="H8" s="9">
        <f ca="1">IFERROR(__xludf.DUMMYFUNCTION("+IFERROR((G8/F8),0)"),0)</f>
        <v>0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IFERROR(__xludf.DUMMYFUNCTION("+Hoja2!C19"),6.4)</f>
        <v>6.4</v>
      </c>
      <c r="C9" s="8">
        <v>27</v>
      </c>
      <c r="D9" s="9">
        <f ca="1">IFERROR(__xludf.DUMMYFUNCTION("+IFERROR((C9/B9),0)"),4.21875)</f>
        <v>4.21875</v>
      </c>
      <c r="E9" s="8"/>
      <c r="F9" s="8">
        <f ca="1">IFERROR(__xludf.DUMMYFUNCTION("+B9+ENE!F9"),12.8)</f>
        <v>12.8</v>
      </c>
      <c r="G9" s="8">
        <f ca="1">IFERROR(__xludf.DUMMYFUNCTION("+C9+ENE!G9"),27)</f>
        <v>27</v>
      </c>
      <c r="H9" s="9">
        <f ca="1">IFERROR(__xludf.DUMMYFUNCTION("+IFERROR((G9/F9),0)"),2.109375)</f>
        <v>2.109375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IFERROR(__xludf.DUMMYFUNCTION("+B8-B9"),47.8)</f>
        <v>47.8</v>
      </c>
      <c r="C10" s="12">
        <f ca="1">IFERROR(__xludf.DUMMYFUNCTION("+C8-C9"),-27)</f>
        <v>-27</v>
      </c>
      <c r="D10" s="13">
        <f ca="1">IFERROR(__xludf.DUMMYFUNCTION("+IFERROR(C10/B10,0)"),-0.564853556485355)</f>
        <v>-0.56485355648535496</v>
      </c>
      <c r="E10" s="12">
        <f ca="1">IFERROR(__xludf.DUMMYFUNCTION("+E8-E9"),0)</f>
        <v>0</v>
      </c>
      <c r="F10" s="12">
        <f ca="1">IFERROR(__xludf.DUMMYFUNCTION("+F8-F9"),95.6)</f>
        <v>95.6</v>
      </c>
      <c r="G10" s="12">
        <f ca="1">IFERROR(__xludf.DUMMYFUNCTION("+G8-G9"),-27)</f>
        <v>-27</v>
      </c>
      <c r="H10" s="13">
        <f ca="1">IFERROR(__xludf.DUMMYFUNCTION("+IFERROR(G10/F10,0)"),-0.282426778242677)</f>
        <v>-0.28242677824267698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47.8</v>
      </c>
      <c r="C13" s="12">
        <f t="shared" ca="1" si="0"/>
        <v>-27</v>
      </c>
      <c r="D13" s="13">
        <f ca="1">IFERROR(__xludf.DUMMYFUNCTION("+IFERROR((C13/B13),0)"),-0.564853556485355)</f>
        <v>-0.56485355648535496</v>
      </c>
      <c r="E13" s="12">
        <f t="shared" ref="E13:G13" ca="1" si="1">E10</f>
        <v>0</v>
      </c>
      <c r="F13" s="12">
        <f t="shared" ca="1" si="1"/>
        <v>95.6</v>
      </c>
      <c r="G13" s="12">
        <f t="shared" ca="1" si="1"/>
        <v>-27</v>
      </c>
      <c r="H13" s="13">
        <f ca="1">IFERROR(__xludf.DUMMYFUNCTION("+IFERROR((G13/F13),0)"),-0.282426778242677)</f>
        <v>-0.28242677824267698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IFERROR(__xludf.DUMMYFUNCTION("+Hoja2!C35"),1083.45)</f>
        <v>1083.45</v>
      </c>
      <c r="C15" s="8">
        <v>1143</v>
      </c>
      <c r="D15" s="13">
        <f ca="1">IFERROR(__xludf.DUMMYFUNCTION("+IFERROR((C15/B15),0)"),1.05496331164336)</f>
        <v>1.0549633116433601</v>
      </c>
      <c r="E15" s="8"/>
      <c r="F15" s="8">
        <f ca="1">IFERROR(__xludf.DUMMYFUNCTION("+B15+ENE!F15"),2166.9)</f>
        <v>2166.9</v>
      </c>
      <c r="G15" s="8">
        <f ca="1">IFERROR(__xludf.DUMMYFUNCTION("+C15+ENE!G15"),1143)</f>
        <v>1143</v>
      </c>
      <c r="H15" s="13">
        <f ca="1">IFERROR(__xludf.DUMMYFUNCTION("+IFERROR((G15/F15),0)"),0.52748165582168)</f>
        <v>0.52748165582168005</v>
      </c>
      <c r="I15" s="18">
        <f>E15+ENE!I15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IFERROR(__xludf.DUMMYFUNCTION("+Hoja2!C36"),835)</f>
        <v>835</v>
      </c>
      <c r="C17" s="8">
        <v>13</v>
      </c>
      <c r="D17" s="13">
        <f ca="1">IFERROR(__xludf.DUMMYFUNCTION("+IFERROR((C17/B17),0)"),0.0155688622754491)</f>
        <v>1.55688622754491E-2</v>
      </c>
      <c r="E17" s="8"/>
      <c r="F17" s="8">
        <f ca="1">IFERROR(__xludf.DUMMYFUNCTION("+B17+ENE!F17"),1670)</f>
        <v>1670</v>
      </c>
      <c r="G17" s="8">
        <f ca="1">IFERROR(__xludf.DUMMYFUNCTION("+C17+ENE!G17"),13)</f>
        <v>13</v>
      </c>
      <c r="H17" s="13">
        <f ca="1">IFERROR(__xludf.DUMMYFUNCTION("+IFERROR((G17/F17),0)"),0.00778443113772455)</f>
        <v>7.7844311377245502E-3</v>
      </c>
      <c r="I17" s="18">
        <f>E17+ENE!I17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11" width="11.453125" customWidth="1"/>
    <col min="12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20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2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IFERROR(__xludf.DUMMYFUNCTION("+Hoja2!D8"),54.1999999999999)</f>
        <v>54.199999999999903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IFERROR(__xludf.DUMMYFUNCTION("+B8+FEB!F8"),162.6)</f>
        <v>162.6</v>
      </c>
      <c r="G8" s="8">
        <f ca="1">IFERROR(__xludf.DUMMYFUNCTION("+C8+FEB!G8"),0)</f>
        <v>0</v>
      </c>
      <c r="H8" s="9">
        <f ca="1">IFERROR(__xludf.DUMMYFUNCTION("+IFERROR((G8/F8),0)"),0)</f>
        <v>0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IFERROR(__xludf.DUMMYFUNCTION("+Hoja2!D19"),6.4)</f>
        <v>6.4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IFERROR(__xludf.DUMMYFUNCTION("+B9+FEB!F9"),19.2)</f>
        <v>19.2</v>
      </c>
      <c r="G9" s="8">
        <f ca="1">IFERROR(__xludf.DUMMYFUNCTION("+C9+FEB!G9"),27)</f>
        <v>27</v>
      </c>
      <c r="H9" s="9">
        <f ca="1">IFERROR(__xludf.DUMMYFUNCTION("+IFERROR((G9/F9),0)"),1.40624999999999)</f>
        <v>1.40624999999999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IFERROR(__xludf.DUMMYFUNCTION("+B8-B9"),47.8)</f>
        <v>47.8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IFERROR(__xludf.DUMMYFUNCTION("+F8-F9"),143.399999999999)</f>
        <v>143.39999999999901</v>
      </c>
      <c r="G10" s="12">
        <f ca="1">IFERROR(__xludf.DUMMYFUNCTION("+G8-G9"),-27)</f>
        <v>-27</v>
      </c>
      <c r="H10" s="13">
        <f ca="1">IFERROR(__xludf.DUMMYFUNCTION("+IFERROR(G10/F10,0)"),-0.188284518828451)</f>
        <v>-0.18828451882845099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47.8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143.39999999999901</v>
      </c>
      <c r="G13" s="12">
        <f t="shared" ca="1" si="1"/>
        <v>-27</v>
      </c>
      <c r="H13" s="13">
        <f ca="1">IFERROR(__xludf.DUMMYFUNCTION("+IFERROR((G13/F13),0)"),-0.188284518828451)</f>
        <v>-0.18828451882845099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IFERROR(__xludf.DUMMYFUNCTION("+Hoja2!D35"),1083.45)</f>
        <v>1083.45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IFERROR(__xludf.DUMMYFUNCTION("+B15+FEB!F15"),3250.35)</f>
        <v>3250.35</v>
      </c>
      <c r="G15" s="8">
        <f ca="1">IFERROR(__xludf.DUMMYFUNCTION("+C15+FEB!G15"),1143)</f>
        <v>1143</v>
      </c>
      <c r="H15" s="13">
        <f ca="1">IFERROR(__xludf.DUMMYFUNCTION("+IFERROR((G15/F15),0)"),0.351654437214453)</f>
        <v>0.351654437214453</v>
      </c>
      <c r="I15" s="18">
        <f>E15+FEB!I15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IFERROR(__xludf.DUMMYFUNCTION("+Hoja2!D36"),835)</f>
        <v>835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IFERROR(__xludf.DUMMYFUNCTION("+B17+FEB!F17"),2505)</f>
        <v>2505</v>
      </c>
      <c r="G17" s="8">
        <f ca="1">IFERROR(__xludf.DUMMYFUNCTION("+C17+FEB!G17"),13)</f>
        <v>13</v>
      </c>
      <c r="H17" s="13">
        <f ca="1">IFERROR(__xludf.DUMMYFUNCTION("+IFERROR((G17/F17),0)"),0.00518962075848303)</f>
        <v>5.1896207584830297E-3</v>
      </c>
      <c r="I17" s="18">
        <f>E17+FEB!I17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2" t="s">
        <v>21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IFERROR(__xludf.DUMMYFUNCTION("+Hoja2!E8"),54.1999999999999)</f>
        <v>54.199999999999903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IFERROR(__xludf.DUMMYFUNCTION("+B8+MAR!F8"),216.799999999999)</f>
        <v>216.79999999999899</v>
      </c>
      <c r="G8" s="8">
        <f ca="1">IFERROR(__xludf.DUMMYFUNCTION("+C8+MAR!G8"),0)</f>
        <v>0</v>
      </c>
      <c r="H8" s="9">
        <f ca="1">IFERROR(__xludf.DUMMYFUNCTION("+IFERROR((G8/F8),0)"),0)</f>
        <v>0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IFERROR(__xludf.DUMMYFUNCTION("+Hoja2!E19"),6.4)</f>
        <v>6.4</v>
      </c>
      <c r="C9" s="8">
        <v>69</v>
      </c>
      <c r="D9" s="9">
        <f ca="1">IFERROR(__xludf.DUMMYFUNCTION("+IFERROR((C9/B9),0)"),10.78125)</f>
        <v>10.78125</v>
      </c>
      <c r="E9" s="8"/>
      <c r="F9" s="8">
        <f ca="1">IFERROR(__xludf.DUMMYFUNCTION("+B9+MAR!F9"),25.6)</f>
        <v>25.6</v>
      </c>
      <c r="G9" s="8">
        <f ca="1">IFERROR(__xludf.DUMMYFUNCTION("+C9+MAR!G9"),96)</f>
        <v>96</v>
      </c>
      <c r="H9" s="9">
        <f ca="1">IFERROR(__xludf.DUMMYFUNCTION("+IFERROR((G9/F9),0)"),3.75)</f>
        <v>3.75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IFERROR(__xludf.DUMMYFUNCTION("+B8-B9"),47.8)</f>
        <v>47.8</v>
      </c>
      <c r="C10" s="12">
        <f ca="1">IFERROR(__xludf.DUMMYFUNCTION("+C8-C9"),-69)</f>
        <v>-69</v>
      </c>
      <c r="D10" s="13">
        <f ca="1">IFERROR(__xludf.DUMMYFUNCTION("+IFERROR(C10/B10,0)"),-1.44351464435146)</f>
        <v>-1.4435146443514599</v>
      </c>
      <c r="E10" s="12">
        <f ca="1">IFERROR(__xludf.DUMMYFUNCTION("+E8-E9"),0)</f>
        <v>0</v>
      </c>
      <c r="F10" s="12">
        <f ca="1">IFERROR(__xludf.DUMMYFUNCTION("+F8-F9"),191.2)</f>
        <v>191.2</v>
      </c>
      <c r="G10" s="12">
        <f ca="1">IFERROR(__xludf.DUMMYFUNCTION("+G8-G9"),-96)</f>
        <v>-96</v>
      </c>
      <c r="H10" s="13">
        <f ca="1">IFERROR(__xludf.DUMMYFUNCTION("+IFERROR(G10/F10,0)"),-0.502092050209205)</f>
        <v>-0.502092050209205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47.8</v>
      </c>
      <c r="C13" s="12">
        <f t="shared" ca="1" si="0"/>
        <v>-69</v>
      </c>
      <c r="D13" s="13">
        <f ca="1">IFERROR(__xludf.DUMMYFUNCTION("+IFERROR((C13/B13),0)"),-1.44351464435146)</f>
        <v>-1.4435146443514599</v>
      </c>
      <c r="E13" s="12">
        <f t="shared" ref="E13:G13" ca="1" si="1">E10</f>
        <v>0</v>
      </c>
      <c r="F13" s="12">
        <f t="shared" ca="1" si="1"/>
        <v>191.2</v>
      </c>
      <c r="G13" s="12">
        <f t="shared" ca="1" si="1"/>
        <v>-96</v>
      </c>
      <c r="H13" s="13">
        <f ca="1">IFERROR(__xludf.DUMMYFUNCTION("+IFERROR((G13/F13),0)"),-0.502092050209205)</f>
        <v>-0.502092050209205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IFERROR(__xludf.DUMMYFUNCTION("+Hoja2!E35"),1083.45)</f>
        <v>1083.45</v>
      </c>
      <c r="C15" s="8">
        <v>2615</v>
      </c>
      <c r="D15" s="13">
        <f ca="1">IFERROR(__xludf.DUMMYFUNCTION("+IFERROR((C15/B15),0)"),2.41358622917531)</f>
        <v>2.4135862291753098</v>
      </c>
      <c r="E15" s="8"/>
      <c r="F15" s="8">
        <f ca="1">IFERROR(__xludf.DUMMYFUNCTION("+B15+MAR!F15"),4333.8)</f>
        <v>4333.8</v>
      </c>
      <c r="G15" s="8">
        <f ca="1">IFERROR(__xludf.DUMMYFUNCTION("+C15+MAR!G15"),3758)</f>
        <v>3758</v>
      </c>
      <c r="H15" s="13">
        <f ca="1">IFERROR(__xludf.DUMMYFUNCTION("+IFERROR((G15/F15),0)"),0.86713738520467)</f>
        <v>0.86713738520466999</v>
      </c>
      <c r="I15" s="18">
        <f>E15+MAR!I15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IFERROR(__xludf.DUMMYFUNCTION("+Hoja2!E36"),835)</f>
        <v>835</v>
      </c>
      <c r="C17" s="8">
        <v>273</v>
      </c>
      <c r="D17" s="13">
        <f ca="1">IFERROR(__xludf.DUMMYFUNCTION("+IFERROR((C17/B17),0)"),0.326946107784431)</f>
        <v>0.32694610778443101</v>
      </c>
      <c r="E17" s="8"/>
      <c r="F17" s="8">
        <f ca="1">IFERROR(__xludf.DUMMYFUNCTION("+B17+MAR!F17"),3340)</f>
        <v>3340</v>
      </c>
      <c r="G17" s="8">
        <f ca="1">IFERROR(__xludf.DUMMYFUNCTION("+C17+MAR!G17"),286)</f>
        <v>286</v>
      </c>
      <c r="H17" s="13">
        <f ca="1">IFERROR(__xludf.DUMMYFUNCTION("+IFERROR((G17/F17),0)"),0.08562874251497)</f>
        <v>8.5628742514970005E-2</v>
      </c>
      <c r="I17" s="18">
        <f>E17+MAR!I17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22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IFERROR(__xludf.DUMMYFUNCTION("+Hoja2!F8"),54.1999999999999)</f>
        <v>54.199999999999903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IFERROR(__xludf.DUMMYFUNCTION("+B8+ABR!F8"),271)</f>
        <v>271</v>
      </c>
      <c r="G8" s="8">
        <f ca="1">IFERROR(__xludf.DUMMYFUNCTION("+C8+ABR!G8"),0)</f>
        <v>0</v>
      </c>
      <c r="H8" s="9">
        <f ca="1">IFERROR(__xludf.DUMMYFUNCTION("+IFERROR((G8/F8),0)"),0)</f>
        <v>0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IFERROR(__xludf.DUMMYFUNCTION("+Hoja2!F19"),6.4)</f>
        <v>6.4</v>
      </c>
      <c r="C9" s="8">
        <v>11</v>
      </c>
      <c r="D9" s="9">
        <f ca="1">IFERROR(__xludf.DUMMYFUNCTION("+IFERROR((C9/B9),0)"),1.71875)</f>
        <v>1.71875</v>
      </c>
      <c r="E9" s="8"/>
      <c r="F9" s="8">
        <f ca="1">IFERROR(__xludf.DUMMYFUNCTION("+B9+ABR!F9"),32)</f>
        <v>32</v>
      </c>
      <c r="G9" s="8">
        <f ca="1">IFERROR(__xludf.DUMMYFUNCTION("+C9+ABR!G9"),107)</f>
        <v>107</v>
      </c>
      <c r="H9" s="9">
        <f ca="1">IFERROR(__xludf.DUMMYFUNCTION("+IFERROR((G9/F9),0)"),3.34375)</f>
        <v>3.34375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IFERROR(__xludf.DUMMYFUNCTION("+B8-B9"),47.8)</f>
        <v>47.8</v>
      </c>
      <c r="C10" s="12">
        <f ca="1">IFERROR(__xludf.DUMMYFUNCTION("+C8-C9"),-11)</f>
        <v>-11</v>
      </c>
      <c r="D10" s="13">
        <f ca="1">IFERROR(__xludf.DUMMYFUNCTION("+IFERROR(C10/B10,0)"),-0.230125523012552)</f>
        <v>-0.23012552301255201</v>
      </c>
      <c r="E10" s="12">
        <f ca="1">IFERROR(__xludf.DUMMYFUNCTION("+E8-E9"),0)</f>
        <v>0</v>
      </c>
      <c r="F10" s="12">
        <f ca="1">IFERROR(__xludf.DUMMYFUNCTION("+F8-F9"),239)</f>
        <v>239</v>
      </c>
      <c r="G10" s="12">
        <f ca="1">IFERROR(__xludf.DUMMYFUNCTION("+G8-G9"),-107)</f>
        <v>-107</v>
      </c>
      <c r="H10" s="13">
        <f ca="1">IFERROR(__xludf.DUMMYFUNCTION("+IFERROR(G10/F10,0)"),-0.447698744769874)</f>
        <v>-0.44769874476987398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47.8</v>
      </c>
      <c r="C13" s="12">
        <f t="shared" ca="1" si="0"/>
        <v>-11</v>
      </c>
      <c r="D13" s="13">
        <f ca="1">IFERROR(__xludf.DUMMYFUNCTION("+IFERROR((C13/B13),0)"),-0.230125523012552)</f>
        <v>-0.23012552301255201</v>
      </c>
      <c r="E13" s="12">
        <f t="shared" ref="E13:G13" ca="1" si="1">E10</f>
        <v>0</v>
      </c>
      <c r="F13" s="12">
        <f t="shared" ca="1" si="1"/>
        <v>239</v>
      </c>
      <c r="G13" s="12">
        <f t="shared" ca="1" si="1"/>
        <v>-107</v>
      </c>
      <c r="H13" s="13">
        <f ca="1">IFERROR(__xludf.DUMMYFUNCTION("+IFERROR((G13/F13),0)"),-0.447698744769874)</f>
        <v>-0.44769874476987398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IFERROR(__xludf.DUMMYFUNCTION("+Hoja2!F35"),1083.45)</f>
        <v>1083.45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IFERROR(__xludf.DUMMYFUNCTION("+B15+ABR!F15"),5417.25)</f>
        <v>5417.25</v>
      </c>
      <c r="G15" s="8">
        <f ca="1">IFERROR(__xludf.DUMMYFUNCTION("+C15+ABR!G15"),3758)</f>
        <v>3758</v>
      </c>
      <c r="H15" s="13">
        <f ca="1">IFERROR(__xludf.DUMMYFUNCTION("+IFERROR((G15/F15),0)"),0.693709908163736)</f>
        <v>0.69370990816373601</v>
      </c>
      <c r="I15" s="18">
        <f>E15+ABR!I15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IFERROR(__xludf.DUMMYFUNCTION("+Hoja2!F36"),835)</f>
        <v>835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IFERROR(__xludf.DUMMYFUNCTION("+B17+ABR!F17"),4175)</f>
        <v>4175</v>
      </c>
      <c r="G17" s="8">
        <f ca="1">IFERROR(__xludf.DUMMYFUNCTION("+C17+ABR!G17"),286)</f>
        <v>286</v>
      </c>
      <c r="H17" s="13">
        <f ca="1">IFERROR(__xludf.DUMMYFUNCTION("+IFERROR((G17/F17),0)"),0.068502994011976)</f>
        <v>6.8502994011976001E-2</v>
      </c>
      <c r="I17" s="18">
        <f>E17+ABR!I17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85"/>
  <sheetViews>
    <sheetView showGridLines="0" workbookViewId="0"/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23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IFERROR(__xludf.DUMMYFUNCTION("+Hoja2!G8"),119.24)</f>
        <v>119.24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IFERROR(__xludf.DUMMYFUNCTION("+B8+MAY!F8"),390.24)</f>
        <v>390.24</v>
      </c>
      <c r="G8" s="8">
        <f ca="1">IFERROR(__xludf.DUMMYFUNCTION("+C8+MAY!G8"),0)</f>
        <v>0</v>
      </c>
      <c r="H8" s="9">
        <f ca="1">IFERROR(__xludf.DUMMYFUNCTION("+IFERROR((G8/F8),0)"),0)</f>
        <v>0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IFERROR(__xludf.DUMMYFUNCTION("+Hoja2!G19"),14.08)</f>
        <v>14.08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IFERROR(__xludf.DUMMYFUNCTION("+B9+MAY!F9"),46.08)</f>
        <v>46.08</v>
      </c>
      <c r="G9" s="8">
        <f ca="1">IFERROR(__xludf.DUMMYFUNCTION("+C9+MAY!G9"),107)</f>
        <v>107</v>
      </c>
      <c r="H9" s="9">
        <f ca="1">IFERROR(__xludf.DUMMYFUNCTION("+IFERROR((G9/F9),0)"),2.32204861111111)</f>
        <v>2.3220486111111098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IFERROR(__xludf.DUMMYFUNCTION("+F8-F9"),344.16)</f>
        <v>344.16</v>
      </c>
      <c r="G10" s="12">
        <f ca="1">IFERROR(__xludf.DUMMYFUNCTION("+G8-G9"),-107)</f>
        <v>-107</v>
      </c>
      <c r="H10" s="13">
        <f ca="1">IFERROR(__xludf.DUMMYFUNCTION("+IFERROR(G10/F10,0)"),-0.31090190609019)</f>
        <v>-0.31090190609018997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344.16</v>
      </c>
      <c r="G13" s="12">
        <f t="shared" ca="1" si="1"/>
        <v>-107</v>
      </c>
      <c r="H13" s="13">
        <f ca="1">IFERROR(__xludf.DUMMYFUNCTION("+IFERROR((G13/F13),0)"),-0.31090190609019)</f>
        <v>-0.31090190609018997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IFERROR(__xludf.DUMMYFUNCTION("+Hoja2!G35"),2383.59)</f>
        <v>2383.59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IFERROR(__xludf.DUMMYFUNCTION("+B15+MAY!F15"),7800.84)</f>
        <v>7800.84</v>
      </c>
      <c r="G15" s="8">
        <f ca="1">IFERROR(__xludf.DUMMYFUNCTION("+C15+MAY!G15"),3758)</f>
        <v>3758</v>
      </c>
      <c r="H15" s="13">
        <f ca="1">IFERROR(__xludf.DUMMYFUNCTION("+IFERROR((G15/F15),0)"),0.481742991780372)</f>
        <v>0.481742991780372</v>
      </c>
      <c r="I15" s="18">
        <f>E15+MAY!I15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IFERROR(__xludf.DUMMYFUNCTION("+Hoja2!G36"),1837)</f>
        <v>1837</v>
      </c>
      <c r="C17" s="8">
        <v>322</v>
      </c>
      <c r="D17" s="13">
        <f ca="1">IFERROR(__xludf.DUMMYFUNCTION("+IFERROR((C17/B17),0)"),0.175285792052259)</f>
        <v>0.175285792052259</v>
      </c>
      <c r="E17" s="8"/>
      <c r="F17" s="8">
        <f ca="1">IFERROR(__xludf.DUMMYFUNCTION("+B17+MAY!F17"),6012)</f>
        <v>6012</v>
      </c>
      <c r="G17" s="8">
        <f ca="1">IFERROR(__xludf.DUMMYFUNCTION("+C17+MAY!G17"),608)</f>
        <v>608</v>
      </c>
      <c r="H17" s="13">
        <f ca="1">IFERROR(__xludf.DUMMYFUNCTION("+IFERROR((G17/F17),0)"),0.101131071190951)</f>
        <v>0.10113107119095099</v>
      </c>
      <c r="I17" s="18">
        <f>E17+MAY!I17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985"/>
  <sheetViews>
    <sheetView showGridLines="0" workbookViewId="0">
      <selection activeCell="C16" sqref="C16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24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IFERROR(__xludf.DUMMYFUNCTION("+Hoja2!H8"),119.24)</f>
        <v>119.24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IFERROR(__xludf.DUMMYFUNCTION("+B8+JUN!F8"),509.48)</f>
        <v>509.48</v>
      </c>
      <c r="G8" s="8">
        <f ca="1">IFERROR(__xludf.DUMMYFUNCTION("+C8+JUN!G8"),0)</f>
        <v>0</v>
      </c>
      <c r="H8" s="9">
        <f ca="1">IFERROR(__xludf.DUMMYFUNCTION("+IFERROR((G8/F8),0)"),0)</f>
        <v>0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IFERROR(__xludf.DUMMYFUNCTION("+Hoja2!H19"),14.08)</f>
        <v>14.08</v>
      </c>
      <c r="C9" s="8">
        <v>0</v>
      </c>
      <c r="D9" s="9">
        <f ca="1">IFERROR(__xludf.DUMMYFUNCTION("+IFERROR((C9/B9),0)"),0)</f>
        <v>0</v>
      </c>
      <c r="E9" s="8"/>
      <c r="F9" s="8">
        <f ca="1">IFERROR(__xludf.DUMMYFUNCTION("+B9+JUN!F9"),60.16)</f>
        <v>60.16</v>
      </c>
      <c r="G9" s="8">
        <f ca="1">IFERROR(__xludf.DUMMYFUNCTION("+C9+JUN!G9"),107)</f>
        <v>107</v>
      </c>
      <c r="H9" s="9">
        <f ca="1">IFERROR(__xludf.DUMMYFUNCTION("+IFERROR((G9/F9),0)"),1.77859042553191)</f>
        <v>1.77859042553191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IFERROR(__xludf.DUMMYFUNCTION("+F8-F9"),449.32)</f>
        <v>449.32</v>
      </c>
      <c r="G10" s="12">
        <f ca="1">IFERROR(__xludf.DUMMYFUNCTION("+G8-G9"),-107)</f>
        <v>-107</v>
      </c>
      <c r="H10" s="13">
        <f ca="1">IFERROR(__xludf.DUMMYFUNCTION("+IFERROR(G10/F10,0)"),-0.238137630196741)</f>
        <v>-0.238137630196741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449.32</v>
      </c>
      <c r="G13" s="12">
        <f t="shared" ca="1" si="1"/>
        <v>-107</v>
      </c>
      <c r="H13" s="13">
        <f ca="1">IFERROR(__xludf.DUMMYFUNCTION("+IFERROR((G13/F13),0)"),-0.238137630196741)</f>
        <v>-0.238137630196741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IFERROR(__xludf.DUMMYFUNCTION("+Hoja2!H35"),2383.59)</f>
        <v>2383.59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IFERROR(__xludf.DUMMYFUNCTION("+B15+JUN!F15"),10184.43)</f>
        <v>10184.43</v>
      </c>
      <c r="G15" s="8">
        <f ca="1">IFERROR(__xludf.DUMMYFUNCTION("+C15+JUN!G15"),3758)</f>
        <v>3758</v>
      </c>
      <c r="H15" s="13">
        <f ca="1">IFERROR(__xludf.DUMMYFUNCTION("+IFERROR((G15/F15),0)"),0.368994632001987)</f>
        <v>0.36899463200198701</v>
      </c>
      <c r="I15" s="18">
        <f>E15+JUN!I15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IFERROR(__xludf.DUMMYFUNCTION("+Hoja2!H36"),1837)</f>
        <v>1837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IFERROR(__xludf.DUMMYFUNCTION("+B17+JUN!F17"),7849)</f>
        <v>7849</v>
      </c>
      <c r="G17" s="8">
        <f ca="1">IFERROR(__xludf.DUMMYFUNCTION("+C17+JUN!G17"),608)</f>
        <v>608</v>
      </c>
      <c r="H17" s="13">
        <f ca="1">IFERROR(__xludf.DUMMYFUNCTION("+IFERROR((G17/F17),0)"),0.0774620970824308)</f>
        <v>7.7462097082430806E-2</v>
      </c>
      <c r="I17" s="18">
        <f>E17+JUN!I17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985"/>
  <sheetViews>
    <sheetView showGridLines="0" workbookViewId="0">
      <selection activeCell="C18" sqref="C18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25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IFERROR(__xludf.DUMMYFUNCTION("+Hoja2!I8"),119.24)</f>
        <v>119.24</v>
      </c>
      <c r="C8" s="8">
        <v>41</v>
      </c>
      <c r="D8" s="9">
        <f ca="1">IFERROR(__xludf.DUMMYFUNCTION("+IFERROR((C8/B8),0)"),0)</f>
        <v>0</v>
      </c>
      <c r="E8" s="8"/>
      <c r="F8" s="8">
        <f ca="1">IFERROR(__xludf.DUMMYFUNCTION("+B8+JUL!F8"),628.72)</f>
        <v>628.72</v>
      </c>
      <c r="G8" s="8">
        <f ca="1">IFERROR(__xludf.DUMMYFUNCTION("+C8+JUL!G8"),0)</f>
        <v>0</v>
      </c>
      <c r="H8" s="9">
        <f ca="1">IFERROR(__xludf.DUMMYFUNCTION("+IFERROR((G8/F8),0)"),0)</f>
        <v>0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IFERROR(__xludf.DUMMYFUNCTION("+Hoja2!I19"),14.08)</f>
        <v>14.08</v>
      </c>
      <c r="C9" s="8">
        <v>23</v>
      </c>
      <c r="D9" s="9">
        <f ca="1">IFERROR(__xludf.DUMMYFUNCTION("+IFERROR((C9/B9),0)"),0)</f>
        <v>0</v>
      </c>
      <c r="E9" s="8"/>
      <c r="F9" s="8">
        <f ca="1">IFERROR(__xludf.DUMMYFUNCTION("+B9+JUL!F9"),74.24)</f>
        <v>74.239999999999995</v>
      </c>
      <c r="G9" s="8">
        <f ca="1">IFERROR(__xludf.DUMMYFUNCTION("+C9+JUL!G9"),107)</f>
        <v>107</v>
      </c>
      <c r="H9" s="9">
        <f ca="1">IFERROR(__xludf.DUMMYFUNCTION("+IFERROR((G9/F9),0)"),1.44127155172413)</f>
        <v>1.4412715517241299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IFERROR(__xludf.DUMMYFUNCTION("+F8-F9"),554.48)</f>
        <v>554.48</v>
      </c>
      <c r="G10" s="12">
        <f ca="1">IFERROR(__xludf.DUMMYFUNCTION("+G8-G9"),-107)</f>
        <v>-107</v>
      </c>
      <c r="H10" s="13">
        <f ca="1">IFERROR(__xludf.DUMMYFUNCTION("+IFERROR(G10/F10,0)"),-0.192973596883566)</f>
        <v>-0.192973596883566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554.48</v>
      </c>
      <c r="G13" s="12">
        <f t="shared" ca="1" si="1"/>
        <v>-107</v>
      </c>
      <c r="H13" s="13">
        <f ca="1">IFERROR(__xludf.DUMMYFUNCTION("+IFERROR((G13/F13),0)"),-0.192973596883566)</f>
        <v>-0.192973596883566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IFERROR(__xludf.DUMMYFUNCTION("+Hoja2!I35"),2383.59)</f>
        <v>2383.59</v>
      </c>
      <c r="C15" s="8">
        <v>755</v>
      </c>
      <c r="D15" s="13">
        <f ca="1">IFERROR(__xludf.DUMMYFUNCTION("+IFERROR((C15/B15),0)"),0)</f>
        <v>0</v>
      </c>
      <c r="E15" s="8"/>
      <c r="F15" s="8">
        <f ca="1">IFERROR(__xludf.DUMMYFUNCTION("+B15+JUL!F15"),12568.02)</f>
        <v>12568.02</v>
      </c>
      <c r="G15" s="8">
        <f ca="1">IFERROR(__xludf.DUMMYFUNCTION("+C15+JUL!G15"),3758)</f>
        <v>3758</v>
      </c>
      <c r="H15" s="13">
        <f ca="1">IFERROR(__xludf.DUMMYFUNCTION("+IFERROR((G15/F15),0)"),0.299012891449886)</f>
        <v>0.29901289144988602</v>
      </c>
      <c r="I15" s="18">
        <f>E15+JUL!I15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IFERROR(__xludf.DUMMYFUNCTION("+Hoja2!I36"),1837)</f>
        <v>1837</v>
      </c>
      <c r="C17" s="8">
        <v>183</v>
      </c>
      <c r="D17" s="13">
        <f ca="1">IFERROR(__xludf.DUMMYFUNCTION("+IFERROR((C17/B17),0)"),0)</f>
        <v>0</v>
      </c>
      <c r="E17" s="8"/>
      <c r="F17" s="8">
        <f ca="1">IFERROR(__xludf.DUMMYFUNCTION("+B17+JUL!F17"),9686)</f>
        <v>9686</v>
      </c>
      <c r="G17" s="8">
        <f ca="1">IFERROR(__xludf.DUMMYFUNCTION("+C17+JUL!G17"),608)</f>
        <v>608</v>
      </c>
      <c r="H17" s="13">
        <f ca="1">IFERROR(__xludf.DUMMYFUNCTION("+IFERROR((G17/F17),0)"),0.0627710097047284)</f>
        <v>6.2771009704728403E-2</v>
      </c>
      <c r="I17" s="18">
        <f>E17+JUL!I17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985"/>
  <sheetViews>
    <sheetView showGridLines="0" workbookViewId="0">
      <selection activeCell="C14" sqref="C14"/>
    </sheetView>
  </sheetViews>
  <sheetFormatPr baseColWidth="10" defaultColWidth="12.6328125" defaultRowHeight="15" customHeight="1" x14ac:dyDescent="0.25"/>
  <cols>
    <col min="1" max="1" width="22.90625" customWidth="1"/>
    <col min="2" max="2" width="11.7265625" customWidth="1"/>
    <col min="3" max="9" width="11.453125" customWidth="1"/>
    <col min="10" max="26" width="10" customWidth="1"/>
  </cols>
  <sheetData>
    <row r="1" spans="1:26" ht="15" customHeight="1" x14ac:dyDescent="0.3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3">
      <c r="A2" s="49" t="s">
        <v>1</v>
      </c>
      <c r="B2" s="48"/>
      <c r="C2" s="48"/>
      <c r="D2" s="48"/>
      <c r="E2" s="50" t="s">
        <v>26</v>
      </c>
      <c r="F2" s="48"/>
      <c r="G2" s="51" t="s">
        <v>3</v>
      </c>
      <c r="H2" s="48"/>
      <c r="I2" s="4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3">
      <c r="A3" s="47" t="s">
        <v>4</v>
      </c>
      <c r="B3" s="48"/>
      <c r="C3" s="48"/>
      <c r="D3" s="48"/>
      <c r="E3" s="48"/>
      <c r="F3" s="48"/>
      <c r="G3" s="48"/>
      <c r="H3" s="48"/>
      <c r="I3" s="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52" t="s">
        <v>5</v>
      </c>
      <c r="B4" s="48"/>
      <c r="C4" s="48"/>
      <c r="D4" s="48"/>
      <c r="E4" s="48"/>
      <c r="F4" s="48"/>
      <c r="G4" s="48"/>
      <c r="H4" s="48"/>
      <c r="I4" s="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5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5">
      <c r="A6" s="53" t="s">
        <v>6</v>
      </c>
      <c r="B6" s="43" t="s">
        <v>7</v>
      </c>
      <c r="C6" s="44"/>
      <c r="D6" s="44"/>
      <c r="E6" s="45"/>
      <c r="F6" s="46" t="s">
        <v>8</v>
      </c>
      <c r="G6" s="44"/>
      <c r="H6" s="44"/>
      <c r="I6" s="4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5">
      <c r="A7" s="54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5">
      <c r="A8" s="7" t="s">
        <v>13</v>
      </c>
      <c r="B8" s="8">
        <f ca="1">IFERROR(__xludf.DUMMYFUNCTION("+Hoja2!J8"),119.24)</f>
        <v>119.24</v>
      </c>
      <c r="C8" s="8">
        <v>0</v>
      </c>
      <c r="D8" s="9">
        <f ca="1">IFERROR(__xludf.DUMMYFUNCTION("+IFERROR((C8/B8),0)"),0)</f>
        <v>0</v>
      </c>
      <c r="E8" s="8"/>
      <c r="F8" s="8">
        <f ca="1">IFERROR(__xludf.DUMMYFUNCTION("+B8+AGO!F8"),747.96)</f>
        <v>747.96</v>
      </c>
      <c r="G8" s="8">
        <f ca="1">IFERROR(__xludf.DUMMYFUNCTION("+C8+AGO!G8"),0)</f>
        <v>0</v>
      </c>
      <c r="H8" s="9">
        <f ca="1">IFERROR(__xludf.DUMMYFUNCTION("+IFERROR((G8/F8),0)"),0)</f>
        <v>0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5">
      <c r="A9" s="7" t="s">
        <v>14</v>
      </c>
      <c r="B9" s="8">
        <f ca="1">IFERROR(__xludf.DUMMYFUNCTION("+Hoja2!J19"),14.08)</f>
        <v>14.08</v>
      </c>
      <c r="C9" s="8">
        <v>12</v>
      </c>
      <c r="D9" s="9">
        <f ca="1">IFERROR(__xludf.DUMMYFUNCTION("+IFERROR((C9/B9),0)"),0)</f>
        <v>0</v>
      </c>
      <c r="E9" s="8"/>
      <c r="F9" s="8">
        <f ca="1">IFERROR(__xludf.DUMMYFUNCTION("+B9+AGO!F9"),88.32)</f>
        <v>88.32</v>
      </c>
      <c r="G9" s="8">
        <f ca="1">IFERROR(__xludf.DUMMYFUNCTION("+C9+AGO!G9"),107)</f>
        <v>107</v>
      </c>
      <c r="H9" s="9">
        <f ca="1">IFERROR(__xludf.DUMMYFUNCTION("+IFERROR((G9/F9),0)"),1.2115036231884)</f>
        <v>1.2115036231884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5">
      <c r="A10" s="11" t="s">
        <v>15</v>
      </c>
      <c r="B10" s="12">
        <f ca="1">IFERROR(__xludf.DUMMYFUNCTION("+B8-B9"),105.16)</f>
        <v>105.16</v>
      </c>
      <c r="C10" s="12">
        <f ca="1">IFERROR(__xludf.DUMMYFUNCTION("+C8-C9"),0)</f>
        <v>0</v>
      </c>
      <c r="D10" s="13">
        <f ca="1">IFERROR(__xludf.DUMMYFUNCTION("+IFERROR(C10/B10,0)"),0)</f>
        <v>0</v>
      </c>
      <c r="E10" s="12">
        <f ca="1">IFERROR(__xludf.DUMMYFUNCTION("+E8-E9"),0)</f>
        <v>0</v>
      </c>
      <c r="F10" s="12">
        <f ca="1">IFERROR(__xludf.DUMMYFUNCTION("+F8-F9"),659.64)</f>
        <v>659.64</v>
      </c>
      <c r="G10" s="12">
        <f ca="1">IFERROR(__xludf.DUMMYFUNCTION("+G8-G9"),-107)</f>
        <v>-107</v>
      </c>
      <c r="H10" s="13">
        <f ca="1">IFERROR(__xludf.DUMMYFUNCTION("+IFERROR(G10/F10,0)"),-0.162209690134012)</f>
        <v>-0.16220969013401201</v>
      </c>
      <c r="I10" s="12">
        <f ca="1">IFERROR(__xludf.DUMMYFUNCTION("+I8-I9"),0)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5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5">
      <c r="A12" s="1"/>
      <c r="B12" s="2"/>
      <c r="C12" s="2"/>
      <c r="D12" s="1"/>
      <c r="E12" s="2"/>
      <c r="F12" s="2"/>
      <c r="G12" s="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5">
      <c r="A13" s="11" t="s">
        <v>16</v>
      </c>
      <c r="B13" s="12">
        <f t="shared" ref="B13:C13" ca="1" si="0">B10</f>
        <v>105.16</v>
      </c>
      <c r="C13" s="12">
        <f t="shared" ca="1" si="0"/>
        <v>0</v>
      </c>
      <c r="D13" s="13">
        <f ca="1">IFERROR(__xludf.DUMMYFUNCTION("+IFERROR((C13/B13),0)"),0)</f>
        <v>0</v>
      </c>
      <c r="E13" s="12">
        <f t="shared" ref="E13:G13" ca="1" si="1">E10</f>
        <v>0</v>
      </c>
      <c r="F13" s="12">
        <f t="shared" ca="1" si="1"/>
        <v>659.64</v>
      </c>
      <c r="G13" s="12">
        <f t="shared" ca="1" si="1"/>
        <v>-107</v>
      </c>
      <c r="H13" s="13">
        <f ca="1">IFERROR(__xludf.DUMMYFUNCTION("+IFERROR((G13/F13),0)"),-0.162209690134012)</f>
        <v>-0.16220969013401201</v>
      </c>
      <c r="I13" s="12">
        <f ca="1">I10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5">
      <c r="A14" s="1"/>
      <c r="B14" s="2"/>
      <c r="C14" s="2"/>
      <c r="D14" s="1"/>
      <c r="E14" s="1"/>
      <c r="F14" s="2"/>
      <c r="G14" s="2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5">
      <c r="A15" s="11" t="s">
        <v>17</v>
      </c>
      <c r="B15" s="8">
        <f ca="1">IFERROR(__xludf.DUMMYFUNCTION("+Hoja2!J35"),2383.59)</f>
        <v>2383.59</v>
      </c>
      <c r="C15" s="8">
        <v>0</v>
      </c>
      <c r="D15" s="13">
        <f ca="1">IFERROR(__xludf.DUMMYFUNCTION("+IFERROR((C15/B15),0)"),0)</f>
        <v>0</v>
      </c>
      <c r="E15" s="8"/>
      <c r="F15" s="8">
        <f ca="1">IFERROR(__xludf.DUMMYFUNCTION("+B15+AGO!F15"),14951.61)</f>
        <v>14951.61</v>
      </c>
      <c r="G15" s="8">
        <f ca="1">IFERROR(__xludf.DUMMYFUNCTION("+C15+AGO!G15"),3758)</f>
        <v>3758</v>
      </c>
      <c r="H15" s="13">
        <f ca="1">IFERROR(__xludf.DUMMYFUNCTION("+IFERROR((G15/F15),0)"),0.251344169624542)</f>
        <v>0.25134416962454198</v>
      </c>
      <c r="I15" s="18">
        <f>E15+AGO!I15</f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ht="10.5" customHeight="1" x14ac:dyDescent="0.25">
      <c r="A16" s="19"/>
      <c r="B16" s="20"/>
      <c r="C16" s="20"/>
      <c r="D16" s="19"/>
      <c r="E16" s="19"/>
      <c r="F16" s="2"/>
      <c r="G16" s="2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ht="10.5" customHeight="1" x14ac:dyDescent="0.25">
      <c r="A17" s="11" t="s">
        <v>18</v>
      </c>
      <c r="B17" s="8">
        <f ca="1">IFERROR(__xludf.DUMMYFUNCTION("+Hoja2!J36"),1837)</f>
        <v>1837</v>
      </c>
      <c r="C17" s="8">
        <v>0</v>
      </c>
      <c r="D17" s="13">
        <f ca="1">IFERROR(__xludf.DUMMYFUNCTION("+IFERROR((C17/B17),0)"),0)</f>
        <v>0</v>
      </c>
      <c r="E17" s="8"/>
      <c r="F17" s="8">
        <f ca="1">IFERROR(__xludf.DUMMYFUNCTION("+B17+AGO!F17"),11523)</f>
        <v>11523</v>
      </c>
      <c r="G17" s="8">
        <f ca="1">IFERROR(__xludf.DUMMYFUNCTION("+C17+AGO!G17"),608)</f>
        <v>608</v>
      </c>
      <c r="H17" s="13">
        <f ca="1">IFERROR(__xludf.DUMMYFUNCTION("+IFERROR((G17/F17),0)"),0.0527640371431051)</f>
        <v>5.2764037143105097E-2</v>
      </c>
      <c r="I17" s="18">
        <f>E17+AGO!I17</f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0.5" customHeight="1" x14ac:dyDescent="0.25">
      <c r="A18" s="1"/>
      <c r="B18" s="2"/>
      <c r="C18" s="2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5">
      <c r="A19" s="1"/>
      <c r="B19" s="2"/>
      <c r="C19" s="2"/>
      <c r="D19" s="1"/>
      <c r="E19" s="1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5">
      <c r="A20" s="1"/>
      <c r="B20" s="2"/>
      <c r="C20" s="2"/>
      <c r="D20" s="1"/>
      <c r="E20" s="1"/>
      <c r="F20" s="2"/>
      <c r="G20" s="2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5">
      <c r="A21" s="1"/>
      <c r="B21" s="2"/>
      <c r="C21" s="2"/>
      <c r="D21" s="1"/>
      <c r="E21" s="1"/>
      <c r="F21" s="2"/>
      <c r="G21" s="2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5">
      <c r="A22" s="1"/>
      <c r="B22" s="2"/>
      <c r="C22" s="2"/>
      <c r="D22" s="1"/>
      <c r="E22" s="1"/>
      <c r="F22" s="2"/>
      <c r="G22" s="2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5">
      <c r="A23" s="1"/>
      <c r="B23" s="2"/>
      <c r="C23" s="2"/>
      <c r="D23" s="1"/>
      <c r="E23" s="1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5">
      <c r="A24" s="1"/>
      <c r="B24" s="2"/>
      <c r="C24" s="2"/>
      <c r="D24" s="1"/>
      <c r="E24" s="1"/>
      <c r="F24" s="2"/>
      <c r="G24" s="2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5">
      <c r="A25" s="1"/>
      <c r="B25" s="2"/>
      <c r="C25" s="2"/>
      <c r="D25" s="1"/>
      <c r="E25" s="1"/>
      <c r="F25" s="2"/>
      <c r="G25" s="2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5">
      <c r="A26" s="1"/>
      <c r="B26" s="2"/>
      <c r="C26" s="2"/>
      <c r="D26" s="1"/>
      <c r="E26" s="1"/>
      <c r="F26" s="2"/>
      <c r="G26" s="2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5">
      <c r="A27" s="1"/>
      <c r="B27" s="2"/>
      <c r="C27" s="2"/>
      <c r="D27" s="1"/>
      <c r="E27" s="1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5">
      <c r="A28" s="1"/>
      <c r="B28" s="2"/>
      <c r="C28" s="2"/>
      <c r="D28" s="1"/>
      <c r="E28" s="1"/>
      <c r="F28" s="2"/>
      <c r="G28" s="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5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5">
      <c r="A30" s="1"/>
      <c r="B30" s="2"/>
      <c r="C30" s="2"/>
      <c r="D30" s="1"/>
      <c r="E30" s="1"/>
      <c r="F30" s="2"/>
      <c r="G30" s="2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0.5" customHeight="1" x14ac:dyDescent="0.25">
      <c r="A31" s="1"/>
      <c r="B31" s="2"/>
      <c r="C31" s="2"/>
      <c r="D31" s="1"/>
      <c r="E31" s="1"/>
      <c r="F31" s="2"/>
      <c r="G31" s="2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0.5" customHeight="1" x14ac:dyDescent="0.25">
      <c r="A32" s="1"/>
      <c r="B32" s="2"/>
      <c r="C32" s="2"/>
      <c r="D32" s="1"/>
      <c r="E32" s="1"/>
      <c r="F32" s="2"/>
      <c r="G32" s="2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0.5" customHeight="1" x14ac:dyDescent="0.25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5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5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5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5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5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5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5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5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5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5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5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5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5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5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5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5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5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5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5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5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5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5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5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5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5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5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5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5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5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5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5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5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5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5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5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5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5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5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5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5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5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5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5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5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5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5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5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5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5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5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5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5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5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5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5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5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5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5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5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5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5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5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5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5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5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5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5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5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5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5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5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5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5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5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5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5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5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5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5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5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5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5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5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5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5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5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5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5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5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5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5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5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5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5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5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5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5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5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5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5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5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5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5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5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5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5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5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5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5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5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5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5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5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5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5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5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5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5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5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5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5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5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5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5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5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5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5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5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5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5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5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5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5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5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5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5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5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5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5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5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5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5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5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5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5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5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5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5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5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5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5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5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5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5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5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5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5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5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5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5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5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5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5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5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5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5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5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5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5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5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5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5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5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5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5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5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5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5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5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5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5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5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5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5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/>
    <row r="219" spans="1:26" ht="15.75" customHeight="1" x14ac:dyDescent="0.25"/>
    <row r="220" spans="1:26" ht="15.75" customHeight="1" x14ac:dyDescent="0.25"/>
    <row r="221" spans="1:26" ht="15.75" customHeight="1" x14ac:dyDescent="0.25"/>
    <row r="222" spans="1:26" ht="15.75" customHeight="1" x14ac:dyDescent="0.25"/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2025-11-18T17:01:41Z</dcterms:modified>
</cp:coreProperties>
</file>