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F74D71D0-26CA-4555-B33C-56A62DF4BB12}" xr6:coauthVersionLast="47" xr6:coauthVersionMax="47" xr10:uidLastSave="{00000000-0000-0000-0000-000000000000}"/>
  <bookViews>
    <workbookView xWindow="9510" yWindow="0" windowWidth="9780" windowHeight="10170" firstSheet="4" activeTab="6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  <sheet name="Hoja1" sheetId="14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KFOXuNiGkn9beh3qeQGkJawwWTvIKbozdEimWdmIJCQ="/>
    </ext>
  </extLst>
</workbook>
</file>

<file path=xl/calcChain.xml><?xml version="1.0" encoding="utf-8"?>
<calcChain xmlns="http://schemas.openxmlformats.org/spreadsheetml/2006/main">
  <c r="H17" i="12" l="1"/>
  <c r="G17" i="12"/>
  <c r="F17" i="12"/>
  <c r="D17" i="12"/>
  <c r="B17" i="12"/>
  <c r="H15" i="12"/>
  <c r="G15" i="12"/>
  <c r="F15" i="12"/>
  <c r="D15" i="12"/>
  <c r="B15" i="12"/>
  <c r="H13" i="12"/>
  <c r="D13" i="12"/>
  <c r="I10" i="12"/>
  <c r="I13" i="12" s="1"/>
  <c r="H10" i="12"/>
  <c r="G10" i="12"/>
  <c r="G13" i="12" s="1"/>
  <c r="F10" i="12"/>
  <c r="F13" i="12" s="1"/>
  <c r="E10" i="12"/>
  <c r="E13" i="12" s="1"/>
  <c r="D10" i="12"/>
  <c r="C10" i="12"/>
  <c r="C13" i="12" s="1"/>
  <c r="B10" i="12"/>
  <c r="B13" i="12" s="1"/>
  <c r="H9" i="12"/>
  <c r="G9" i="12"/>
  <c r="F9" i="12"/>
  <c r="D9" i="12"/>
  <c r="B9" i="12"/>
  <c r="H8" i="12"/>
  <c r="G8" i="12"/>
  <c r="F8" i="12"/>
  <c r="D8" i="12"/>
  <c r="B8" i="12"/>
  <c r="H17" i="11"/>
  <c r="G17" i="11"/>
  <c r="F17" i="11"/>
  <c r="D17" i="11"/>
  <c r="B17" i="11"/>
  <c r="H15" i="11"/>
  <c r="G15" i="11"/>
  <c r="F15" i="11"/>
  <c r="D15" i="11"/>
  <c r="B15" i="11"/>
  <c r="H13" i="11"/>
  <c r="D13" i="11"/>
  <c r="I10" i="11"/>
  <c r="I13" i="11" s="1"/>
  <c r="H10" i="11"/>
  <c r="G10" i="11"/>
  <c r="G13" i="11" s="1"/>
  <c r="F10" i="11"/>
  <c r="F13" i="11" s="1"/>
  <c r="E10" i="11"/>
  <c r="E13" i="11" s="1"/>
  <c r="D10" i="11"/>
  <c r="C10" i="11"/>
  <c r="C13" i="11" s="1"/>
  <c r="B10" i="11"/>
  <c r="B13" i="11" s="1"/>
  <c r="H9" i="11"/>
  <c r="G9" i="11"/>
  <c r="F9" i="11"/>
  <c r="D9" i="11"/>
  <c r="B9" i="11"/>
  <c r="H8" i="11"/>
  <c r="G8" i="11"/>
  <c r="F8" i="11"/>
  <c r="D8" i="11"/>
  <c r="B8" i="11"/>
  <c r="H17" i="10"/>
  <c r="G17" i="10"/>
  <c r="F17" i="10"/>
  <c r="D17" i="10"/>
  <c r="B17" i="10"/>
  <c r="H15" i="10"/>
  <c r="G15" i="10"/>
  <c r="F15" i="10"/>
  <c r="D15" i="10"/>
  <c r="B15" i="10"/>
  <c r="H13" i="10"/>
  <c r="D13" i="10"/>
  <c r="I10" i="10"/>
  <c r="I13" i="10" s="1"/>
  <c r="H10" i="10"/>
  <c r="G10" i="10"/>
  <c r="G13" i="10" s="1"/>
  <c r="F10" i="10"/>
  <c r="F13" i="10" s="1"/>
  <c r="E10" i="10"/>
  <c r="E13" i="10" s="1"/>
  <c r="D10" i="10"/>
  <c r="C10" i="10"/>
  <c r="C13" i="10" s="1"/>
  <c r="B10" i="10"/>
  <c r="B13" i="10" s="1"/>
  <c r="H9" i="10"/>
  <c r="G9" i="10"/>
  <c r="F9" i="10"/>
  <c r="D9" i="10"/>
  <c r="B9" i="10"/>
  <c r="H8" i="10"/>
  <c r="G8" i="10"/>
  <c r="F8" i="10"/>
  <c r="D8" i="10"/>
  <c r="B8" i="10"/>
  <c r="H17" i="9"/>
  <c r="G17" i="9"/>
  <c r="F17" i="9"/>
  <c r="D17" i="9"/>
  <c r="B17" i="9"/>
  <c r="H15" i="9"/>
  <c r="G15" i="9"/>
  <c r="F15" i="9"/>
  <c r="D15" i="9"/>
  <c r="B15" i="9"/>
  <c r="H13" i="9"/>
  <c r="D13" i="9"/>
  <c r="I10" i="9"/>
  <c r="I13" i="9" s="1"/>
  <c r="H10" i="9"/>
  <c r="G10" i="9"/>
  <c r="G13" i="9" s="1"/>
  <c r="F10" i="9"/>
  <c r="F13" i="9" s="1"/>
  <c r="E10" i="9"/>
  <c r="E13" i="9" s="1"/>
  <c r="D10" i="9"/>
  <c r="C10" i="9"/>
  <c r="C13" i="9" s="1"/>
  <c r="B10" i="9"/>
  <c r="B13" i="9" s="1"/>
  <c r="H9" i="9"/>
  <c r="G9" i="9"/>
  <c r="F9" i="9"/>
  <c r="D9" i="9"/>
  <c r="B9" i="9"/>
  <c r="H8" i="9"/>
  <c r="G8" i="9"/>
  <c r="F8" i="9"/>
  <c r="D8" i="9"/>
  <c r="B8" i="9"/>
  <c r="H17" i="8"/>
  <c r="G17" i="8"/>
  <c r="F17" i="8"/>
  <c r="D17" i="8"/>
  <c r="B17" i="8"/>
  <c r="H15" i="8"/>
  <c r="G15" i="8"/>
  <c r="F15" i="8"/>
  <c r="D15" i="8"/>
  <c r="B15" i="8"/>
  <c r="H13" i="8"/>
  <c r="D13" i="8"/>
  <c r="I10" i="8"/>
  <c r="I13" i="8" s="1"/>
  <c r="H10" i="8"/>
  <c r="G10" i="8"/>
  <c r="G13" i="8" s="1"/>
  <c r="F10" i="8"/>
  <c r="F13" i="8" s="1"/>
  <c r="E10" i="8"/>
  <c r="E13" i="8" s="1"/>
  <c r="D10" i="8"/>
  <c r="C10" i="8"/>
  <c r="C13" i="8" s="1"/>
  <c r="B10" i="8"/>
  <c r="B13" i="8" s="1"/>
  <c r="H9" i="8"/>
  <c r="G9" i="8"/>
  <c r="F9" i="8"/>
  <c r="D9" i="8"/>
  <c r="B9" i="8"/>
  <c r="H8" i="8"/>
  <c r="G8" i="8"/>
  <c r="F8" i="8"/>
  <c r="D8" i="8"/>
  <c r="B8" i="8"/>
  <c r="H17" i="7"/>
  <c r="G17" i="7"/>
  <c r="F17" i="7"/>
  <c r="D17" i="7"/>
  <c r="B17" i="7"/>
  <c r="H15" i="7"/>
  <c r="G15" i="7"/>
  <c r="F15" i="7"/>
  <c r="D15" i="7"/>
  <c r="B15" i="7"/>
  <c r="H13" i="7"/>
  <c r="D13" i="7"/>
  <c r="I10" i="7"/>
  <c r="I13" i="7" s="1"/>
  <c r="H10" i="7"/>
  <c r="G10" i="7"/>
  <c r="G13" i="7" s="1"/>
  <c r="F10" i="7"/>
  <c r="F13" i="7" s="1"/>
  <c r="E10" i="7"/>
  <c r="E13" i="7" s="1"/>
  <c r="D10" i="7"/>
  <c r="C10" i="7"/>
  <c r="C13" i="7" s="1"/>
  <c r="B10" i="7"/>
  <c r="B13" i="7" s="1"/>
  <c r="H9" i="7"/>
  <c r="G9" i="7"/>
  <c r="F9" i="7"/>
  <c r="D9" i="7"/>
  <c r="B9" i="7"/>
  <c r="H8" i="7"/>
  <c r="G8" i="7"/>
  <c r="F8" i="7"/>
  <c r="D8" i="7"/>
  <c r="B8" i="7"/>
  <c r="H17" i="6"/>
  <c r="G17" i="6"/>
  <c r="F17" i="6"/>
  <c r="D17" i="6"/>
  <c r="B17" i="6"/>
  <c r="H15" i="6"/>
  <c r="G15" i="6"/>
  <c r="F15" i="6"/>
  <c r="D15" i="6"/>
  <c r="B15" i="6"/>
  <c r="H13" i="6"/>
  <c r="D13" i="6"/>
  <c r="I10" i="6"/>
  <c r="I13" i="6" s="1"/>
  <c r="H10" i="6"/>
  <c r="G10" i="6"/>
  <c r="G13" i="6" s="1"/>
  <c r="F10" i="6"/>
  <c r="F13" i="6" s="1"/>
  <c r="E10" i="6"/>
  <c r="E13" i="6" s="1"/>
  <c r="D10" i="6"/>
  <c r="C10" i="6"/>
  <c r="C13" i="6" s="1"/>
  <c r="B10" i="6"/>
  <c r="B13" i="6" s="1"/>
  <c r="H9" i="6"/>
  <c r="G9" i="6"/>
  <c r="F9" i="6"/>
  <c r="D9" i="6"/>
  <c r="B9" i="6"/>
  <c r="H8" i="6"/>
  <c r="G8" i="6"/>
  <c r="F8" i="6"/>
  <c r="D8" i="6"/>
  <c r="B8" i="6"/>
  <c r="H17" i="5"/>
  <c r="G17" i="5"/>
  <c r="F17" i="5"/>
  <c r="D17" i="5"/>
  <c r="B17" i="5"/>
  <c r="H15" i="5"/>
  <c r="G15" i="5"/>
  <c r="F15" i="5"/>
  <c r="D15" i="5"/>
  <c r="B15" i="5"/>
  <c r="H13" i="5"/>
  <c r="D13" i="5"/>
  <c r="I10" i="5"/>
  <c r="I13" i="5" s="1"/>
  <c r="H10" i="5"/>
  <c r="G10" i="5"/>
  <c r="G13" i="5" s="1"/>
  <c r="F10" i="5"/>
  <c r="F13" i="5" s="1"/>
  <c r="E10" i="5"/>
  <c r="E13" i="5" s="1"/>
  <c r="D10" i="5"/>
  <c r="C10" i="5"/>
  <c r="C13" i="5" s="1"/>
  <c r="B10" i="5"/>
  <c r="B13" i="5" s="1"/>
  <c r="H9" i="5"/>
  <c r="G9" i="5"/>
  <c r="F9" i="5"/>
  <c r="D9" i="5"/>
  <c r="B9" i="5"/>
  <c r="H8" i="5"/>
  <c r="G8" i="5"/>
  <c r="F8" i="5"/>
  <c r="D8" i="5"/>
  <c r="B8" i="5"/>
  <c r="H17" i="4"/>
  <c r="G17" i="4"/>
  <c r="F17" i="4"/>
  <c r="D17" i="4"/>
  <c r="B17" i="4"/>
  <c r="H15" i="4"/>
  <c r="G15" i="4"/>
  <c r="F15" i="4"/>
  <c r="D15" i="4"/>
  <c r="B15" i="4"/>
  <c r="H13" i="4"/>
  <c r="D13" i="4"/>
  <c r="I10" i="4"/>
  <c r="I13" i="4" s="1"/>
  <c r="H10" i="4"/>
  <c r="G10" i="4"/>
  <c r="G13" i="4" s="1"/>
  <c r="F10" i="4"/>
  <c r="F13" i="4" s="1"/>
  <c r="E10" i="4"/>
  <c r="E13" i="4" s="1"/>
  <c r="D10" i="4"/>
  <c r="C10" i="4"/>
  <c r="C13" i="4" s="1"/>
  <c r="B10" i="4"/>
  <c r="B13" i="4" s="1"/>
  <c r="H9" i="4"/>
  <c r="G9" i="4"/>
  <c r="F9" i="4"/>
  <c r="D9" i="4"/>
  <c r="B9" i="4"/>
  <c r="H8" i="4"/>
  <c r="G8" i="4"/>
  <c r="F8" i="4"/>
  <c r="D8" i="4"/>
  <c r="B8" i="4"/>
  <c r="H17" i="3"/>
  <c r="G17" i="3"/>
  <c r="F17" i="3"/>
  <c r="D17" i="3"/>
  <c r="B17" i="3"/>
  <c r="H15" i="3"/>
  <c r="G15" i="3"/>
  <c r="F15" i="3"/>
  <c r="D15" i="3"/>
  <c r="B15" i="3"/>
  <c r="H13" i="3"/>
  <c r="D13" i="3"/>
  <c r="I10" i="3"/>
  <c r="I13" i="3" s="1"/>
  <c r="H10" i="3"/>
  <c r="G10" i="3"/>
  <c r="G13" i="3" s="1"/>
  <c r="F10" i="3"/>
  <c r="F13" i="3" s="1"/>
  <c r="E10" i="3"/>
  <c r="E13" i="3" s="1"/>
  <c r="D10" i="3"/>
  <c r="C10" i="3"/>
  <c r="C13" i="3" s="1"/>
  <c r="B10" i="3"/>
  <c r="B13" i="3" s="1"/>
  <c r="H9" i="3"/>
  <c r="G9" i="3"/>
  <c r="F9" i="3"/>
  <c r="D9" i="3"/>
  <c r="B9" i="3"/>
  <c r="H8" i="3"/>
  <c r="G8" i="3"/>
  <c r="F8" i="3"/>
  <c r="D8" i="3"/>
  <c r="B8" i="3"/>
  <c r="I17" i="2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H17" i="2"/>
  <c r="G17" i="2"/>
  <c r="F17" i="2"/>
  <c r="D17" i="2"/>
  <c r="B17" i="2"/>
  <c r="H15" i="2"/>
  <c r="G15" i="2"/>
  <c r="F15" i="2"/>
  <c r="D15" i="2"/>
  <c r="B15" i="2"/>
  <c r="H13" i="2"/>
  <c r="D13" i="2"/>
  <c r="I10" i="2"/>
  <c r="I13" i="2" s="1"/>
  <c r="H10" i="2"/>
  <c r="G10" i="2"/>
  <c r="G13" i="2" s="1"/>
  <c r="F10" i="2"/>
  <c r="F13" i="2" s="1"/>
  <c r="E10" i="2"/>
  <c r="E13" i="2" s="1"/>
  <c r="D10" i="2"/>
  <c r="C10" i="2"/>
  <c r="C13" i="2" s="1"/>
  <c r="B10" i="2"/>
  <c r="B13" i="2" s="1"/>
  <c r="H9" i="2"/>
  <c r="G9" i="2"/>
  <c r="F9" i="2"/>
  <c r="D9" i="2"/>
  <c r="B9" i="2"/>
  <c r="H8" i="2"/>
  <c r="G8" i="2"/>
  <c r="F8" i="2"/>
  <c r="D8" i="2"/>
  <c r="B8" i="2"/>
  <c r="I17" i="1"/>
  <c r="H17" i="1"/>
  <c r="G17" i="1"/>
  <c r="D17" i="1"/>
  <c r="B17" i="1"/>
  <c r="F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H15" i="1"/>
  <c r="G15" i="1"/>
  <c r="D15" i="1"/>
  <c r="B15" i="1"/>
  <c r="F15" i="1" s="1"/>
  <c r="H13" i="1"/>
  <c r="D13" i="1"/>
  <c r="I10" i="1"/>
  <c r="I13" i="1" s="1"/>
  <c r="H10" i="1"/>
  <c r="G10" i="1"/>
  <c r="G13" i="1" s="1"/>
  <c r="F10" i="1"/>
  <c r="F13" i="1" s="1"/>
  <c r="E10" i="1"/>
  <c r="E13" i="1" s="1"/>
  <c r="D10" i="1"/>
  <c r="C10" i="1"/>
  <c r="C13" i="1" s="1"/>
  <c r="B10" i="1"/>
  <c r="B13" i="1" s="1"/>
  <c r="I9" i="1"/>
  <c r="I9" i="2" s="1"/>
  <c r="I9" i="3" s="1"/>
  <c r="I9" i="4" s="1"/>
  <c r="I9" i="5" s="1"/>
  <c r="I9" i="6" s="1"/>
  <c r="I9" i="7" s="1"/>
  <c r="H9" i="1"/>
  <c r="G9" i="1"/>
  <c r="F9" i="1"/>
  <c r="D9" i="1"/>
  <c r="B9" i="1"/>
  <c r="I8" i="1"/>
  <c r="I8" i="2" s="1"/>
  <c r="I8" i="3" s="1"/>
  <c r="I8" i="4" s="1"/>
  <c r="I8" i="5" s="1"/>
  <c r="I8" i="6" s="1"/>
  <c r="I8" i="7" s="1"/>
  <c r="H8" i="1"/>
  <c r="G8" i="1"/>
  <c r="F8" i="1"/>
  <c r="D8" i="1"/>
  <c r="B8" i="1"/>
  <c r="I8" i="12" l="1"/>
  <c r="I8" i="11"/>
  <c r="I8" i="10"/>
  <c r="I8" i="8"/>
  <c r="I8" i="9" s="1"/>
  <c r="I9" i="10"/>
  <c r="I9" i="8"/>
  <c r="I9" i="9" s="1"/>
  <c r="I9" i="12"/>
  <c r="I9" i="11"/>
</calcChain>
</file>

<file path=xl/sharedStrings.xml><?xml version="1.0" encoding="utf-8"?>
<sst xmlns="http://schemas.openxmlformats.org/spreadsheetml/2006/main" count="419" uniqueCount="59">
  <si>
    <t>Musicar SALVADOR</t>
  </si>
  <si>
    <t>Resultados del mes de:</t>
  </si>
  <si>
    <t>enero</t>
  </si>
  <si>
    <t>de 2025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</si>
  <si>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</si>
  <si>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</si>
  <si>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</si>
  <si>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</si>
  <si>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</si>
  <si>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</si>
  <si>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</si>
  <si>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</si>
  <si>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</si>
  <si>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</si>
  <si>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</si>
  <si>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</si>
  <si>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</si>
  <si>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</si>
  <si>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</si>
  <si>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</si>
  <si>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</si>
  <si>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</si>
  <si>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</si>
  <si>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</si>
  <si>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</si>
  <si>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</si>
  <si>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</si>
  <si>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</si>
  <si>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</si>
  <si>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</si>
  <si>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</si>
  <si>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</si>
  <si>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</si>
  <si>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</si>
  <si>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</si>
  <si>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</si>
  <si>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</si>
  <si>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</si>
  <si>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</si>
  <si>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</si>
  <si>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</si>
  <si>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</si>
  <si>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</si>
  <si>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</si>
  <si>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PPTOS FIN 2025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</si>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</sst>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 * #,##0_ ;_ * \-#,##0_ ;_ * &quot;-&quot;??_ ;_ @_ "/>
  </numFmts>
  <fonts count="17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sz val="10"/>
      <color rgb="FF2F5496"/>
      <name val="Arial"/>
    </font>
    <font>
      <b/>
      <sz val="10"/>
      <color theme="1"/>
      <name val="Arial"/>
    </font>
    <font>
      <sz val="10"/>
      <color theme="1"/>
      <name val="Calibri"/>
    </font>
    <font>
      <b/>
      <sz val="14"/>
      <color rgb="FF000000"/>
      <name val="Arial"/>
    </font>
    <font>
      <b/>
      <sz val="14"/>
      <color rgb="FF000000"/>
      <name val="Calibri"/>
    </font>
    <font>
      <b/>
      <sz val="14"/>
      <color theme="1"/>
      <name val="Arial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/>
    <xf numFmtId="0" fontId="7" fillId="7" borderId="7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1" fillId="0" borderId="6" xfId="0" applyFont="1" applyBorder="1"/>
    <xf numFmtId="3" fontId="11" fillId="0" borderId="6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3" fontId="12" fillId="0" borderId="0" xfId="0" applyNumberFormat="1" applyFont="1"/>
    <xf numFmtId="0" fontId="13" fillId="0" borderId="0" xfId="0" applyFont="1" applyAlignment="1">
      <alignment horizontal="left" vertical="center"/>
    </xf>
    <xf numFmtId="0" fontId="7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wrapText="1"/>
    </xf>
    <xf numFmtId="165" fontId="11" fillId="0" borderId="0" xfId="0" applyNumberFormat="1" applyFont="1" applyAlignment="1">
      <alignment horizontal="right"/>
    </xf>
    <xf numFmtId="1" fontId="9" fillId="0" borderId="0" xfId="0" applyNumberFormat="1" applyFont="1"/>
    <xf numFmtId="165" fontId="12" fillId="0" borderId="0" xfId="0" applyNumberFormat="1" applyFont="1"/>
    <xf numFmtId="0" fontId="7" fillId="9" borderId="6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10" borderId="6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IFERROR(__xludf.DUMMYFUNCTION("+Hoja2!B8"),58.1)</f>
        <v>58.1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IFERROR(__xludf.DUMMYFUNCTION("+B8"),58.1)</f>
        <v>58.1</v>
      </c>
      <c r="G8" s="8">
        <f ca="1">IFERROR(__xludf.DUMMYFUNCTION("+C8"),0)</f>
        <v>0</v>
      </c>
      <c r="H8" s="9">
        <f ca="1">IFERROR(__xludf.DUMMYFUNCTION("+IFERROR((G8/F8),0)"),0)</f>
        <v>0</v>
      </c>
      <c r="I8" s="10">
        <f t="shared" ref="I8:I9" si="0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IFERROR(__xludf.DUMMYFUNCTION("+Hoja2!B19"),17.5)</f>
        <v>17.5</v>
      </c>
      <c r="C9" s="8">
        <v>70</v>
      </c>
      <c r="D9" s="9">
        <f ca="1">IFERROR(__xludf.DUMMYFUNCTION("+IFERROR((C9/B9),0)"),4)</f>
        <v>4</v>
      </c>
      <c r="E9" s="8"/>
      <c r="F9" s="8">
        <f ca="1">IFERROR(__xludf.DUMMYFUNCTION("+B9"),17.5)</f>
        <v>17.5</v>
      </c>
      <c r="G9" s="8">
        <f ca="1">IFERROR(__xludf.DUMMYFUNCTION("+C9"),70)</f>
        <v>70</v>
      </c>
      <c r="H9" s="9">
        <f ca="1">IFERROR(__xludf.DUMMYFUNCTION("+IFERROR((G9/F9),0)"),4)</f>
        <v>4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IFERROR(__xludf.DUMMYFUNCTION("+B8-B9"),40.6)</f>
        <v>40.6</v>
      </c>
      <c r="C10" s="12">
        <f ca="1">IFERROR(__xludf.DUMMYFUNCTION("+C8-C9"),-70)</f>
        <v>-70</v>
      </c>
      <c r="D10" s="13">
        <f ca="1">IFERROR(__xludf.DUMMYFUNCTION("+IFERROR(C10/B10,0)"),-1.72413793103448)</f>
        <v>-1.72413793103448</v>
      </c>
      <c r="E10" s="12">
        <f ca="1">IFERROR(__xludf.DUMMYFUNCTION("+E8-E9"),0)</f>
        <v>0</v>
      </c>
      <c r="F10" s="12">
        <f ca="1">IFERROR(__xludf.DUMMYFUNCTION("+F8-F9"),40.6)</f>
        <v>40.6</v>
      </c>
      <c r="G10" s="12">
        <f ca="1">IFERROR(__xludf.DUMMYFUNCTION("+G8-G9"),-70)</f>
        <v>-70</v>
      </c>
      <c r="H10" s="13">
        <f ca="1">IFERROR(__xludf.DUMMYFUNCTION("+IFERROR(G10/F10,0)"),-1.72413793103448)</f>
        <v>-1.72413793103448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1">B10</f>
        <v>40.6</v>
      </c>
      <c r="C13" s="12">
        <f t="shared" ca="1" si="1"/>
        <v>-70</v>
      </c>
      <c r="D13" s="13">
        <f ca="1">IFERROR(__xludf.DUMMYFUNCTION("+IFERROR((C13/B13),0)"),-1.72413793103448)</f>
        <v>-1.72413793103448</v>
      </c>
      <c r="E13" s="12">
        <f t="shared" ref="E13:G13" ca="1" si="2">E10</f>
        <v>0</v>
      </c>
      <c r="F13" s="12">
        <f t="shared" ca="1" si="2"/>
        <v>40.6</v>
      </c>
      <c r="G13" s="12">
        <f t="shared" ca="1" si="2"/>
        <v>-70</v>
      </c>
      <c r="H13" s="13">
        <f ca="1">IFERROR(__xludf.DUMMYFUNCTION("+IFERROR((G13/F13),0)"),-1.72413793103448)</f>
        <v>-1.72413793103448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IFERROR(__xludf.DUMMYFUNCTION("+Hoja2!B35"),245)</f>
        <v>245</v>
      </c>
      <c r="C15" s="8">
        <v>218</v>
      </c>
      <c r="D15" s="13">
        <f ca="1">IFERROR(__xludf.DUMMYFUNCTION("+IFERROR((C15/B15),0)"),0.889795918367347)</f>
        <v>0.88979591836734695</v>
      </c>
      <c r="E15" s="8"/>
      <c r="F15" s="17">
        <f ca="1">B15</f>
        <v>245</v>
      </c>
      <c r="G15" s="17">
        <f ca="1">IFERROR(__xludf.DUMMYFUNCTION("+C15"),218)</f>
        <v>218</v>
      </c>
      <c r="H15" s="13">
        <f ca="1">IFERROR(__xludf.DUMMYFUNCTION("+IFERROR((G15/F15),0)"),0.889795918367347)</f>
        <v>0.88979591836734695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IFERROR(__xludf.DUMMYFUNCTION("+Hoja2!B36"),434)</f>
        <v>434</v>
      </c>
      <c r="C17" s="8">
        <v>0</v>
      </c>
      <c r="D17" s="13">
        <f ca="1">IFERROR(__xludf.DUMMYFUNCTION("+IFERROR((C17/B17),0)"),0)</f>
        <v>0</v>
      </c>
      <c r="E17" s="8"/>
      <c r="F17" s="17">
        <f ca="1">B17</f>
        <v>434</v>
      </c>
      <c r="G17" s="17">
        <f ca="1">IFERROR(__xludf.DUMMYFUNCTION("+C17"),0)</f>
        <v>0</v>
      </c>
      <c r="H17" s="13">
        <f ca="1">IFERROR(__xludf.DUMMYFUNCTION("+IFERROR((G17/F17),0)"),0)</f>
        <v>0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27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IFERROR(__xludf.DUMMYFUNCTION("+Hoja2!K8"),91.3)</f>
        <v>91.3</v>
      </c>
      <c r="C8" s="8"/>
      <c r="D8" s="9">
        <f ca="1">IFERROR(__xludf.DUMMYFUNCTION("+IFERROR((C8/B8),0)"),0)</f>
        <v>0</v>
      </c>
      <c r="E8" s="8"/>
      <c r="F8" s="8">
        <f ca="1">IFERROR(__xludf.DUMMYFUNCTION("+B8+SEP!F8"),722.099999999999)</f>
        <v>722.099999999999</v>
      </c>
      <c r="G8" s="8">
        <f ca="1">IFERROR(__xludf.DUMMYFUNCTION("+C8+SEP!G8"),40)</f>
        <v>40</v>
      </c>
      <c r="H8" s="9">
        <f ca="1">IFERROR(__xludf.DUMMYFUNCTION("+IFERROR((G8/F8),0)"),0.0553939897521119)</f>
        <v>5.5393989752111898E-2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IFERROR(__xludf.DUMMYFUNCTION("+Hoja2!K19"),27.5)</f>
        <v>27.5</v>
      </c>
      <c r="C9" s="8"/>
      <c r="D9" s="9">
        <f ca="1">IFERROR(__xludf.DUMMYFUNCTION("+IFERROR((C9/B9),0)"),0)</f>
        <v>0</v>
      </c>
      <c r="E9" s="8"/>
      <c r="F9" s="8">
        <f ca="1">IFERROR(__xludf.DUMMYFUNCTION("+B9+SEP!F9"),217.5)</f>
        <v>217.5</v>
      </c>
      <c r="G9" s="8">
        <f ca="1">IFERROR(__xludf.DUMMYFUNCTION("+C9+SEP!G9"),234)</f>
        <v>234</v>
      </c>
      <c r="H9" s="9">
        <f ca="1">IFERROR(__xludf.DUMMYFUNCTION("+IFERROR((G9/F9),0)"),1.07586206896551)</f>
        <v>1.0758620689655101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IFERROR(__xludf.DUMMYFUNCTION("+B8-B9"),63.8)</f>
        <v>63.8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IFERROR(__xludf.DUMMYFUNCTION("+F8-F9"),504.599999999999)</f>
        <v>504.599999999999</v>
      </c>
      <c r="G10" s="12">
        <f ca="1">IFERROR(__xludf.DUMMYFUNCTION("+G8-G9"),-194)</f>
        <v>-194</v>
      </c>
      <c r="H10" s="13">
        <f ca="1">IFERROR(__xludf.DUMMYFUNCTION("+IFERROR(G10/F10,0)"),-0.384462940943321)</f>
        <v>-0.38446294094332101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63.8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504.599999999999</v>
      </c>
      <c r="G13" s="12">
        <f t="shared" ca="1" si="1"/>
        <v>-194</v>
      </c>
      <c r="H13" s="13">
        <f ca="1">IFERROR(__xludf.DUMMYFUNCTION("+IFERROR((G13/F13),0)"),-0.384462940943321)</f>
        <v>-0.38446294094332101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IFERROR(__xludf.DUMMYFUNCTION("+Hoja2!K35"),385)</f>
        <v>385</v>
      </c>
      <c r="C15" s="8"/>
      <c r="D15" s="13">
        <f ca="1">IFERROR(__xludf.DUMMYFUNCTION("+IFERROR((C15/B15),0)"),0)</f>
        <v>0</v>
      </c>
      <c r="E15" s="8"/>
      <c r="F15" s="8">
        <f ca="1">IFERROR(__xludf.DUMMYFUNCTION("+B15+SEP!F15"),3045)</f>
        <v>3045</v>
      </c>
      <c r="G15" s="8">
        <f ca="1">IFERROR(__xludf.DUMMYFUNCTION("+C15+SEP!G15"),218)</f>
        <v>218</v>
      </c>
      <c r="H15" s="13">
        <f ca="1">IFERROR(__xludf.DUMMYFUNCTION("+IFERROR((G15/F15),0)"),0.0715927750410509)</f>
        <v>7.1592775041050896E-2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IFERROR(__xludf.DUMMYFUNCTION("+Hoja2!K36"),682)</f>
        <v>682</v>
      </c>
      <c r="C17" s="8"/>
      <c r="D17" s="13">
        <f ca="1">IFERROR(__xludf.DUMMYFUNCTION("+IFERROR((C17/B17),0)"),0)</f>
        <v>0</v>
      </c>
      <c r="E17" s="8"/>
      <c r="F17" s="8">
        <f ca="1">IFERROR(__xludf.DUMMYFUNCTION("+B17+SEP!F17"),5394)</f>
        <v>5394</v>
      </c>
      <c r="G17" s="8">
        <f ca="1">IFERROR(__xludf.DUMMYFUNCTION("+C17+SEP!G17"),1164)</f>
        <v>1164</v>
      </c>
      <c r="H17" s="13">
        <f ca="1">IFERROR(__xludf.DUMMYFUNCTION("+IFERROR((G17/F17),0)"),0.21579532814238)</f>
        <v>0.21579532814238001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28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IFERROR(__xludf.DUMMYFUNCTION("+Hoja2!L8"),66.4)</f>
        <v>66.400000000000006</v>
      </c>
      <c r="C8" s="8"/>
      <c r="D8" s="9">
        <f ca="1">IFERROR(__xludf.DUMMYFUNCTION("+IFERROR((C8/B8),0)"),0)</f>
        <v>0</v>
      </c>
      <c r="E8" s="8"/>
      <c r="F8" s="8">
        <f ca="1">IFERROR(__xludf.DUMMYFUNCTION("+B8+OCT!F8"),788.499999999999)</f>
        <v>788.49999999999898</v>
      </c>
      <c r="G8" s="8">
        <f ca="1">IFERROR(__xludf.DUMMYFUNCTION("+C8+OCT!G8"),40)</f>
        <v>40</v>
      </c>
      <c r="H8" s="9">
        <f ca="1">IFERROR(__xludf.DUMMYFUNCTION("+IFERROR((G8/F8),0)"),0.0507292327203551)</f>
        <v>5.0729232720355101E-2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IFERROR(__xludf.DUMMYFUNCTION("+Hoja2!L19"),20)</f>
        <v>20</v>
      </c>
      <c r="C9" s="8"/>
      <c r="D9" s="9">
        <f ca="1">IFERROR(__xludf.DUMMYFUNCTION("+IFERROR((C9/B9),0)"),0)</f>
        <v>0</v>
      </c>
      <c r="E9" s="8"/>
      <c r="F9" s="8">
        <f ca="1">IFERROR(__xludf.DUMMYFUNCTION("+B9+OCT!F9"),237.5)</f>
        <v>237.5</v>
      </c>
      <c r="G9" s="8">
        <f ca="1">IFERROR(__xludf.DUMMYFUNCTION("+C9+OCT!G9"),234)</f>
        <v>234</v>
      </c>
      <c r="H9" s="9">
        <f ca="1">IFERROR(__xludf.DUMMYFUNCTION("+IFERROR((G9/F9),0)"),0.985263157894736)</f>
        <v>0.98526315789473595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IFERROR(__xludf.DUMMYFUNCTION("+F8-F9"),550.999999999999)</f>
        <v>550.99999999999898</v>
      </c>
      <c r="G10" s="12">
        <f ca="1">IFERROR(__xludf.DUMMYFUNCTION("+G8-G9"),-194)</f>
        <v>-194</v>
      </c>
      <c r="H10" s="13">
        <f ca="1">IFERROR(__xludf.DUMMYFUNCTION("+IFERROR(G10/F10,0)"),-0.352087114337568)</f>
        <v>-0.35208711433756801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550.99999999999898</v>
      </c>
      <c r="G13" s="12">
        <f t="shared" ca="1" si="1"/>
        <v>-194</v>
      </c>
      <c r="H13" s="13">
        <f ca="1">IFERROR(__xludf.DUMMYFUNCTION("+IFERROR((G13/F13),0)"),-0.352087114337568)</f>
        <v>-0.35208711433756801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IFERROR(__xludf.DUMMYFUNCTION("+Hoja2!L35"),280)</f>
        <v>280</v>
      </c>
      <c r="C15" s="8"/>
      <c r="D15" s="13">
        <f ca="1">IFERROR(__xludf.DUMMYFUNCTION("+IFERROR((C15/B15),0)"),0)</f>
        <v>0</v>
      </c>
      <c r="E15" s="8"/>
      <c r="F15" s="8">
        <f ca="1">IFERROR(__xludf.DUMMYFUNCTION("+B15+OCT!F15"),3325)</f>
        <v>3325</v>
      </c>
      <c r="G15" s="8">
        <f ca="1">IFERROR(__xludf.DUMMYFUNCTION("+C15+OCT!G15"),218)</f>
        <v>218</v>
      </c>
      <c r="H15" s="13">
        <f ca="1">IFERROR(__xludf.DUMMYFUNCTION("+IFERROR((G15/F15),0)"),0.065563909774436)</f>
        <v>6.5563909774436005E-2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IFERROR(__xludf.DUMMYFUNCTION("+Hoja2!L36"),496)</f>
        <v>496</v>
      </c>
      <c r="C17" s="8"/>
      <c r="D17" s="13">
        <f ca="1">IFERROR(__xludf.DUMMYFUNCTION("+IFERROR((C17/B17),0)"),0)</f>
        <v>0</v>
      </c>
      <c r="E17" s="8"/>
      <c r="F17" s="8">
        <f ca="1">IFERROR(__xludf.DUMMYFUNCTION("+B17+OCT!F17"),5890)</f>
        <v>5890</v>
      </c>
      <c r="G17" s="8">
        <f ca="1">IFERROR(__xludf.DUMMYFUNCTION("+C17+OCT!G17"),1164)</f>
        <v>1164</v>
      </c>
      <c r="H17" s="13">
        <f ca="1">IFERROR(__xludf.DUMMYFUNCTION("+IFERROR((G17/F17),0)"),0.197623089983022)</f>
        <v>0.197623089983022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29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IFERROR(__xludf.DUMMYFUNCTION("+Hoja2!M8"),41.5)</f>
        <v>41.5</v>
      </c>
      <c r="C8" s="8"/>
      <c r="D8" s="9">
        <f ca="1">IFERROR(__xludf.DUMMYFUNCTION("+IFERROR((C8/B8),0)"),0)</f>
        <v>0</v>
      </c>
      <c r="E8" s="8"/>
      <c r="F8" s="8">
        <f ca="1">IFERROR(__xludf.DUMMYFUNCTION("+B8+NOV!F8"),829.999999999999)</f>
        <v>829.99999999999898</v>
      </c>
      <c r="G8" s="8">
        <f ca="1">IFERROR(__xludf.DUMMYFUNCTION("+C8+NOV!G8"),40)</f>
        <v>40</v>
      </c>
      <c r="H8" s="9">
        <f ca="1">IFERROR(__xludf.DUMMYFUNCTION("+IFERROR((G8/F8),0)"),0.0481927710843373)</f>
        <v>4.8192771084337303E-2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IFERROR(__xludf.DUMMYFUNCTION("+Hoja2!M19"),12.5)</f>
        <v>12.5</v>
      </c>
      <c r="C9" s="8"/>
      <c r="D9" s="9">
        <f ca="1">IFERROR(__xludf.DUMMYFUNCTION("+IFERROR((C9/B9),0)"),0)</f>
        <v>0</v>
      </c>
      <c r="E9" s="8"/>
      <c r="F9" s="8">
        <f ca="1">IFERROR(__xludf.DUMMYFUNCTION("+B9+NOV!F9"),250)</f>
        <v>250</v>
      </c>
      <c r="G9" s="8">
        <f ca="1">IFERROR(__xludf.DUMMYFUNCTION("+C9+NOV!G9"),234)</f>
        <v>234</v>
      </c>
      <c r="H9" s="9">
        <f ca="1">IFERROR(__xludf.DUMMYFUNCTION("+IFERROR((G9/F9),0)"),0.936)</f>
        <v>0.93600000000000005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IFERROR(__xludf.DUMMYFUNCTION("+B8-B9"),29)</f>
        <v>29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IFERROR(__xludf.DUMMYFUNCTION("+F8-F9"),579.999999999999)</f>
        <v>579.99999999999898</v>
      </c>
      <c r="G10" s="12">
        <f ca="1">IFERROR(__xludf.DUMMYFUNCTION("+G8-G9"),-194)</f>
        <v>-194</v>
      </c>
      <c r="H10" s="13">
        <f ca="1">IFERROR(__xludf.DUMMYFUNCTION("+IFERROR(G10/F10,0)"),-0.334482758620689)</f>
        <v>-0.33448275862068899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29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579.99999999999898</v>
      </c>
      <c r="G13" s="12">
        <f t="shared" ca="1" si="1"/>
        <v>-194</v>
      </c>
      <c r="H13" s="13">
        <f ca="1">IFERROR(__xludf.DUMMYFUNCTION("+IFERROR((G13/F13),0)"),-0.334482758620689)</f>
        <v>-0.33448275862068899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IFERROR(__xludf.DUMMYFUNCTION("+Hoja2!M35"),175)</f>
        <v>175</v>
      </c>
      <c r="C15" s="8"/>
      <c r="D15" s="13">
        <f ca="1">IFERROR(__xludf.DUMMYFUNCTION("+IFERROR((C15/B15),0)"),0)</f>
        <v>0</v>
      </c>
      <c r="E15" s="8"/>
      <c r="F15" s="8">
        <f ca="1">IFERROR(__xludf.DUMMYFUNCTION("+B15+NOV!F15"),3500)</f>
        <v>3500</v>
      </c>
      <c r="G15" s="8">
        <f ca="1">IFERROR(__xludf.DUMMYFUNCTION("+C15+NOV!G15"),218)</f>
        <v>218</v>
      </c>
      <c r="H15" s="13">
        <f ca="1">IFERROR(__xludf.DUMMYFUNCTION("+IFERROR((G15/F15),0)"),0.0622857142857142)</f>
        <v>6.2285714285714201E-2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IFERROR(__xludf.DUMMYFUNCTION("+Hoja2!M36"),310)</f>
        <v>310</v>
      </c>
      <c r="C17" s="8"/>
      <c r="D17" s="13">
        <f ca="1">IFERROR(__xludf.DUMMYFUNCTION("+IFERROR((C17/B17),0)"),0)</f>
        <v>0</v>
      </c>
      <c r="E17" s="8"/>
      <c r="F17" s="8">
        <f ca="1">IFERROR(__xludf.DUMMYFUNCTION("+B17+NOV!F17"),6200)</f>
        <v>6200</v>
      </c>
      <c r="G17" s="8">
        <f ca="1">IFERROR(__xludf.DUMMYFUNCTION("+C17+NOV!G17"),1164)</f>
        <v>1164</v>
      </c>
      <c r="H17" s="13">
        <f ca="1">IFERROR(__xludf.DUMMYFUNCTION("+IFERROR((G17/F17),0)"),0.18774193548387)</f>
        <v>0.18774193548387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3" width="6.90625" customWidth="1"/>
    <col min="14" max="14" width="8.36328125" customWidth="1"/>
    <col min="15" max="15" width="2" customWidth="1"/>
    <col min="16" max="16" width="14.453125" customWidth="1"/>
    <col min="17" max="26" width="44.453125" customWidth="1"/>
  </cols>
  <sheetData>
    <row r="1" spans="1:26" ht="12" customHeight="1" x14ac:dyDescent="0.3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5" t="s">
        <v>44</v>
      </c>
      <c r="Q1" s="24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27" t="s">
        <v>45</v>
      </c>
      <c r="B2" s="28">
        <v>42</v>
      </c>
      <c r="C2" s="28">
        <v>48</v>
      </c>
      <c r="D2" s="28">
        <v>60</v>
      </c>
      <c r="E2" s="28">
        <v>48</v>
      </c>
      <c r="F2" s="28">
        <v>48</v>
      </c>
      <c r="G2" s="28">
        <v>48</v>
      </c>
      <c r="H2" s="28">
        <v>54</v>
      </c>
      <c r="I2" s="28">
        <v>48</v>
      </c>
      <c r="J2" s="28">
        <v>60</v>
      </c>
      <c r="K2" s="28">
        <v>66</v>
      </c>
      <c r="L2" s="28">
        <v>48</v>
      </c>
      <c r="M2" s="28">
        <v>30</v>
      </c>
      <c r="N2" s="28">
        <v>600</v>
      </c>
      <c r="O2" s="29">
        <v>0</v>
      </c>
      <c r="P2" s="30">
        <v>600</v>
      </c>
      <c r="Q2" s="24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27" t="s">
        <v>46</v>
      </c>
      <c r="B3" s="28">
        <v>8.0500000000000007</v>
      </c>
      <c r="C3" s="28">
        <v>9.1999999999999993</v>
      </c>
      <c r="D3" s="28">
        <v>11.5</v>
      </c>
      <c r="E3" s="28">
        <v>9.1999999999999993</v>
      </c>
      <c r="F3" s="28">
        <v>9.1999999999999993</v>
      </c>
      <c r="G3" s="28">
        <v>9.1999999999999993</v>
      </c>
      <c r="H3" s="28">
        <v>10.35</v>
      </c>
      <c r="I3" s="28">
        <v>9.1999999999999993</v>
      </c>
      <c r="J3" s="28">
        <v>11.5</v>
      </c>
      <c r="K3" s="28">
        <v>12.65</v>
      </c>
      <c r="L3" s="28">
        <v>9.1999999999999993</v>
      </c>
      <c r="M3" s="28">
        <v>5.75</v>
      </c>
      <c r="N3" s="28">
        <v>115</v>
      </c>
      <c r="O3" s="29">
        <v>0</v>
      </c>
      <c r="P3" s="30">
        <v>115</v>
      </c>
      <c r="Q3" s="24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27" t="s">
        <v>47</v>
      </c>
      <c r="B4" s="28">
        <v>8.0500000000000007</v>
      </c>
      <c r="C4" s="28">
        <v>9.1999999999999993</v>
      </c>
      <c r="D4" s="28">
        <v>11.5</v>
      </c>
      <c r="E4" s="28">
        <v>9.1999999999999993</v>
      </c>
      <c r="F4" s="28">
        <v>9.1999999999999993</v>
      </c>
      <c r="G4" s="28">
        <v>9.1999999999999993</v>
      </c>
      <c r="H4" s="28">
        <v>10.35</v>
      </c>
      <c r="I4" s="28">
        <v>9.1999999999999993</v>
      </c>
      <c r="J4" s="28">
        <v>11.5</v>
      </c>
      <c r="K4" s="28">
        <v>12.65</v>
      </c>
      <c r="L4" s="28">
        <v>9.1999999999999993</v>
      </c>
      <c r="M4" s="28">
        <v>5.75</v>
      </c>
      <c r="N4" s="28">
        <v>115</v>
      </c>
      <c r="O4" s="29">
        <v>0</v>
      </c>
      <c r="P4" s="30">
        <v>115</v>
      </c>
      <c r="Q4" s="24"/>
      <c r="R4" s="26"/>
      <c r="S4" s="26"/>
      <c r="T4" s="26"/>
      <c r="U4" s="26"/>
      <c r="V4" s="26"/>
      <c r="W4" s="26"/>
      <c r="X4" s="26"/>
      <c r="Y4" s="26"/>
      <c r="Z4" s="26"/>
    </row>
    <row r="5" spans="1:26" ht="12" customHeight="1" x14ac:dyDescent="0.25">
      <c r="A5" s="27" t="s">
        <v>48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9">
        <v>0</v>
      </c>
      <c r="P5" s="30">
        <v>0</v>
      </c>
      <c r="Q5" s="24"/>
      <c r="R5" s="26"/>
      <c r="S5" s="26"/>
      <c r="T5" s="26"/>
      <c r="U5" s="26"/>
      <c r="V5" s="26"/>
      <c r="W5" s="26"/>
      <c r="X5" s="26"/>
      <c r="Y5" s="26"/>
      <c r="Z5" s="26"/>
    </row>
    <row r="6" spans="1:26" ht="12" customHeight="1" x14ac:dyDescent="0.25">
      <c r="A6" s="27" t="s">
        <v>49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9">
        <v>0</v>
      </c>
      <c r="P6" s="30">
        <v>0</v>
      </c>
      <c r="Q6" s="24"/>
      <c r="R6" s="26"/>
      <c r="S6" s="26"/>
      <c r="T6" s="26"/>
      <c r="U6" s="26"/>
      <c r="V6" s="26"/>
      <c r="W6" s="26"/>
      <c r="X6" s="26"/>
      <c r="Y6" s="26"/>
      <c r="Z6" s="26"/>
    </row>
    <row r="7" spans="1:26" ht="12" customHeight="1" x14ac:dyDescent="0.25">
      <c r="A7" s="27" t="s">
        <v>50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9">
        <v>0</v>
      </c>
      <c r="P7" s="30">
        <v>0</v>
      </c>
      <c r="Q7" s="24"/>
      <c r="R7" s="26"/>
      <c r="S7" s="26"/>
      <c r="T7" s="26"/>
      <c r="U7" s="26"/>
      <c r="V7" s="26"/>
      <c r="W7" s="26"/>
      <c r="X7" s="26"/>
      <c r="Y7" s="26"/>
      <c r="Z7" s="26"/>
    </row>
    <row r="8" spans="1:26" ht="12" customHeight="1" x14ac:dyDescent="0.3">
      <c r="A8" s="31" t="s">
        <v>51</v>
      </c>
      <c r="B8" s="32">
        <v>58.1</v>
      </c>
      <c r="C8" s="32">
        <v>66.400000000000006</v>
      </c>
      <c r="D8" s="32">
        <v>83</v>
      </c>
      <c r="E8" s="32">
        <v>66.400000000000006</v>
      </c>
      <c r="F8" s="32">
        <v>66.400000000000006</v>
      </c>
      <c r="G8" s="32">
        <v>66.400000000000006</v>
      </c>
      <c r="H8" s="32">
        <v>74.7</v>
      </c>
      <c r="I8" s="32">
        <v>66.400000000000006</v>
      </c>
      <c r="J8" s="32">
        <v>83</v>
      </c>
      <c r="K8" s="32">
        <v>91.3</v>
      </c>
      <c r="L8" s="32">
        <v>66.400000000000006</v>
      </c>
      <c r="M8" s="32">
        <v>41.5</v>
      </c>
      <c r="N8" s="32">
        <v>830</v>
      </c>
      <c r="O8" s="24"/>
      <c r="P8" s="33">
        <v>830</v>
      </c>
      <c r="Q8" s="34"/>
      <c r="R8" s="26"/>
      <c r="S8" s="26"/>
      <c r="T8" s="26"/>
      <c r="U8" s="26"/>
      <c r="V8" s="26"/>
      <c r="W8" s="26"/>
      <c r="X8" s="26"/>
      <c r="Y8" s="26"/>
      <c r="Z8" s="26"/>
    </row>
    <row r="9" spans="1:26" ht="12" customHeight="1" x14ac:dyDescent="0.3">
      <c r="A9" s="2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4"/>
      <c r="P9" s="35"/>
      <c r="Q9" s="24"/>
      <c r="R9" s="26"/>
      <c r="S9" s="26"/>
      <c r="T9" s="26"/>
      <c r="U9" s="26"/>
      <c r="V9" s="26"/>
      <c r="W9" s="26"/>
      <c r="X9" s="26"/>
      <c r="Y9" s="26"/>
      <c r="Z9" s="26"/>
    </row>
    <row r="10" spans="1:26" ht="12" customHeight="1" x14ac:dyDescent="0.3">
      <c r="A10" s="36" t="s">
        <v>52</v>
      </c>
      <c r="B10" s="34"/>
      <c r="C10" s="34"/>
      <c r="D10" s="34"/>
      <c r="E10" s="34"/>
      <c r="F10" s="34"/>
      <c r="G10" s="34"/>
      <c r="H10" s="34"/>
      <c r="I10" s="36" t="s">
        <v>5</v>
      </c>
      <c r="J10" s="34"/>
      <c r="K10" s="34"/>
      <c r="L10" s="34"/>
      <c r="M10" s="34"/>
      <c r="N10" s="34"/>
      <c r="O10" s="24"/>
      <c r="P10" s="35"/>
      <c r="Q10" s="24"/>
      <c r="R10" s="24"/>
      <c r="S10" s="26"/>
      <c r="T10" s="26"/>
      <c r="U10" s="26"/>
      <c r="V10" s="26"/>
      <c r="W10" s="26"/>
      <c r="X10" s="26"/>
      <c r="Y10" s="26"/>
      <c r="Z10" s="26"/>
    </row>
    <row r="11" spans="1:26" ht="12" customHeight="1" x14ac:dyDescent="0.3">
      <c r="A11" s="2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4"/>
      <c r="P11" s="35"/>
      <c r="Q11" s="24"/>
      <c r="R11" s="34"/>
      <c r="S11" s="26"/>
      <c r="T11" s="26"/>
      <c r="U11" s="26"/>
      <c r="V11" s="26"/>
      <c r="W11" s="26"/>
      <c r="X11" s="26"/>
      <c r="Y11" s="26"/>
      <c r="Z11" s="26"/>
    </row>
    <row r="12" spans="1:26" ht="12" customHeight="1" x14ac:dyDescent="0.35">
      <c r="A12" s="37" t="s">
        <v>14</v>
      </c>
      <c r="B12" s="38" t="s">
        <v>31</v>
      </c>
      <c r="C12" s="38" t="s">
        <v>32</v>
      </c>
      <c r="D12" s="38" t="s">
        <v>33</v>
      </c>
      <c r="E12" s="38" t="s">
        <v>34</v>
      </c>
      <c r="F12" s="38" t="s">
        <v>35</v>
      </c>
      <c r="G12" s="38" t="s">
        <v>36</v>
      </c>
      <c r="H12" s="38" t="s">
        <v>37</v>
      </c>
      <c r="I12" s="38" t="s">
        <v>38</v>
      </c>
      <c r="J12" s="38" t="s">
        <v>39</v>
      </c>
      <c r="K12" s="38" t="s">
        <v>40</v>
      </c>
      <c r="L12" s="38" t="s">
        <v>41</v>
      </c>
      <c r="M12" s="38" t="s">
        <v>42</v>
      </c>
      <c r="N12" s="38" t="s">
        <v>43</v>
      </c>
      <c r="O12" s="24"/>
      <c r="P12" s="39" t="s">
        <v>44</v>
      </c>
      <c r="Q12" s="24"/>
      <c r="R12" s="34"/>
      <c r="S12" s="26"/>
      <c r="T12" s="26"/>
      <c r="U12" s="26"/>
      <c r="V12" s="26"/>
      <c r="W12" s="26"/>
      <c r="X12" s="26"/>
      <c r="Y12" s="26"/>
      <c r="Z12" s="26"/>
    </row>
    <row r="13" spans="1:26" ht="12" customHeight="1" x14ac:dyDescent="0.25">
      <c r="A13" s="27" t="s">
        <v>45</v>
      </c>
      <c r="B13" s="28">
        <v>14</v>
      </c>
      <c r="C13" s="28">
        <v>16</v>
      </c>
      <c r="D13" s="28">
        <v>20</v>
      </c>
      <c r="E13" s="28">
        <v>16</v>
      </c>
      <c r="F13" s="28">
        <v>16</v>
      </c>
      <c r="G13" s="28">
        <v>16</v>
      </c>
      <c r="H13" s="28">
        <v>18</v>
      </c>
      <c r="I13" s="28">
        <v>16</v>
      </c>
      <c r="J13" s="28">
        <v>20</v>
      </c>
      <c r="K13" s="28">
        <v>22</v>
      </c>
      <c r="L13" s="28">
        <v>16</v>
      </c>
      <c r="M13" s="28">
        <v>10</v>
      </c>
      <c r="N13" s="28">
        <v>200</v>
      </c>
      <c r="O13" s="29">
        <v>0</v>
      </c>
      <c r="P13" s="30">
        <v>200</v>
      </c>
      <c r="Q13" s="24"/>
      <c r="R13" s="24"/>
      <c r="S13" s="26"/>
      <c r="T13" s="26"/>
      <c r="U13" s="26"/>
      <c r="V13" s="26"/>
      <c r="W13" s="26"/>
      <c r="X13" s="26"/>
      <c r="Y13" s="26"/>
      <c r="Z13" s="26"/>
    </row>
    <row r="14" spans="1:26" ht="12" customHeight="1" x14ac:dyDescent="0.25">
      <c r="A14" s="27" t="s">
        <v>46</v>
      </c>
      <c r="B14" s="28">
        <v>3.5</v>
      </c>
      <c r="C14" s="28">
        <v>4</v>
      </c>
      <c r="D14" s="28">
        <v>5</v>
      </c>
      <c r="E14" s="28">
        <v>4</v>
      </c>
      <c r="F14" s="28">
        <v>4</v>
      </c>
      <c r="G14" s="28">
        <v>4</v>
      </c>
      <c r="H14" s="28">
        <v>4.5</v>
      </c>
      <c r="I14" s="28">
        <v>4</v>
      </c>
      <c r="J14" s="28">
        <v>5</v>
      </c>
      <c r="K14" s="28">
        <v>5.5</v>
      </c>
      <c r="L14" s="28">
        <v>4</v>
      </c>
      <c r="M14" s="28">
        <v>2.5</v>
      </c>
      <c r="N14" s="28">
        <v>50</v>
      </c>
      <c r="O14" s="29">
        <v>0</v>
      </c>
      <c r="P14" s="30">
        <v>50</v>
      </c>
      <c r="Q14" s="24"/>
      <c r="R14" s="24"/>
      <c r="S14" s="26"/>
      <c r="T14" s="26"/>
      <c r="U14" s="26"/>
      <c r="V14" s="26"/>
      <c r="W14" s="26"/>
      <c r="X14" s="26"/>
      <c r="Y14" s="26"/>
      <c r="Z14" s="26"/>
    </row>
    <row r="15" spans="1:26" ht="12" customHeight="1" x14ac:dyDescent="0.25">
      <c r="A15" s="27" t="s">
        <v>47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9">
        <v>0</v>
      </c>
      <c r="P15" s="30">
        <v>0</v>
      </c>
      <c r="Q15" s="24"/>
      <c r="R15" s="24"/>
      <c r="S15" s="26"/>
      <c r="T15" s="26"/>
      <c r="U15" s="26"/>
      <c r="V15" s="26"/>
      <c r="W15" s="26"/>
      <c r="X15" s="26"/>
      <c r="Y15" s="26"/>
      <c r="Z15" s="26"/>
    </row>
    <row r="16" spans="1:26" ht="12" customHeight="1" x14ac:dyDescent="0.25">
      <c r="A16" s="27" t="s">
        <v>48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9">
        <v>0</v>
      </c>
      <c r="P16" s="30">
        <v>0</v>
      </c>
      <c r="Q16" s="24"/>
      <c r="R16" s="24"/>
      <c r="S16" s="26"/>
      <c r="T16" s="26"/>
      <c r="U16" s="26"/>
      <c r="V16" s="26"/>
      <c r="W16" s="26"/>
      <c r="X16" s="26"/>
      <c r="Y16" s="26"/>
      <c r="Z16" s="26"/>
    </row>
    <row r="17" spans="1:26" ht="12" customHeight="1" x14ac:dyDescent="0.25">
      <c r="A17" s="27" t="s">
        <v>49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9">
        <v>0</v>
      </c>
      <c r="P17" s="30">
        <v>0</v>
      </c>
      <c r="Q17" s="24"/>
      <c r="R17" s="24"/>
      <c r="S17" s="26"/>
      <c r="T17" s="26"/>
      <c r="U17" s="26"/>
      <c r="V17" s="26"/>
      <c r="W17" s="26"/>
      <c r="X17" s="26"/>
      <c r="Y17" s="26"/>
      <c r="Z17" s="26"/>
    </row>
    <row r="18" spans="1:26" ht="12" customHeight="1" x14ac:dyDescent="0.25">
      <c r="A18" s="27" t="s">
        <v>50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9">
        <v>0</v>
      </c>
      <c r="P18" s="30">
        <v>0</v>
      </c>
      <c r="Q18" s="24"/>
      <c r="R18" s="24"/>
      <c r="S18" s="26"/>
      <c r="T18" s="26"/>
      <c r="U18" s="26"/>
      <c r="V18" s="26"/>
      <c r="W18" s="26"/>
      <c r="X18" s="26"/>
      <c r="Y18" s="26"/>
      <c r="Z18" s="26"/>
    </row>
    <row r="19" spans="1:26" ht="12" customHeight="1" x14ac:dyDescent="0.3">
      <c r="A19" s="31" t="s">
        <v>53</v>
      </c>
      <c r="B19" s="32">
        <v>17.5</v>
      </c>
      <c r="C19" s="32">
        <v>20</v>
      </c>
      <c r="D19" s="32">
        <v>25</v>
      </c>
      <c r="E19" s="32">
        <v>20</v>
      </c>
      <c r="F19" s="32">
        <v>20</v>
      </c>
      <c r="G19" s="32">
        <v>20</v>
      </c>
      <c r="H19" s="32">
        <v>22.5</v>
      </c>
      <c r="I19" s="32">
        <v>20</v>
      </c>
      <c r="J19" s="32">
        <v>25</v>
      </c>
      <c r="K19" s="32">
        <v>27.5</v>
      </c>
      <c r="L19" s="32">
        <v>20</v>
      </c>
      <c r="M19" s="32">
        <v>12.5</v>
      </c>
      <c r="N19" s="32">
        <v>250</v>
      </c>
      <c r="O19" s="29">
        <v>0</v>
      </c>
      <c r="P19" s="40">
        <v>250</v>
      </c>
      <c r="Q19" s="41"/>
      <c r="R19" s="24"/>
      <c r="S19" s="26"/>
      <c r="T19" s="26"/>
      <c r="U19" s="26"/>
      <c r="V19" s="26"/>
      <c r="W19" s="26"/>
      <c r="X19" s="26"/>
      <c r="Y19" s="26"/>
      <c r="Z19" s="26"/>
    </row>
    <row r="20" spans="1:26" ht="12" customHeight="1" x14ac:dyDescent="0.3">
      <c r="A20" s="2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4"/>
      <c r="P20" s="42"/>
      <c r="Q20" s="24"/>
      <c r="R20" s="24"/>
      <c r="S20" s="26"/>
      <c r="T20" s="26"/>
      <c r="U20" s="26"/>
      <c r="V20" s="26"/>
      <c r="W20" s="26"/>
      <c r="X20" s="26"/>
      <c r="Y20" s="26"/>
      <c r="Z20" s="26"/>
    </row>
    <row r="21" spans="1:26" ht="12" customHeight="1" x14ac:dyDescent="0.3">
      <c r="A21" s="36" t="s">
        <v>54</v>
      </c>
      <c r="B21" s="34"/>
      <c r="C21" s="34"/>
      <c r="D21" s="34"/>
      <c r="E21" s="34"/>
      <c r="F21" s="34"/>
      <c r="G21" s="34"/>
      <c r="H21" s="34"/>
      <c r="I21" s="36" t="s">
        <v>5</v>
      </c>
      <c r="J21" s="34"/>
      <c r="K21" s="34"/>
      <c r="L21" s="34"/>
      <c r="M21" s="34"/>
      <c r="N21" s="34"/>
      <c r="O21" s="24"/>
      <c r="P21" s="42"/>
      <c r="Q21" s="24"/>
      <c r="R21" s="24"/>
      <c r="S21" s="26"/>
      <c r="T21" s="26"/>
      <c r="U21" s="26"/>
      <c r="V21" s="26"/>
      <c r="W21" s="26"/>
      <c r="X21" s="26"/>
      <c r="Y21" s="26"/>
      <c r="Z21" s="26"/>
    </row>
    <row r="22" spans="1:26" ht="12" customHeight="1" x14ac:dyDescent="0.3">
      <c r="A22" s="2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4"/>
      <c r="P22" s="42"/>
      <c r="Q22" s="24"/>
      <c r="R22" s="24"/>
      <c r="S22" s="26"/>
      <c r="T22" s="26"/>
      <c r="U22" s="26"/>
      <c r="V22" s="26"/>
      <c r="W22" s="26"/>
      <c r="X22" s="26"/>
      <c r="Y22" s="26"/>
      <c r="Z22" s="26"/>
    </row>
    <row r="23" spans="1:26" ht="12" customHeight="1" x14ac:dyDescent="0.3">
      <c r="A23" s="43" t="s">
        <v>55</v>
      </c>
      <c r="B23" s="44" t="s">
        <v>31</v>
      </c>
      <c r="C23" s="44" t="s">
        <v>32</v>
      </c>
      <c r="D23" s="44" t="s">
        <v>33</v>
      </c>
      <c r="E23" s="44" t="s">
        <v>34</v>
      </c>
      <c r="F23" s="44" t="s">
        <v>35</v>
      </c>
      <c r="G23" s="44" t="s">
        <v>36</v>
      </c>
      <c r="H23" s="44" t="s">
        <v>37</v>
      </c>
      <c r="I23" s="44" t="s">
        <v>38</v>
      </c>
      <c r="J23" s="44" t="s">
        <v>39</v>
      </c>
      <c r="K23" s="44" t="s">
        <v>40</v>
      </c>
      <c r="L23" s="44" t="s">
        <v>41</v>
      </c>
      <c r="M23" s="44" t="s">
        <v>42</v>
      </c>
      <c r="N23" s="44" t="s">
        <v>43</v>
      </c>
      <c r="O23" s="24"/>
      <c r="P23" s="45"/>
      <c r="Q23" s="24"/>
      <c r="R23" s="24"/>
      <c r="S23" s="26"/>
      <c r="T23" s="26"/>
      <c r="U23" s="26"/>
      <c r="V23" s="26"/>
      <c r="W23" s="26"/>
      <c r="X23" s="26"/>
      <c r="Y23" s="26"/>
      <c r="Z23" s="26"/>
    </row>
    <row r="24" spans="1:26" ht="12" customHeight="1" x14ac:dyDescent="0.3">
      <c r="A24" s="27" t="s">
        <v>45</v>
      </c>
      <c r="B24" s="28">
        <v>28</v>
      </c>
      <c r="C24" s="28">
        <v>32</v>
      </c>
      <c r="D24" s="28">
        <v>40</v>
      </c>
      <c r="E24" s="28">
        <v>32</v>
      </c>
      <c r="F24" s="28">
        <v>32</v>
      </c>
      <c r="G24" s="28">
        <v>32</v>
      </c>
      <c r="H24" s="28">
        <v>36</v>
      </c>
      <c r="I24" s="28">
        <v>32</v>
      </c>
      <c r="J24" s="28">
        <v>40</v>
      </c>
      <c r="K24" s="28">
        <v>44</v>
      </c>
      <c r="L24" s="28">
        <v>32</v>
      </c>
      <c r="M24" s="28">
        <v>20</v>
      </c>
      <c r="N24" s="28">
        <v>400</v>
      </c>
      <c r="O24" s="29">
        <v>0</v>
      </c>
      <c r="P24" s="45"/>
      <c r="Q24" s="24"/>
      <c r="R24" s="24"/>
      <c r="S24" s="26"/>
      <c r="T24" s="26"/>
      <c r="U24" s="26"/>
      <c r="V24" s="26"/>
      <c r="W24" s="26"/>
      <c r="X24" s="26"/>
      <c r="Y24" s="26"/>
      <c r="Z24" s="26"/>
    </row>
    <row r="25" spans="1:26" ht="12" customHeight="1" x14ac:dyDescent="0.3">
      <c r="A25" s="27" t="s">
        <v>46</v>
      </c>
      <c r="B25" s="28">
        <v>4.55</v>
      </c>
      <c r="C25" s="28">
        <v>5.2</v>
      </c>
      <c r="D25" s="28">
        <v>6.5</v>
      </c>
      <c r="E25" s="28">
        <v>5.2</v>
      </c>
      <c r="F25" s="28">
        <v>5.2</v>
      </c>
      <c r="G25" s="28">
        <v>5.2</v>
      </c>
      <c r="H25" s="28">
        <v>5.85</v>
      </c>
      <c r="I25" s="28">
        <v>5.2</v>
      </c>
      <c r="J25" s="28">
        <v>6.5</v>
      </c>
      <c r="K25" s="28">
        <v>7.15</v>
      </c>
      <c r="L25" s="28">
        <v>5.2</v>
      </c>
      <c r="M25" s="28">
        <v>3.25</v>
      </c>
      <c r="N25" s="28">
        <v>65</v>
      </c>
      <c r="O25" s="29">
        <v>0</v>
      </c>
      <c r="P25" s="45"/>
      <c r="Q25" s="24"/>
      <c r="R25" s="24"/>
      <c r="S25" s="26"/>
      <c r="T25" s="26"/>
      <c r="U25" s="26"/>
      <c r="V25" s="26"/>
      <c r="W25" s="26"/>
      <c r="X25" s="26"/>
      <c r="Y25" s="26"/>
      <c r="Z25" s="26"/>
    </row>
    <row r="26" spans="1:26" ht="12" customHeight="1" x14ac:dyDescent="0.3">
      <c r="A26" s="27" t="s">
        <v>47</v>
      </c>
      <c r="B26" s="28">
        <v>8.0500000000000007</v>
      </c>
      <c r="C26" s="28">
        <v>9.1999999999999993</v>
      </c>
      <c r="D26" s="28">
        <v>11.5</v>
      </c>
      <c r="E26" s="28">
        <v>9.1999999999999993</v>
      </c>
      <c r="F26" s="28">
        <v>9.1999999999999993</v>
      </c>
      <c r="G26" s="28">
        <v>9.1999999999999993</v>
      </c>
      <c r="H26" s="28">
        <v>10.35</v>
      </c>
      <c r="I26" s="28">
        <v>9.1999999999999993</v>
      </c>
      <c r="J26" s="28">
        <v>11.5</v>
      </c>
      <c r="K26" s="28">
        <v>12.65</v>
      </c>
      <c r="L26" s="28">
        <v>9.1999999999999993</v>
      </c>
      <c r="M26" s="28">
        <v>5.75</v>
      </c>
      <c r="N26" s="28">
        <v>115</v>
      </c>
      <c r="O26" s="29">
        <v>0</v>
      </c>
      <c r="P26" s="45"/>
      <c r="Q26" s="24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2" customHeight="1" x14ac:dyDescent="0.3">
      <c r="A27" s="27" t="s">
        <v>48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9">
        <v>0</v>
      </c>
      <c r="P27" s="45"/>
      <c r="Q27" s="24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" customHeight="1" x14ac:dyDescent="0.3">
      <c r="A28" s="27" t="s">
        <v>49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9">
        <v>0</v>
      </c>
      <c r="P28" s="45"/>
      <c r="Q28" s="24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2" customHeight="1" x14ac:dyDescent="0.3">
      <c r="A29" s="27" t="s">
        <v>50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9">
        <v>0</v>
      </c>
      <c r="P29" s="45"/>
      <c r="Q29" s="24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2" customHeight="1" x14ac:dyDescent="0.3">
      <c r="A30" s="31" t="s">
        <v>56</v>
      </c>
      <c r="B30" s="32">
        <v>40.6</v>
      </c>
      <c r="C30" s="32">
        <v>46.4</v>
      </c>
      <c r="D30" s="32">
        <v>58</v>
      </c>
      <c r="E30" s="32">
        <v>46.4</v>
      </c>
      <c r="F30" s="32">
        <v>46.4</v>
      </c>
      <c r="G30" s="32">
        <v>46.4</v>
      </c>
      <c r="H30" s="32">
        <v>52.2</v>
      </c>
      <c r="I30" s="32">
        <v>46.4</v>
      </c>
      <c r="J30" s="32">
        <v>58</v>
      </c>
      <c r="K30" s="32">
        <v>63.8</v>
      </c>
      <c r="L30" s="32">
        <v>46.4</v>
      </c>
      <c r="M30" s="32">
        <v>29</v>
      </c>
      <c r="N30" s="32">
        <v>580</v>
      </c>
      <c r="O30" s="24"/>
      <c r="P30" s="45"/>
      <c r="Q30" s="41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2" customHeight="1" x14ac:dyDescent="0.3">
      <c r="A31" s="2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45"/>
      <c r="Q31" s="24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2" customHeight="1" x14ac:dyDescent="0.3">
      <c r="A32" s="46" t="s">
        <v>57</v>
      </c>
      <c r="B32" s="47"/>
      <c r="C32" s="47"/>
      <c r="D32" s="47"/>
      <c r="E32" s="47"/>
      <c r="F32" s="47"/>
      <c r="G32" s="47"/>
      <c r="H32" s="24"/>
      <c r="I32" s="48" t="s">
        <v>5</v>
      </c>
      <c r="J32" s="47"/>
      <c r="K32" s="47"/>
      <c r="L32" s="47"/>
      <c r="M32" s="47"/>
      <c r="N32" s="47"/>
      <c r="O32" s="24"/>
      <c r="P32" s="45"/>
      <c r="Q32" s="24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2" customHeight="1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45"/>
      <c r="Q33" s="24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" customHeight="1" x14ac:dyDescent="0.3">
      <c r="A34" s="49" t="s">
        <v>55</v>
      </c>
      <c r="B34" s="50" t="s">
        <v>31</v>
      </c>
      <c r="C34" s="50" t="s">
        <v>32</v>
      </c>
      <c r="D34" s="50" t="s">
        <v>33</v>
      </c>
      <c r="E34" s="50" t="s">
        <v>34</v>
      </c>
      <c r="F34" s="50" t="s">
        <v>35</v>
      </c>
      <c r="G34" s="50" t="s">
        <v>36</v>
      </c>
      <c r="H34" s="50" t="s">
        <v>37</v>
      </c>
      <c r="I34" s="50" t="s">
        <v>38</v>
      </c>
      <c r="J34" s="50" t="s">
        <v>39</v>
      </c>
      <c r="K34" s="50" t="s">
        <v>40</v>
      </c>
      <c r="L34" s="50" t="s">
        <v>41</v>
      </c>
      <c r="M34" s="50" t="s">
        <v>42</v>
      </c>
      <c r="N34" s="50" t="s">
        <v>43</v>
      </c>
      <c r="O34" s="24"/>
      <c r="P34" s="45"/>
      <c r="Q34" s="24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2" customHeight="1" x14ac:dyDescent="0.25">
      <c r="A35" s="27" t="s">
        <v>58</v>
      </c>
      <c r="B35" s="28">
        <v>245</v>
      </c>
      <c r="C35" s="28">
        <v>280</v>
      </c>
      <c r="D35" s="28">
        <v>350</v>
      </c>
      <c r="E35" s="28">
        <v>280</v>
      </c>
      <c r="F35" s="28">
        <v>280</v>
      </c>
      <c r="G35" s="28">
        <v>280</v>
      </c>
      <c r="H35" s="28">
        <v>315</v>
      </c>
      <c r="I35" s="28">
        <v>280</v>
      </c>
      <c r="J35" s="28">
        <v>350</v>
      </c>
      <c r="K35" s="28">
        <v>385</v>
      </c>
      <c r="L35" s="28">
        <v>280</v>
      </c>
      <c r="M35" s="28">
        <v>175</v>
      </c>
      <c r="N35" s="51">
        <v>3500</v>
      </c>
      <c r="O35" s="29">
        <v>0</v>
      </c>
      <c r="P35" s="30">
        <v>3500</v>
      </c>
      <c r="Q35" s="24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2" customHeight="1" x14ac:dyDescent="0.25">
      <c r="A36" s="27" t="s">
        <v>18</v>
      </c>
      <c r="B36" s="28">
        <v>434</v>
      </c>
      <c r="C36" s="28">
        <v>496</v>
      </c>
      <c r="D36" s="28">
        <v>620</v>
      </c>
      <c r="E36" s="28">
        <v>496</v>
      </c>
      <c r="F36" s="28">
        <v>496</v>
      </c>
      <c r="G36" s="28">
        <v>496</v>
      </c>
      <c r="H36" s="28">
        <v>558</v>
      </c>
      <c r="I36" s="28">
        <v>496</v>
      </c>
      <c r="J36" s="28">
        <v>620</v>
      </c>
      <c r="K36" s="28">
        <v>682</v>
      </c>
      <c r="L36" s="28">
        <v>496</v>
      </c>
      <c r="M36" s="28">
        <v>310</v>
      </c>
      <c r="N36" s="51">
        <v>6200</v>
      </c>
      <c r="O36" s="29">
        <v>0</v>
      </c>
      <c r="P36" s="30">
        <v>6200</v>
      </c>
      <c r="Q36" s="24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2" customHeigh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9"/>
      <c r="P37" s="45"/>
      <c r="Q37" s="24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2" customHeigh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45"/>
      <c r="Q38" s="24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2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5"/>
      <c r="Q39" s="24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2" customHeigh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5"/>
      <c r="Q40" s="24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2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45"/>
      <c r="Q41" s="24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" customHeight="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45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45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45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2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45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45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45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45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2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45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2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45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" customHeight="1" x14ac:dyDescent="0.3">
      <c r="P51" s="45"/>
    </row>
    <row r="52" spans="1:26" ht="12" customHeight="1" x14ac:dyDescent="0.3">
      <c r="P52" s="45"/>
    </row>
    <row r="53" spans="1:26" ht="12" customHeight="1" x14ac:dyDescent="0.3">
      <c r="P53" s="45"/>
    </row>
    <row r="54" spans="1:26" ht="12" customHeight="1" x14ac:dyDescent="0.3">
      <c r="P54" s="45"/>
    </row>
    <row r="55" spans="1:26" ht="12" customHeight="1" x14ac:dyDescent="0.3">
      <c r="P55" s="45"/>
    </row>
    <row r="56" spans="1:26" ht="12" customHeight="1" x14ac:dyDescent="0.3">
      <c r="P56" s="45"/>
    </row>
    <row r="57" spans="1:26" ht="12" customHeight="1" x14ac:dyDescent="0.3">
      <c r="P57" s="45"/>
    </row>
    <row r="58" spans="1:26" ht="12" customHeight="1" x14ac:dyDescent="0.3">
      <c r="P58" s="45"/>
    </row>
    <row r="59" spans="1:26" ht="12" customHeight="1" x14ac:dyDescent="0.3">
      <c r="P59" s="45"/>
    </row>
    <row r="60" spans="1:26" ht="12" customHeight="1" x14ac:dyDescent="0.3">
      <c r="P60" s="45"/>
    </row>
    <row r="61" spans="1:26" ht="12" customHeight="1" x14ac:dyDescent="0.3">
      <c r="P61" s="45"/>
    </row>
    <row r="62" spans="1:26" ht="12" customHeight="1" x14ac:dyDescent="0.3">
      <c r="P62" s="45"/>
    </row>
    <row r="63" spans="1:26" ht="12" customHeight="1" x14ac:dyDescent="0.3">
      <c r="P63" s="45"/>
    </row>
    <row r="64" spans="1:26" ht="12" customHeight="1" x14ac:dyDescent="0.3">
      <c r="P64" s="45"/>
    </row>
    <row r="65" spans="16:16" ht="12" customHeight="1" x14ac:dyDescent="0.3">
      <c r="P65" s="45"/>
    </row>
    <row r="66" spans="16:16" ht="12" customHeight="1" x14ac:dyDescent="0.3">
      <c r="P66" s="45"/>
    </row>
    <row r="67" spans="16:16" ht="12" customHeight="1" x14ac:dyDescent="0.3">
      <c r="P67" s="45"/>
    </row>
    <row r="68" spans="16:16" ht="12" customHeight="1" x14ac:dyDescent="0.3">
      <c r="P68" s="45"/>
    </row>
    <row r="69" spans="16:16" ht="12" customHeight="1" x14ac:dyDescent="0.3">
      <c r="P69" s="45"/>
    </row>
    <row r="70" spans="16:16" ht="12" customHeight="1" x14ac:dyDescent="0.3">
      <c r="P70" s="45"/>
    </row>
    <row r="71" spans="16:16" ht="12" customHeight="1" x14ac:dyDescent="0.3">
      <c r="P71" s="45"/>
    </row>
    <row r="72" spans="16:16" ht="12" customHeight="1" x14ac:dyDescent="0.3">
      <c r="P72" s="45"/>
    </row>
    <row r="73" spans="16:16" ht="12" customHeight="1" x14ac:dyDescent="0.3">
      <c r="P73" s="45"/>
    </row>
    <row r="74" spans="16:16" ht="12" customHeight="1" x14ac:dyDescent="0.3">
      <c r="P74" s="45"/>
    </row>
    <row r="75" spans="16:16" ht="12" customHeight="1" x14ac:dyDescent="0.3">
      <c r="P75" s="45"/>
    </row>
    <row r="76" spans="16:16" ht="12" customHeight="1" x14ac:dyDescent="0.3">
      <c r="P76" s="45"/>
    </row>
    <row r="77" spans="16:16" ht="12" customHeight="1" x14ac:dyDescent="0.3">
      <c r="P77" s="45"/>
    </row>
    <row r="78" spans="16:16" ht="12" customHeight="1" x14ac:dyDescent="0.3">
      <c r="P78" s="45"/>
    </row>
    <row r="79" spans="16:16" ht="12" customHeight="1" x14ac:dyDescent="0.3">
      <c r="P79" s="45"/>
    </row>
    <row r="80" spans="16:16" ht="12" customHeight="1" x14ac:dyDescent="0.3">
      <c r="P80" s="45"/>
    </row>
    <row r="81" spans="16:16" ht="12" customHeight="1" x14ac:dyDescent="0.3">
      <c r="P81" s="45"/>
    </row>
    <row r="82" spans="16:16" ht="12" customHeight="1" x14ac:dyDescent="0.3">
      <c r="P82" s="45"/>
    </row>
    <row r="83" spans="16:16" ht="12" customHeight="1" x14ac:dyDescent="0.3">
      <c r="P83" s="45"/>
    </row>
    <row r="84" spans="16:16" ht="12" customHeight="1" x14ac:dyDescent="0.3">
      <c r="P84" s="45"/>
    </row>
    <row r="85" spans="16:16" ht="12" customHeight="1" x14ac:dyDescent="0.3">
      <c r="P85" s="45"/>
    </row>
    <row r="86" spans="16:16" ht="12" customHeight="1" x14ac:dyDescent="0.3">
      <c r="P86" s="45"/>
    </row>
    <row r="87" spans="16:16" ht="12" customHeight="1" x14ac:dyDescent="0.3">
      <c r="P87" s="45"/>
    </row>
    <row r="88" spans="16:16" ht="12" customHeight="1" x14ac:dyDescent="0.3">
      <c r="P88" s="45"/>
    </row>
    <row r="89" spans="16:16" ht="12" customHeight="1" x14ac:dyDescent="0.3">
      <c r="P89" s="45"/>
    </row>
    <row r="90" spans="16:16" ht="12" customHeight="1" x14ac:dyDescent="0.3">
      <c r="P90" s="45"/>
    </row>
    <row r="91" spans="16:16" ht="12" customHeight="1" x14ac:dyDescent="0.3">
      <c r="P91" s="45"/>
    </row>
    <row r="92" spans="16:16" ht="12" customHeight="1" x14ac:dyDescent="0.3">
      <c r="P92" s="45"/>
    </row>
    <row r="93" spans="16:16" ht="12" customHeight="1" x14ac:dyDescent="0.3">
      <c r="P93" s="45"/>
    </row>
    <row r="94" spans="16:16" ht="12" customHeight="1" x14ac:dyDescent="0.3">
      <c r="P94" s="45"/>
    </row>
    <row r="95" spans="16:16" ht="12" customHeight="1" x14ac:dyDescent="0.3">
      <c r="P95" s="45"/>
    </row>
    <row r="96" spans="16:16" ht="12" customHeight="1" x14ac:dyDescent="0.3">
      <c r="P96" s="45"/>
    </row>
    <row r="97" spans="16:16" ht="12" customHeight="1" x14ac:dyDescent="0.3">
      <c r="P97" s="45"/>
    </row>
    <row r="98" spans="16:16" ht="12" customHeight="1" x14ac:dyDescent="0.3">
      <c r="P98" s="45"/>
    </row>
    <row r="99" spans="16:16" ht="12" customHeight="1" x14ac:dyDescent="0.3">
      <c r="P99" s="45"/>
    </row>
    <row r="100" spans="16:16" ht="12" customHeight="1" x14ac:dyDescent="0.3">
      <c r="P100" s="45"/>
    </row>
    <row r="101" spans="16:16" ht="12" customHeight="1" x14ac:dyDescent="0.3">
      <c r="P101" s="45"/>
    </row>
    <row r="102" spans="16:16" ht="12" customHeight="1" x14ac:dyDescent="0.3">
      <c r="P102" s="45"/>
    </row>
    <row r="103" spans="16:16" ht="12" customHeight="1" x14ac:dyDescent="0.3">
      <c r="P103" s="45"/>
    </row>
    <row r="104" spans="16:16" ht="12" customHeight="1" x14ac:dyDescent="0.3">
      <c r="P104" s="45"/>
    </row>
    <row r="105" spans="16:16" ht="12" customHeight="1" x14ac:dyDescent="0.3">
      <c r="P105" s="45"/>
    </row>
    <row r="106" spans="16:16" ht="12" customHeight="1" x14ac:dyDescent="0.3">
      <c r="P106" s="45"/>
    </row>
    <row r="107" spans="16:16" ht="12" customHeight="1" x14ac:dyDescent="0.3">
      <c r="P107" s="45"/>
    </row>
    <row r="108" spans="16:16" ht="12" customHeight="1" x14ac:dyDescent="0.3">
      <c r="P108" s="45"/>
    </row>
    <row r="109" spans="16:16" ht="12" customHeight="1" x14ac:dyDescent="0.3">
      <c r="P109" s="45"/>
    </row>
    <row r="110" spans="16:16" ht="12" customHeight="1" x14ac:dyDescent="0.3">
      <c r="P110" s="45"/>
    </row>
    <row r="111" spans="16:16" ht="12" customHeight="1" x14ac:dyDescent="0.3">
      <c r="P111" s="45"/>
    </row>
    <row r="112" spans="16:16" ht="12" customHeight="1" x14ac:dyDescent="0.3">
      <c r="P112" s="45"/>
    </row>
    <row r="113" spans="16:16" ht="12" customHeight="1" x14ac:dyDescent="0.3">
      <c r="P113" s="45"/>
    </row>
    <row r="114" spans="16:16" ht="12" customHeight="1" x14ac:dyDescent="0.3">
      <c r="P114" s="45"/>
    </row>
    <row r="115" spans="16:16" ht="12" customHeight="1" x14ac:dyDescent="0.3">
      <c r="P115" s="45"/>
    </row>
    <row r="116" spans="16:16" ht="12" customHeight="1" x14ac:dyDescent="0.3">
      <c r="P116" s="45"/>
    </row>
    <row r="117" spans="16:16" ht="12" customHeight="1" x14ac:dyDescent="0.3">
      <c r="P117" s="45"/>
    </row>
    <row r="118" spans="16:16" ht="12" customHeight="1" x14ac:dyDescent="0.3">
      <c r="P118" s="45"/>
    </row>
    <row r="119" spans="16:16" ht="12" customHeight="1" x14ac:dyDescent="0.3">
      <c r="P119" s="45"/>
    </row>
    <row r="120" spans="16:16" ht="12" customHeight="1" x14ac:dyDescent="0.3">
      <c r="P120" s="45"/>
    </row>
    <row r="121" spans="16:16" ht="12" customHeight="1" x14ac:dyDescent="0.3">
      <c r="P121" s="45"/>
    </row>
    <row r="122" spans="16:16" ht="12" customHeight="1" x14ac:dyDescent="0.3">
      <c r="P122" s="45"/>
    </row>
    <row r="123" spans="16:16" ht="12" customHeight="1" x14ac:dyDescent="0.3">
      <c r="P123" s="45"/>
    </row>
    <row r="124" spans="16:16" ht="12" customHeight="1" x14ac:dyDescent="0.3">
      <c r="P124" s="45"/>
    </row>
    <row r="125" spans="16:16" ht="12" customHeight="1" x14ac:dyDescent="0.3">
      <c r="P125" s="45"/>
    </row>
    <row r="126" spans="16:16" ht="12" customHeight="1" x14ac:dyDescent="0.3">
      <c r="P126" s="45"/>
    </row>
    <row r="127" spans="16:16" ht="12" customHeight="1" x14ac:dyDescent="0.3">
      <c r="P127" s="45"/>
    </row>
    <row r="128" spans="16:16" ht="12" customHeight="1" x14ac:dyDescent="0.3">
      <c r="P128" s="45"/>
    </row>
    <row r="129" spans="16:16" ht="12" customHeight="1" x14ac:dyDescent="0.3">
      <c r="P129" s="45"/>
    </row>
    <row r="130" spans="16:16" ht="12" customHeight="1" x14ac:dyDescent="0.3">
      <c r="P130" s="45"/>
    </row>
    <row r="131" spans="16:16" ht="12" customHeight="1" x14ac:dyDescent="0.3">
      <c r="P131" s="45"/>
    </row>
    <row r="132" spans="16:16" ht="12" customHeight="1" x14ac:dyDescent="0.3">
      <c r="P132" s="45"/>
    </row>
    <row r="133" spans="16:16" ht="12" customHeight="1" x14ac:dyDescent="0.3">
      <c r="P133" s="45"/>
    </row>
    <row r="134" spans="16:16" ht="12" customHeight="1" x14ac:dyDescent="0.3">
      <c r="P134" s="45"/>
    </row>
    <row r="135" spans="16:16" ht="12" customHeight="1" x14ac:dyDescent="0.3">
      <c r="P135" s="45"/>
    </row>
    <row r="136" spans="16:16" ht="12" customHeight="1" x14ac:dyDescent="0.3">
      <c r="P136" s="45"/>
    </row>
    <row r="137" spans="16:16" ht="12" customHeight="1" x14ac:dyDescent="0.3">
      <c r="P137" s="45"/>
    </row>
    <row r="138" spans="16:16" ht="12" customHeight="1" x14ac:dyDescent="0.3">
      <c r="P138" s="45"/>
    </row>
    <row r="139" spans="16:16" ht="12" customHeight="1" x14ac:dyDescent="0.3">
      <c r="P139" s="45"/>
    </row>
    <row r="140" spans="16:16" ht="12" customHeight="1" x14ac:dyDescent="0.3">
      <c r="P140" s="45"/>
    </row>
    <row r="141" spans="16:16" ht="12" customHeight="1" x14ac:dyDescent="0.3">
      <c r="P141" s="45"/>
    </row>
    <row r="142" spans="16:16" ht="12" customHeight="1" x14ac:dyDescent="0.3">
      <c r="P142" s="45"/>
    </row>
    <row r="143" spans="16:16" ht="12" customHeight="1" x14ac:dyDescent="0.3">
      <c r="P143" s="45"/>
    </row>
    <row r="144" spans="16:16" ht="12" customHeight="1" x14ac:dyDescent="0.3">
      <c r="P144" s="45"/>
    </row>
    <row r="145" spans="16:16" ht="12" customHeight="1" x14ac:dyDescent="0.3">
      <c r="P145" s="45"/>
    </row>
    <row r="146" spans="16:16" ht="12" customHeight="1" x14ac:dyDescent="0.3">
      <c r="P146" s="45"/>
    </row>
    <row r="147" spans="16:16" ht="12" customHeight="1" x14ac:dyDescent="0.3">
      <c r="P147" s="45"/>
    </row>
    <row r="148" spans="16:16" ht="12" customHeight="1" x14ac:dyDescent="0.3">
      <c r="P148" s="45"/>
    </row>
    <row r="149" spans="16:16" ht="12" customHeight="1" x14ac:dyDescent="0.3">
      <c r="P149" s="45"/>
    </row>
    <row r="150" spans="16:16" ht="12" customHeight="1" x14ac:dyDescent="0.3">
      <c r="P150" s="45"/>
    </row>
    <row r="151" spans="16:16" ht="12" customHeight="1" x14ac:dyDescent="0.3">
      <c r="P151" s="45"/>
    </row>
    <row r="152" spans="16:16" ht="12" customHeight="1" x14ac:dyDescent="0.3">
      <c r="P152" s="45"/>
    </row>
    <row r="153" spans="16:16" ht="12" customHeight="1" x14ac:dyDescent="0.3">
      <c r="P153" s="45"/>
    </row>
    <row r="154" spans="16:16" ht="12" customHeight="1" x14ac:dyDescent="0.3">
      <c r="P154" s="45"/>
    </row>
    <row r="155" spans="16:16" ht="12" customHeight="1" x14ac:dyDescent="0.3">
      <c r="P155" s="45"/>
    </row>
    <row r="156" spans="16:16" ht="12" customHeight="1" x14ac:dyDescent="0.3">
      <c r="P156" s="45"/>
    </row>
    <row r="157" spans="16:16" ht="12" customHeight="1" x14ac:dyDescent="0.3">
      <c r="P157" s="45"/>
    </row>
    <row r="158" spans="16:16" ht="12" customHeight="1" x14ac:dyDescent="0.3">
      <c r="P158" s="45"/>
    </row>
    <row r="159" spans="16:16" ht="12" customHeight="1" x14ac:dyDescent="0.3">
      <c r="P159" s="45"/>
    </row>
    <row r="160" spans="16:16" ht="12" customHeight="1" x14ac:dyDescent="0.3">
      <c r="P160" s="45"/>
    </row>
    <row r="161" spans="16:16" ht="12" customHeight="1" x14ac:dyDescent="0.3">
      <c r="P161" s="45"/>
    </row>
    <row r="162" spans="16:16" ht="12" customHeight="1" x14ac:dyDescent="0.3">
      <c r="P162" s="45"/>
    </row>
    <row r="163" spans="16:16" ht="12" customHeight="1" x14ac:dyDescent="0.3">
      <c r="P163" s="45"/>
    </row>
    <row r="164" spans="16:16" ht="12" customHeight="1" x14ac:dyDescent="0.3">
      <c r="P164" s="45"/>
    </row>
    <row r="165" spans="16:16" ht="12" customHeight="1" x14ac:dyDescent="0.3">
      <c r="P165" s="45"/>
    </row>
    <row r="166" spans="16:16" ht="12" customHeight="1" x14ac:dyDescent="0.3">
      <c r="P166" s="45"/>
    </row>
    <row r="167" spans="16:16" ht="12" customHeight="1" x14ac:dyDescent="0.3">
      <c r="P167" s="45"/>
    </row>
    <row r="168" spans="16:16" ht="12" customHeight="1" x14ac:dyDescent="0.3">
      <c r="P168" s="45"/>
    </row>
    <row r="169" spans="16:16" ht="12" customHeight="1" x14ac:dyDescent="0.3">
      <c r="P169" s="45"/>
    </row>
    <row r="170" spans="16:16" ht="12" customHeight="1" x14ac:dyDescent="0.3">
      <c r="P170" s="45"/>
    </row>
    <row r="171" spans="16:16" ht="12" customHeight="1" x14ac:dyDescent="0.3">
      <c r="P171" s="45"/>
    </row>
    <row r="172" spans="16:16" ht="12" customHeight="1" x14ac:dyDescent="0.3">
      <c r="P172" s="45"/>
    </row>
    <row r="173" spans="16:16" ht="12" customHeight="1" x14ac:dyDescent="0.25"/>
    <row r="174" spans="16:16" ht="12" customHeight="1" x14ac:dyDescent="0.25"/>
    <row r="175" spans="16:16" ht="12" customHeight="1" x14ac:dyDescent="0.25"/>
    <row r="176" spans="16:1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/>
  </sheetViews>
  <sheetFormatPr baseColWidth="10" defaultColWidth="12.6328125" defaultRowHeight="15" customHeight="1" x14ac:dyDescent="0.25"/>
  <cols>
    <col min="1" max="26" width="10.453125" customWidth="1"/>
  </cols>
  <sheetData>
    <row r="1" spans="1:26" ht="12.75" customHeight="1" x14ac:dyDescent="0.25"/>
    <row r="2" spans="1:26" ht="12.75" customHeight="1" x14ac:dyDescent="0.25">
      <c r="A2" s="22" t="s">
        <v>30</v>
      </c>
      <c r="B2" s="23" t="s">
        <v>31</v>
      </c>
      <c r="C2" s="23" t="s">
        <v>32</v>
      </c>
      <c r="D2" s="23" t="s">
        <v>33</v>
      </c>
      <c r="E2" s="23" t="s">
        <v>34</v>
      </c>
      <c r="F2" s="23" t="s">
        <v>35</v>
      </c>
      <c r="G2" s="23" t="s">
        <v>36</v>
      </c>
      <c r="H2" s="23" t="s">
        <v>37</v>
      </c>
      <c r="I2" s="23" t="s">
        <v>38</v>
      </c>
      <c r="J2" s="23" t="s">
        <v>39</v>
      </c>
      <c r="K2" s="23" t="s">
        <v>40</v>
      </c>
      <c r="L2" s="23" t="s">
        <v>41</v>
      </c>
      <c r="M2" s="23" t="s">
        <v>42</v>
      </c>
      <c r="N2" s="23" t="s">
        <v>43</v>
      </c>
    </row>
    <row r="3" spans="1:26" ht="12.75" customHeight="1" x14ac:dyDescent="0.25">
      <c r="A3" s="27" t="s">
        <v>45</v>
      </c>
      <c r="B3" s="28">
        <v>70</v>
      </c>
      <c r="C3" s="28">
        <v>80</v>
      </c>
      <c r="D3" s="28">
        <v>100</v>
      </c>
      <c r="E3" s="28">
        <v>80</v>
      </c>
      <c r="F3" s="28">
        <v>80</v>
      </c>
      <c r="G3" s="28">
        <v>80</v>
      </c>
      <c r="H3" s="28">
        <v>90</v>
      </c>
      <c r="I3" s="28">
        <v>80</v>
      </c>
      <c r="J3" s="28">
        <v>100</v>
      </c>
      <c r="K3" s="28">
        <v>110</v>
      </c>
      <c r="L3" s="28">
        <v>80</v>
      </c>
      <c r="M3" s="28">
        <v>50</v>
      </c>
      <c r="N3" s="28">
        <v>1000</v>
      </c>
    </row>
    <row r="4" spans="1:26" ht="12.75" customHeight="1" x14ac:dyDescent="0.25">
      <c r="A4" s="27" t="s">
        <v>46</v>
      </c>
      <c r="B4" s="28">
        <v>14.000000000000002</v>
      </c>
      <c r="C4" s="28">
        <v>16</v>
      </c>
      <c r="D4" s="28">
        <v>20</v>
      </c>
      <c r="E4" s="28">
        <v>16</v>
      </c>
      <c r="F4" s="28">
        <v>16</v>
      </c>
      <c r="G4" s="28">
        <v>16</v>
      </c>
      <c r="H4" s="28">
        <v>18</v>
      </c>
      <c r="I4" s="28">
        <v>16</v>
      </c>
      <c r="J4" s="28">
        <v>20</v>
      </c>
      <c r="K4" s="28">
        <v>22</v>
      </c>
      <c r="L4" s="28">
        <v>16</v>
      </c>
      <c r="M4" s="28">
        <v>10</v>
      </c>
      <c r="N4" s="28">
        <v>200</v>
      </c>
    </row>
    <row r="5" spans="1:26" ht="12.75" customHeight="1" x14ac:dyDescent="0.25">
      <c r="A5" s="27" t="s">
        <v>47</v>
      </c>
      <c r="B5" s="28">
        <v>14.000000000000002</v>
      </c>
      <c r="C5" s="28">
        <v>16</v>
      </c>
      <c r="D5" s="28">
        <v>20</v>
      </c>
      <c r="E5" s="28">
        <v>16</v>
      </c>
      <c r="F5" s="28">
        <v>16</v>
      </c>
      <c r="G5" s="28">
        <v>16</v>
      </c>
      <c r="H5" s="28">
        <v>18</v>
      </c>
      <c r="I5" s="28">
        <v>16</v>
      </c>
      <c r="J5" s="28">
        <v>20</v>
      </c>
      <c r="K5" s="28">
        <v>22</v>
      </c>
      <c r="L5" s="28">
        <v>16</v>
      </c>
      <c r="M5" s="28">
        <v>10</v>
      </c>
      <c r="N5" s="28">
        <v>200</v>
      </c>
    </row>
    <row r="6" spans="1:26" ht="12.75" customHeight="1" x14ac:dyDescent="0.25">
      <c r="A6" s="27" t="s">
        <v>48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</row>
    <row r="7" spans="1:26" ht="12.75" customHeight="1" x14ac:dyDescent="0.25">
      <c r="A7" s="27" t="s">
        <v>49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</row>
    <row r="8" spans="1:26" ht="12.75" customHeight="1" x14ac:dyDescent="0.25">
      <c r="A8" s="27" t="s">
        <v>50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2.75" customHeight="1" x14ac:dyDescent="0.25">
      <c r="A9" s="2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26" ht="12.75" customHeight="1" x14ac:dyDescent="0.25">
      <c r="A10" s="37" t="s">
        <v>14</v>
      </c>
      <c r="B10" s="38" t="s">
        <v>31</v>
      </c>
      <c r="C10" s="38" t="s">
        <v>32</v>
      </c>
      <c r="D10" s="38" t="s">
        <v>33</v>
      </c>
      <c r="E10" s="38" t="s">
        <v>34</v>
      </c>
      <c r="F10" s="38" t="s">
        <v>35</v>
      </c>
      <c r="G10" s="38" t="s">
        <v>36</v>
      </c>
      <c r="H10" s="38" t="s">
        <v>37</v>
      </c>
      <c r="I10" s="38" t="s">
        <v>38</v>
      </c>
      <c r="J10" s="38" t="s">
        <v>39</v>
      </c>
      <c r="K10" s="38" t="s">
        <v>40</v>
      </c>
      <c r="L10" s="38" t="s">
        <v>41</v>
      </c>
      <c r="M10" s="38" t="s">
        <v>42</v>
      </c>
      <c r="N10" s="38" t="s">
        <v>43</v>
      </c>
    </row>
    <row r="11" spans="1:26" ht="12.75" customHeight="1" x14ac:dyDescent="0.25">
      <c r="A11" s="27" t="s">
        <v>45</v>
      </c>
      <c r="B11" s="28">
        <v>8.4</v>
      </c>
      <c r="C11" s="28">
        <v>9.6</v>
      </c>
      <c r="D11" s="28">
        <v>12</v>
      </c>
      <c r="E11" s="28">
        <v>9.6</v>
      </c>
      <c r="F11" s="28">
        <v>9.6</v>
      </c>
      <c r="G11" s="28">
        <v>9.6</v>
      </c>
      <c r="H11" s="28">
        <v>10.799999999999999</v>
      </c>
      <c r="I11" s="28">
        <v>9.6</v>
      </c>
      <c r="J11" s="28">
        <v>12</v>
      </c>
      <c r="K11" s="28">
        <v>13.2</v>
      </c>
      <c r="L11" s="28">
        <v>9.6</v>
      </c>
      <c r="M11" s="28">
        <v>6</v>
      </c>
      <c r="N11" s="28">
        <v>120</v>
      </c>
    </row>
    <row r="12" spans="1:26" ht="12.75" customHeight="1" x14ac:dyDescent="0.25">
      <c r="A12" s="27" t="s">
        <v>46</v>
      </c>
      <c r="B12" s="28">
        <v>7.3500000000000005</v>
      </c>
      <c r="C12" s="28">
        <v>8.4</v>
      </c>
      <c r="D12" s="28">
        <v>10.5</v>
      </c>
      <c r="E12" s="28">
        <v>8.4</v>
      </c>
      <c r="F12" s="28">
        <v>8.4</v>
      </c>
      <c r="G12" s="28">
        <v>8.4</v>
      </c>
      <c r="H12" s="28">
        <v>9.4499999999999993</v>
      </c>
      <c r="I12" s="28">
        <v>8.4</v>
      </c>
      <c r="J12" s="28">
        <v>10.5</v>
      </c>
      <c r="K12" s="28">
        <v>11.55</v>
      </c>
      <c r="L12" s="28">
        <v>8.4</v>
      </c>
      <c r="M12" s="28">
        <v>5.25</v>
      </c>
      <c r="N12" s="28">
        <v>105</v>
      </c>
    </row>
    <row r="13" spans="1:26" ht="12.75" customHeight="1" x14ac:dyDescent="0.25">
      <c r="A13" s="27" t="s">
        <v>47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</row>
    <row r="14" spans="1:26" ht="12.75" customHeight="1" x14ac:dyDescent="0.25">
      <c r="A14" s="27" t="s">
        <v>48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26" ht="12.75" customHeight="1" x14ac:dyDescent="0.25">
      <c r="A15" s="27" t="s">
        <v>49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</row>
    <row r="16" spans="1:26" ht="12.75" customHeight="1" x14ac:dyDescent="0.25">
      <c r="A16" s="27" t="s">
        <v>50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26" ht="12.75" customHeight="1" x14ac:dyDescent="0.25"/>
    <row r="18" spans="1:26" ht="12.75" customHeight="1" x14ac:dyDescent="0.25">
      <c r="A18" s="49" t="s">
        <v>55</v>
      </c>
      <c r="B18" s="50" t="s">
        <v>31</v>
      </c>
      <c r="C18" s="50" t="s">
        <v>32</v>
      </c>
      <c r="D18" s="50" t="s">
        <v>33</v>
      </c>
      <c r="E18" s="50" t="s">
        <v>34</v>
      </c>
      <c r="F18" s="50" t="s">
        <v>35</v>
      </c>
      <c r="G18" s="50" t="s">
        <v>36</v>
      </c>
      <c r="H18" s="50" t="s">
        <v>37</v>
      </c>
      <c r="I18" s="50" t="s">
        <v>38</v>
      </c>
      <c r="J18" s="50" t="s">
        <v>39</v>
      </c>
      <c r="K18" s="50" t="s">
        <v>40</v>
      </c>
      <c r="L18" s="50" t="s">
        <v>41</v>
      </c>
      <c r="M18" s="50" t="s">
        <v>42</v>
      </c>
      <c r="N18" s="50" t="s">
        <v>43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2.75" customHeight="1" x14ac:dyDescent="0.25">
      <c r="A19" s="27" t="s">
        <v>58</v>
      </c>
      <c r="B19" s="28">
        <v>375.97</v>
      </c>
      <c r="C19" s="28">
        <v>429.68</v>
      </c>
      <c r="D19" s="28">
        <v>537.1</v>
      </c>
      <c r="E19" s="28">
        <v>429.68</v>
      </c>
      <c r="F19" s="28">
        <v>429.68</v>
      </c>
      <c r="G19" s="28">
        <v>429.68</v>
      </c>
      <c r="H19" s="28">
        <v>483.39</v>
      </c>
      <c r="I19" s="28">
        <v>429.68</v>
      </c>
      <c r="J19" s="28">
        <v>537.1</v>
      </c>
      <c r="K19" s="28">
        <v>590.81000000000006</v>
      </c>
      <c r="L19" s="28">
        <v>429.68</v>
      </c>
      <c r="M19" s="28">
        <v>268.55</v>
      </c>
      <c r="N19" s="28">
        <v>5371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2.75" customHeight="1" x14ac:dyDescent="0.25">
      <c r="A20" s="27" t="s">
        <v>18</v>
      </c>
      <c r="B20" s="28">
        <v>515.97</v>
      </c>
      <c r="C20" s="28">
        <v>589.68000000000006</v>
      </c>
      <c r="D20" s="28">
        <v>737.1</v>
      </c>
      <c r="E20" s="28">
        <v>589.68000000000006</v>
      </c>
      <c r="F20" s="28">
        <v>589.68000000000006</v>
      </c>
      <c r="G20" s="28">
        <v>589.68000000000006</v>
      </c>
      <c r="H20" s="28">
        <v>663.39</v>
      </c>
      <c r="I20" s="28">
        <v>589.68000000000006</v>
      </c>
      <c r="J20" s="28">
        <v>737.1</v>
      </c>
      <c r="K20" s="28">
        <v>810.81000000000006</v>
      </c>
      <c r="L20" s="28">
        <v>589.68000000000006</v>
      </c>
      <c r="M20" s="28">
        <v>368.55</v>
      </c>
      <c r="N20" s="28">
        <v>7371.0000000000027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19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IFERROR(__xludf.DUMMYFUNCTION("+Hoja2!C8"),66.4)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IFERROR(__xludf.DUMMYFUNCTION("+B8+ENE!F8"),124.5)</f>
        <v>124.5</v>
      </c>
      <c r="G8" s="8">
        <f ca="1">IFERROR(__xludf.DUMMYFUNCTION("+C8+ENE!G8"),0)</f>
        <v>0</v>
      </c>
      <c r="H8" s="9">
        <f ca="1">IFERROR(__xludf.DUMMYFUNCTION("+IFERROR((G8/F8),0)"),0)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IFERROR(__xludf.DUMMYFUNCTION("+Hoja2!C19"),20)</f>
        <v>20</v>
      </c>
      <c r="C9" s="8">
        <v>23</v>
      </c>
      <c r="D9" s="9">
        <f ca="1">IFERROR(__xludf.DUMMYFUNCTION("+IFERROR((C9/B9),0)"),1.15)</f>
        <v>1.1499999999999999</v>
      </c>
      <c r="E9" s="8"/>
      <c r="F9" s="8">
        <f ca="1">IFERROR(__xludf.DUMMYFUNCTION("+B9+ENE!F9"),37.5)</f>
        <v>37.5</v>
      </c>
      <c r="G9" s="8">
        <f ca="1">IFERROR(__xludf.DUMMYFUNCTION("+C9+ENE!G9"),93)</f>
        <v>93</v>
      </c>
      <c r="H9" s="9">
        <f ca="1">IFERROR(__xludf.DUMMYFUNCTION("+IFERROR((G9/F9),0)"),2.48)</f>
        <v>2.48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IFERROR(__xludf.DUMMYFUNCTION("+C8-C9"),-23)</f>
        <v>-23</v>
      </c>
      <c r="D10" s="13">
        <f ca="1">IFERROR(__xludf.DUMMYFUNCTION("+IFERROR(C10/B10,0)"),-0.495689655172413)</f>
        <v>-0.49568965517241298</v>
      </c>
      <c r="E10" s="12">
        <f ca="1">IFERROR(__xludf.DUMMYFUNCTION("+E8-E9"),0)</f>
        <v>0</v>
      </c>
      <c r="F10" s="12">
        <f ca="1">IFERROR(__xludf.DUMMYFUNCTION("+F8-F9"),87)</f>
        <v>87</v>
      </c>
      <c r="G10" s="12">
        <f ca="1">IFERROR(__xludf.DUMMYFUNCTION("+G8-G9"),-93)</f>
        <v>-93</v>
      </c>
      <c r="H10" s="13">
        <f ca="1">IFERROR(__xludf.DUMMYFUNCTION("+IFERROR(G10/F10,0)"),-1.06896551724137)</f>
        <v>-1.0689655172413699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-23</v>
      </c>
      <c r="D13" s="13">
        <f ca="1">IFERROR(__xludf.DUMMYFUNCTION("+IFERROR((C13/B13),0)"),-0.495689655172413)</f>
        <v>-0.49568965517241298</v>
      </c>
      <c r="E13" s="12">
        <f t="shared" ref="E13:G13" ca="1" si="1">E10</f>
        <v>0</v>
      </c>
      <c r="F13" s="12">
        <f t="shared" ca="1" si="1"/>
        <v>87</v>
      </c>
      <c r="G13" s="12">
        <f t="shared" ca="1" si="1"/>
        <v>-93</v>
      </c>
      <c r="H13" s="13">
        <f ca="1">IFERROR(__xludf.DUMMYFUNCTION("+IFERROR((G13/F13),0)"),-1.06896551724137)</f>
        <v>-1.0689655172413699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IFERROR(__xludf.DUMMYFUNCTION("+Hoja2!C35"),280)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IFERROR(__xludf.DUMMYFUNCTION("+B15+ENE!F15"),525)</f>
        <v>525</v>
      </c>
      <c r="G15" s="8">
        <f ca="1">IFERROR(__xludf.DUMMYFUNCTION("+C15+ENE!G15"),218)</f>
        <v>218</v>
      </c>
      <c r="H15" s="13">
        <f ca="1">IFERROR(__xludf.DUMMYFUNCTION("+IFERROR((G15/F15),0)"),0.415238095238095)</f>
        <v>0.41523809523809502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IFERROR(__xludf.DUMMYFUNCTION("+Hoja2!C36"),496)</f>
        <v>496</v>
      </c>
      <c r="C17" s="8">
        <v>388</v>
      </c>
      <c r="D17" s="13">
        <f ca="1">IFERROR(__xludf.DUMMYFUNCTION("+IFERROR((C17/B17),0)"),0.782258064516129)</f>
        <v>0.782258064516129</v>
      </c>
      <c r="E17" s="8"/>
      <c r="F17" s="8">
        <f ca="1">IFERROR(__xludf.DUMMYFUNCTION("+B17+ENE!F17"),930)</f>
        <v>930</v>
      </c>
      <c r="G17" s="8">
        <f ca="1">IFERROR(__xludf.DUMMYFUNCTION("+C17+ENE!G17"),388)</f>
        <v>388</v>
      </c>
      <c r="H17" s="13">
        <f ca="1">IFERROR(__xludf.DUMMYFUNCTION("+IFERROR((G17/F17),0)"),0.417204301075268)</f>
        <v>0.41720430107526801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20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IFERROR(__xludf.DUMMYFUNCTION("+Hoja2!D8"),83)</f>
        <v>83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IFERROR(__xludf.DUMMYFUNCTION("+B8+FEB!F8"),207.5)</f>
        <v>207.5</v>
      </c>
      <c r="G8" s="8">
        <f ca="1">IFERROR(__xludf.DUMMYFUNCTION("+C8+FEB!G8"),0)</f>
        <v>0</v>
      </c>
      <c r="H8" s="9">
        <f ca="1">IFERROR(__xludf.DUMMYFUNCTION("+IFERROR((G8/F8),0)"),0)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IFERROR(__xludf.DUMMYFUNCTION("+Hoja2!D19"),25)</f>
        <v>25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IFERROR(__xludf.DUMMYFUNCTION("+B9+FEB!F9"),62.5)</f>
        <v>62.5</v>
      </c>
      <c r="G9" s="8">
        <f ca="1">IFERROR(__xludf.DUMMYFUNCTION("+C9+FEB!G9"),93)</f>
        <v>93</v>
      </c>
      <c r="H9" s="9">
        <f ca="1">IFERROR(__xludf.DUMMYFUNCTION("+IFERROR((G9/F9),0)"),1.488)</f>
        <v>1.488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IFERROR(__xludf.DUMMYFUNCTION("+B8-B9"),58)</f>
        <v>58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IFERROR(__xludf.DUMMYFUNCTION("+F8-F9"),145)</f>
        <v>145</v>
      </c>
      <c r="G10" s="12">
        <f ca="1">IFERROR(__xludf.DUMMYFUNCTION("+G8-G9"),-93)</f>
        <v>-93</v>
      </c>
      <c r="H10" s="13">
        <f ca="1">IFERROR(__xludf.DUMMYFUNCTION("+IFERROR(G10/F10,0)"),-0.641379310344827)</f>
        <v>-0.64137931034482698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145</v>
      </c>
      <c r="G13" s="12">
        <f t="shared" ca="1" si="1"/>
        <v>-93</v>
      </c>
      <c r="H13" s="13">
        <f ca="1">IFERROR(__xludf.DUMMYFUNCTION("+IFERROR((G13/F13),0)"),-0.641379310344827)</f>
        <v>-0.64137931034482698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IFERROR(__xludf.DUMMYFUNCTION("+Hoja2!D35"),350)</f>
        <v>350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IFERROR(__xludf.DUMMYFUNCTION("+B15+FEB!F15"),875)</f>
        <v>875</v>
      </c>
      <c r="G15" s="8">
        <f ca="1">IFERROR(__xludf.DUMMYFUNCTION("+C15+FEB!G15"),218)</f>
        <v>218</v>
      </c>
      <c r="H15" s="13">
        <f ca="1">IFERROR(__xludf.DUMMYFUNCTION("+IFERROR((G15/F15),0)"),0.249142857142857)</f>
        <v>0.249142857142857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IFERROR(__xludf.DUMMYFUNCTION("+Hoja2!D36"),620)</f>
        <v>620</v>
      </c>
      <c r="C17" s="8">
        <v>388</v>
      </c>
      <c r="D17" s="13">
        <f ca="1">IFERROR(__xludf.DUMMYFUNCTION("+IFERROR((C17/B17),0)"),0.625806451612903)</f>
        <v>0.62580645161290305</v>
      </c>
      <c r="E17" s="8"/>
      <c r="F17" s="8">
        <f ca="1">IFERROR(__xludf.DUMMYFUNCTION("+B17+FEB!F17"),1550)</f>
        <v>1550</v>
      </c>
      <c r="G17" s="8">
        <f ca="1">IFERROR(__xludf.DUMMYFUNCTION("+C17+FEB!G17"),776)</f>
        <v>776</v>
      </c>
      <c r="H17" s="13">
        <f ca="1">IFERROR(__xludf.DUMMYFUNCTION("+IFERROR((G17/F17),0)"),0.500645161290322)</f>
        <v>0.50064516129032199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61" t="s">
        <v>21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IFERROR(__xludf.DUMMYFUNCTION("+Hoja2!E8"),66.4)</f>
        <v>66.400000000000006</v>
      </c>
      <c r="C8" s="8">
        <v>40</v>
      </c>
      <c r="D8" s="9">
        <f ca="1">IFERROR(__xludf.DUMMYFUNCTION("+IFERROR((C8/B8),0)"),0.602409638554216)</f>
        <v>0.60240963855421603</v>
      </c>
      <c r="E8" s="8"/>
      <c r="F8" s="8">
        <f ca="1">IFERROR(__xludf.DUMMYFUNCTION("+B8+MAR!F8"),273.9)</f>
        <v>273.89999999999998</v>
      </c>
      <c r="G8" s="8">
        <f ca="1">IFERROR(__xludf.DUMMYFUNCTION("+C8+MAR!G8"),40)</f>
        <v>40</v>
      </c>
      <c r="H8" s="9">
        <f ca="1">IFERROR(__xludf.DUMMYFUNCTION("+IFERROR((G8/F8),0)"),0.146038700255567)</f>
        <v>0.14603870025556701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IFERROR(__xludf.DUMMYFUNCTION("+Hoja2!E19"),20)</f>
        <v>20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IFERROR(__xludf.DUMMYFUNCTION("+B9+MAR!F9"),82.5)</f>
        <v>82.5</v>
      </c>
      <c r="G9" s="8">
        <f ca="1">IFERROR(__xludf.DUMMYFUNCTION("+C9+MAR!G9"),93)</f>
        <v>93</v>
      </c>
      <c r="H9" s="9">
        <f ca="1">IFERROR(__xludf.DUMMYFUNCTION("+IFERROR((G9/F9),0)"),1.12727272727272)</f>
        <v>1.1272727272727201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IFERROR(__xludf.DUMMYFUNCTION("+C8-C9"),40)</f>
        <v>40</v>
      </c>
      <c r="D10" s="13">
        <f ca="1">IFERROR(__xludf.DUMMYFUNCTION("+IFERROR(C10/B10,0)"),0.862068965517241)</f>
        <v>0.86206896551724099</v>
      </c>
      <c r="E10" s="12">
        <f ca="1">IFERROR(__xludf.DUMMYFUNCTION("+E8-E9"),0)</f>
        <v>0</v>
      </c>
      <c r="F10" s="12">
        <f ca="1">IFERROR(__xludf.DUMMYFUNCTION("+F8-F9"),191.399999999999)</f>
        <v>191.39999999999901</v>
      </c>
      <c r="G10" s="12">
        <f ca="1">IFERROR(__xludf.DUMMYFUNCTION("+G8-G9"),-53)</f>
        <v>-53</v>
      </c>
      <c r="H10" s="13">
        <f ca="1">IFERROR(__xludf.DUMMYFUNCTION("+IFERROR(G10/F10,0)"),-0.276907001044932)</f>
        <v>-0.27690700104493199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40</v>
      </c>
      <c r="D13" s="13">
        <f ca="1">IFERROR(__xludf.DUMMYFUNCTION("+IFERROR((C13/B13),0)"),0.862068965517241)</f>
        <v>0.86206896551724099</v>
      </c>
      <c r="E13" s="12">
        <f t="shared" ref="E13:G13" ca="1" si="1">E10</f>
        <v>0</v>
      </c>
      <c r="F13" s="12">
        <f t="shared" ca="1" si="1"/>
        <v>191.39999999999901</v>
      </c>
      <c r="G13" s="12">
        <f t="shared" ca="1" si="1"/>
        <v>-53</v>
      </c>
      <c r="H13" s="13">
        <f ca="1">IFERROR(__xludf.DUMMYFUNCTION("+IFERROR((G13/F13),0)"),-0.276907001044932)</f>
        <v>-0.27690700104493199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IFERROR(__xludf.DUMMYFUNCTION("+Hoja2!E35"),280)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IFERROR(__xludf.DUMMYFUNCTION("+B15+MAR!F15"),1155)</f>
        <v>1155</v>
      </c>
      <c r="G15" s="8">
        <f ca="1">IFERROR(__xludf.DUMMYFUNCTION("+MAR!C15+MAR!G15"),218)</f>
        <v>218</v>
      </c>
      <c r="H15" s="13">
        <f ca="1">IFERROR(__xludf.DUMMYFUNCTION("+IFERROR((G15/F15),0)"),0.188744588744588)</f>
        <v>0.18874458874458799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IFERROR(__xludf.DUMMYFUNCTION("+Hoja2!E36"),496)</f>
        <v>496</v>
      </c>
      <c r="C17" s="8">
        <v>716</v>
      </c>
      <c r="D17" s="13">
        <f ca="1">IFERROR(__xludf.DUMMYFUNCTION("+IFERROR((C17/B17),0)"),1.44354838709677)</f>
        <v>1.44354838709677</v>
      </c>
      <c r="E17" s="8"/>
      <c r="F17" s="8">
        <f ca="1">IFERROR(__xludf.DUMMYFUNCTION("+B17+MAR!F17"),2046)</f>
        <v>2046</v>
      </c>
      <c r="G17" s="8">
        <f ca="1">IFERROR(__xludf.DUMMYFUNCTION("+MAR!C17+MAR!G17"),1164)</f>
        <v>1164</v>
      </c>
      <c r="H17" s="13">
        <f ca="1">IFERROR(__xludf.DUMMYFUNCTION("+IFERROR((G17/F17),0)"),0.56891495601173)</f>
        <v>0.56891495601173003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22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IFERROR(__xludf.DUMMYFUNCTION("+Hoja2!F8"),66.4)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IFERROR(__xludf.DUMMYFUNCTION("+B8+ABR!F8"),340.299999999999)</f>
        <v>340.29999999999899</v>
      </c>
      <c r="G8" s="8">
        <f ca="1">IFERROR(__xludf.DUMMYFUNCTION("+C8+ABR!G8"),40)</f>
        <v>40</v>
      </c>
      <c r="H8" s="9">
        <f ca="1">IFERROR(__xludf.DUMMYFUNCTION("+IFERROR((G8/F8),0)"),0.117543344108139)</f>
        <v>0.11754334410813901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IFERROR(__xludf.DUMMYFUNCTION("+Hoja2!F19"),20)</f>
        <v>20</v>
      </c>
      <c r="C9" s="8">
        <v>49</v>
      </c>
      <c r="D9" s="9">
        <f ca="1">IFERROR(__xludf.DUMMYFUNCTION("+IFERROR((C9/B9),0)"),2.45)</f>
        <v>2.4500000000000002</v>
      </c>
      <c r="E9" s="8"/>
      <c r="F9" s="8">
        <f ca="1">IFERROR(__xludf.DUMMYFUNCTION("+B9+ABR!F9"),102.5)</f>
        <v>102.5</v>
      </c>
      <c r="G9" s="8">
        <f ca="1">IFERROR(__xludf.DUMMYFUNCTION("+C9+ABR!G9"),142)</f>
        <v>142</v>
      </c>
      <c r="H9" s="9">
        <f ca="1">IFERROR(__xludf.DUMMYFUNCTION("+IFERROR((G9/F9),0)"),1.38536585365853)</f>
        <v>1.38536585365853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IFERROR(__xludf.DUMMYFUNCTION("+C8-C9"),-49)</f>
        <v>-49</v>
      </c>
      <c r="D10" s="13">
        <f ca="1">IFERROR(__xludf.DUMMYFUNCTION("+IFERROR(C10/B10,0)"),-1.05603448275862)</f>
        <v>-1.0560344827586201</v>
      </c>
      <c r="E10" s="12">
        <f ca="1">IFERROR(__xludf.DUMMYFUNCTION("+E8-E9"),0)</f>
        <v>0</v>
      </c>
      <c r="F10" s="12">
        <f ca="1">IFERROR(__xludf.DUMMYFUNCTION("+F8-F9"),237.799999999999)</f>
        <v>237.79999999999899</v>
      </c>
      <c r="G10" s="12">
        <f ca="1">IFERROR(__xludf.DUMMYFUNCTION("+G8-G9"),-102)</f>
        <v>-102</v>
      </c>
      <c r="H10" s="13">
        <f ca="1">IFERROR(__xludf.DUMMYFUNCTION("+IFERROR(G10/F10,0)"),-0.428931875525651)</f>
        <v>-0.42893187552565099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-49</v>
      </c>
      <c r="D13" s="13">
        <f ca="1">IFERROR(__xludf.DUMMYFUNCTION("+IFERROR((C13/B13),0)"),-1.05603448275862)</f>
        <v>-1.0560344827586201</v>
      </c>
      <c r="E13" s="12">
        <f t="shared" ref="E13:G13" ca="1" si="1">E10</f>
        <v>0</v>
      </c>
      <c r="F13" s="12">
        <f t="shared" ca="1" si="1"/>
        <v>237.79999999999899</v>
      </c>
      <c r="G13" s="12">
        <f t="shared" ca="1" si="1"/>
        <v>-102</v>
      </c>
      <c r="H13" s="13">
        <f ca="1">IFERROR(__xludf.DUMMYFUNCTION("+IFERROR((G13/F13),0)"),-0.428931875525651)</f>
        <v>-0.42893187552565099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IFERROR(__xludf.DUMMYFUNCTION("+Hoja2!F35"),280)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IFERROR(__xludf.DUMMYFUNCTION("+B15+ABR!F15"),1435)</f>
        <v>1435</v>
      </c>
      <c r="G15" s="8">
        <f ca="1">IFERROR(__xludf.DUMMYFUNCTION("+C15+ABR!G15"),218)</f>
        <v>218</v>
      </c>
      <c r="H15" s="13">
        <f ca="1">IFERROR(__xludf.DUMMYFUNCTION("+IFERROR((G15/F15),0)"),0.15191637630662)</f>
        <v>0.15191637630662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IFERROR(__xludf.DUMMYFUNCTION("+Hoja2!F36"),496)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IFERROR(__xludf.DUMMYFUNCTION("+B17+ABR!F17"),2542)</f>
        <v>2542</v>
      </c>
      <c r="G17" s="8">
        <f ca="1">IFERROR(__xludf.DUMMYFUNCTION("+C17+ABR!G17"),1164)</f>
        <v>1164</v>
      </c>
      <c r="H17" s="13">
        <f ca="1">IFERROR(__xludf.DUMMYFUNCTION("+IFERROR((G17/F17),0)"),0.457907159716758)</f>
        <v>0.45790715971675799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23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IFERROR(__xludf.DUMMYFUNCTION("+Hoja2!G8"),66.4)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IFERROR(__xludf.DUMMYFUNCTION("+B8+MAY!F8"),406.699999999999)</f>
        <v>406.69999999999902</v>
      </c>
      <c r="G8" s="8">
        <f ca="1">IFERROR(__xludf.DUMMYFUNCTION("+C8+MAY!G8"),40)</f>
        <v>40</v>
      </c>
      <c r="H8" s="9">
        <f ca="1">IFERROR(__xludf.DUMMYFUNCTION("+IFERROR((G8/F8),0)"),0.098352594049668)</f>
        <v>9.8352594049667993E-2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IFERROR(__xludf.DUMMYFUNCTION("+Hoja2!G19"),20)</f>
        <v>20</v>
      </c>
      <c r="C9" s="8">
        <v>92</v>
      </c>
      <c r="D9" s="9">
        <f ca="1">IFERROR(__xludf.DUMMYFUNCTION("+IFERROR((C9/B9),0)"),4.6)</f>
        <v>4.5999999999999996</v>
      </c>
      <c r="E9" s="8"/>
      <c r="F9" s="8">
        <f ca="1">IFERROR(__xludf.DUMMYFUNCTION("+B9+MAY!F9"),122.5)</f>
        <v>122.5</v>
      </c>
      <c r="G9" s="8">
        <f ca="1">IFERROR(__xludf.DUMMYFUNCTION("+C9+MAY!G9"),234)</f>
        <v>234</v>
      </c>
      <c r="H9" s="9">
        <f ca="1">IFERROR(__xludf.DUMMYFUNCTION("+IFERROR((G9/F9),0)"),1.91020408163265)</f>
        <v>1.91020408163265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IFERROR(__xludf.DUMMYFUNCTION("+C8-C9"),-92)</f>
        <v>-92</v>
      </c>
      <c r="D10" s="13">
        <f ca="1">IFERROR(__xludf.DUMMYFUNCTION("+IFERROR(C10/B10,0)"),-1.98275862068965)</f>
        <v>-1.9827586206896499</v>
      </c>
      <c r="E10" s="12">
        <f ca="1">IFERROR(__xludf.DUMMYFUNCTION("+E8-E9"),0)</f>
        <v>0</v>
      </c>
      <c r="F10" s="12">
        <f ca="1">IFERROR(__xludf.DUMMYFUNCTION("+F8-F9"),284.199999999999)</f>
        <v>284.19999999999902</v>
      </c>
      <c r="G10" s="12">
        <f ca="1">IFERROR(__xludf.DUMMYFUNCTION("+G8-G9"),-194)</f>
        <v>-194</v>
      </c>
      <c r="H10" s="13">
        <f ca="1">IFERROR(__xludf.DUMMYFUNCTION("+IFERROR(G10/F10,0)"),-0.682617874736101)</f>
        <v>-0.68261787473610103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-92</v>
      </c>
      <c r="D13" s="13">
        <f ca="1">IFERROR(__xludf.DUMMYFUNCTION("+IFERROR((C13/B13),0)"),-1.98275862068965)</f>
        <v>-1.9827586206896499</v>
      </c>
      <c r="E13" s="12">
        <f t="shared" ref="E13:G13" ca="1" si="1">E10</f>
        <v>0</v>
      </c>
      <c r="F13" s="12">
        <f t="shared" ca="1" si="1"/>
        <v>284.19999999999902</v>
      </c>
      <c r="G13" s="12">
        <f t="shared" ca="1" si="1"/>
        <v>-194</v>
      </c>
      <c r="H13" s="13">
        <f ca="1">IFERROR(__xludf.DUMMYFUNCTION("+IFERROR((G13/F13),0)"),-0.682617874736101)</f>
        <v>-0.68261787473610103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IFERROR(__xludf.DUMMYFUNCTION("+Hoja2!G35"),280)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IFERROR(__xludf.DUMMYFUNCTION("+B15+MAY!F15"),1715)</f>
        <v>1715</v>
      </c>
      <c r="G15" s="8">
        <f ca="1">IFERROR(__xludf.DUMMYFUNCTION("+C15+MAY!G15"),218)</f>
        <v>218</v>
      </c>
      <c r="H15" s="13">
        <f ca="1">IFERROR(__xludf.DUMMYFUNCTION("+IFERROR((G15/F15),0)"),0.127113702623906)</f>
        <v>0.12711370262390601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IFERROR(__xludf.DUMMYFUNCTION("+Hoja2!G36"),496)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IFERROR(__xludf.DUMMYFUNCTION("+B17+MAY!F17"),3038)</f>
        <v>3038</v>
      </c>
      <c r="G17" s="8">
        <f ca="1">IFERROR(__xludf.DUMMYFUNCTION("+C17+MAY!G17"),1164)</f>
        <v>1164</v>
      </c>
      <c r="H17" s="13">
        <f ca="1">IFERROR(__xludf.DUMMYFUNCTION("+IFERROR((G17/F17),0)"),0.38314680710994)</f>
        <v>0.38314680710993998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tabSelected="1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24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IFERROR(__xludf.DUMMYFUNCTION("+Hoja2!H8"),74.7)</f>
        <v>74.7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IFERROR(__xludf.DUMMYFUNCTION("+B8+JUN!F8"),481.399999999999)</f>
        <v>481.39999999999901</v>
      </c>
      <c r="G8" s="8">
        <f ca="1">IFERROR(__xludf.DUMMYFUNCTION("+C8+JUN!G8"),40)</f>
        <v>40</v>
      </c>
      <c r="H8" s="9">
        <f ca="1">IFERROR(__xludf.DUMMYFUNCTION("+IFERROR((G8/F8),0)"),0.0830909846281678)</f>
        <v>8.3090984628167802E-2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IFERROR(__xludf.DUMMYFUNCTION("+Hoja2!H19"),22.5)</f>
        <v>22.5</v>
      </c>
      <c r="C9" s="8">
        <v>150</v>
      </c>
      <c r="D9" s="9">
        <f ca="1">IFERROR(__xludf.DUMMYFUNCTION("+IFERROR((C9/B9),0)"),0)</f>
        <v>0</v>
      </c>
      <c r="E9" s="8"/>
      <c r="F9" s="8">
        <f ca="1">IFERROR(__xludf.DUMMYFUNCTION("+B9+JUN!F9"),145)</f>
        <v>145</v>
      </c>
      <c r="G9" s="8">
        <f ca="1">IFERROR(__xludf.DUMMYFUNCTION("+C9+JUN!G9"),234)</f>
        <v>234</v>
      </c>
      <c r="H9" s="9">
        <f ca="1">IFERROR(__xludf.DUMMYFUNCTION("+IFERROR((G9/F9),0)"),1.61379310344827)</f>
        <v>1.61379310344827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IFERROR(__xludf.DUMMYFUNCTION("+B8-B9"),52.2)</f>
        <v>52.2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IFERROR(__xludf.DUMMYFUNCTION("+F8-F9"),336.399999999999)</f>
        <v>336.39999999999901</v>
      </c>
      <c r="G10" s="12">
        <f ca="1">IFERROR(__xludf.DUMMYFUNCTION("+G8-G9"),-194)</f>
        <v>-194</v>
      </c>
      <c r="H10" s="13">
        <f ca="1">IFERROR(__xludf.DUMMYFUNCTION("+IFERROR(G10/F10,0)"),-0.576694411414982)</f>
        <v>-0.57669441141498201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52.2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336.39999999999901</v>
      </c>
      <c r="G13" s="12">
        <f t="shared" ca="1" si="1"/>
        <v>-194</v>
      </c>
      <c r="H13" s="13">
        <f ca="1">IFERROR(__xludf.DUMMYFUNCTION("+IFERROR((G13/F13),0)"),-0.576694411414982)</f>
        <v>-0.57669441141498201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IFERROR(__xludf.DUMMYFUNCTION("+Hoja2!H35"),315)</f>
        <v>315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IFERROR(__xludf.DUMMYFUNCTION("+B15+JUN!F15"),2030)</f>
        <v>2030</v>
      </c>
      <c r="G15" s="8">
        <f ca="1">IFERROR(__xludf.DUMMYFUNCTION("+C15+JUN!G15"),218)</f>
        <v>218</v>
      </c>
      <c r="H15" s="13">
        <f ca="1">IFERROR(__xludf.DUMMYFUNCTION("+IFERROR((G15/F15),0)"),0.107389162561576)</f>
        <v>0.107389162561576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IFERROR(__xludf.DUMMYFUNCTION("+Hoja2!H36"),558)</f>
        <v>558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IFERROR(__xludf.DUMMYFUNCTION("+B17+JUN!F17"),3596)</f>
        <v>3596</v>
      </c>
      <c r="G17" s="8">
        <f ca="1">IFERROR(__xludf.DUMMYFUNCTION("+C17+JUN!G17"),1164)</f>
        <v>1164</v>
      </c>
      <c r="H17" s="13">
        <f ca="1">IFERROR(__xludf.DUMMYFUNCTION("+IFERROR((G17/F17),0)"),0.32369299221357)</f>
        <v>0.32369299221357001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25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IFERROR(__xludf.DUMMYFUNCTION("+Hoja2!I8"),66.4)</f>
        <v>66.400000000000006</v>
      </c>
      <c r="C8" s="8"/>
      <c r="D8" s="9">
        <f ca="1">IFERROR(__xludf.DUMMYFUNCTION("+IFERROR((C8/B8),0)"),0)</f>
        <v>0</v>
      </c>
      <c r="E8" s="8"/>
      <c r="F8" s="8">
        <f ca="1">IFERROR(__xludf.DUMMYFUNCTION("+B8+JUL!F8"),547.8)</f>
        <v>547.79999999999995</v>
      </c>
      <c r="G8" s="8">
        <f ca="1">IFERROR(__xludf.DUMMYFUNCTION("+C8+JUL!G8"),40)</f>
        <v>40</v>
      </c>
      <c r="H8" s="9">
        <f ca="1">IFERROR(__xludf.DUMMYFUNCTION("+IFERROR((G8/F8),0)"),0.0730193501277838)</f>
        <v>7.3019350127783794E-2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IFERROR(__xludf.DUMMYFUNCTION("+Hoja2!I19"),20)</f>
        <v>20</v>
      </c>
      <c r="C9" s="8"/>
      <c r="D9" s="9">
        <f ca="1">IFERROR(__xludf.DUMMYFUNCTION("+IFERROR((C9/B9),0)"),0)</f>
        <v>0</v>
      </c>
      <c r="E9" s="8"/>
      <c r="F9" s="8">
        <f ca="1">IFERROR(__xludf.DUMMYFUNCTION("+B9+JUL!F9"),165)</f>
        <v>165</v>
      </c>
      <c r="G9" s="8">
        <f ca="1">IFERROR(__xludf.DUMMYFUNCTION("+C9+JUL!G9"),234)</f>
        <v>234</v>
      </c>
      <c r="H9" s="9">
        <f ca="1">IFERROR(__xludf.DUMMYFUNCTION("+IFERROR((G9/F9),0)"),1.41818181818181)</f>
        <v>1.41818181818181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IFERROR(__xludf.DUMMYFUNCTION("+F8-F9"),382.799999999999)</f>
        <v>382.79999999999899</v>
      </c>
      <c r="G10" s="12">
        <f ca="1">IFERROR(__xludf.DUMMYFUNCTION("+G8-G9"),-194)</f>
        <v>-194</v>
      </c>
      <c r="H10" s="13">
        <f ca="1">IFERROR(__xludf.DUMMYFUNCTION("+IFERROR(G10/F10,0)"),-0.506792058516196)</f>
        <v>-0.50679205851619602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382.79999999999899</v>
      </c>
      <c r="G13" s="12">
        <f t="shared" ca="1" si="1"/>
        <v>-194</v>
      </c>
      <c r="H13" s="13">
        <f ca="1">IFERROR(__xludf.DUMMYFUNCTION("+IFERROR((G13/F13),0)"),-0.506792058516196)</f>
        <v>-0.50679205851619602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IFERROR(__xludf.DUMMYFUNCTION("+Hoja2!I35"),280)</f>
        <v>280</v>
      </c>
      <c r="C15" s="8"/>
      <c r="D15" s="13">
        <f ca="1">IFERROR(__xludf.DUMMYFUNCTION("+IFERROR((C15/B15),0)"),0)</f>
        <v>0</v>
      </c>
      <c r="E15" s="8"/>
      <c r="F15" s="8">
        <f ca="1">IFERROR(__xludf.DUMMYFUNCTION("+B15+JUL!F15"),2310)</f>
        <v>2310</v>
      </c>
      <c r="G15" s="8">
        <f ca="1">IFERROR(__xludf.DUMMYFUNCTION("+C15+JUL!G15"),218)</f>
        <v>218</v>
      </c>
      <c r="H15" s="13">
        <f ca="1">IFERROR(__xludf.DUMMYFUNCTION("+IFERROR((G15/F15),0)"),0.0943722943722943)</f>
        <v>9.4372294372294302E-2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IFERROR(__xludf.DUMMYFUNCTION("+Hoja2!I36"),496)</f>
        <v>496</v>
      </c>
      <c r="C17" s="8"/>
      <c r="D17" s="13">
        <f ca="1">IFERROR(__xludf.DUMMYFUNCTION("+IFERROR((C17/B17),0)"),0)</f>
        <v>0</v>
      </c>
      <c r="E17" s="8"/>
      <c r="F17" s="8">
        <f ca="1">IFERROR(__xludf.DUMMYFUNCTION("+B17+JUL!F17"),4092)</f>
        <v>4092</v>
      </c>
      <c r="G17" s="8">
        <f ca="1">IFERROR(__xludf.DUMMYFUNCTION("+C17+JUL!G17"),1164)</f>
        <v>1164</v>
      </c>
      <c r="H17" s="13">
        <f ca="1">IFERROR(__xludf.DUMMYFUNCTION("+IFERROR((G17/F17),0)"),0.284457478005865)</f>
        <v>0.28445747800586502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26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IFERROR(__xludf.DUMMYFUNCTION("+Hoja2!J8"),83)</f>
        <v>83</v>
      </c>
      <c r="C8" s="8"/>
      <c r="D8" s="9">
        <f ca="1">IFERROR(__xludf.DUMMYFUNCTION("+IFERROR((C8/B8),0)"),0)</f>
        <v>0</v>
      </c>
      <c r="E8" s="8"/>
      <c r="F8" s="8">
        <f ca="1">IFERROR(__xludf.DUMMYFUNCTION("+B8+AGO!F8"),630.8)</f>
        <v>630.79999999999995</v>
      </c>
      <c r="G8" s="8">
        <f ca="1">IFERROR(__xludf.DUMMYFUNCTION("+C8+AGO!G8"),40)</f>
        <v>40</v>
      </c>
      <c r="H8" s="9">
        <f ca="1">IFERROR(__xludf.DUMMYFUNCTION("+IFERROR((G8/F8),0)"),0.0634115409004438)</f>
        <v>6.3411540900443805E-2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IFERROR(__xludf.DUMMYFUNCTION("+Hoja2!J19"),25)</f>
        <v>25</v>
      </c>
      <c r="C9" s="8"/>
      <c r="D9" s="9">
        <f ca="1">IFERROR(__xludf.DUMMYFUNCTION("+IFERROR((C9/B9),0)"),0)</f>
        <v>0</v>
      </c>
      <c r="E9" s="8"/>
      <c r="F9" s="8">
        <f ca="1">IFERROR(__xludf.DUMMYFUNCTION("+B9+AGO!F9"),190)</f>
        <v>190</v>
      </c>
      <c r="G9" s="8">
        <f ca="1">IFERROR(__xludf.DUMMYFUNCTION("+C9+AGO!G9"),234)</f>
        <v>234</v>
      </c>
      <c r="H9" s="9">
        <f ca="1">IFERROR(__xludf.DUMMYFUNCTION("+IFERROR((G9/F9),0)"),1.23157894736842)</f>
        <v>1.23157894736842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IFERROR(__xludf.DUMMYFUNCTION("+B8-B9"),58)</f>
        <v>58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IFERROR(__xludf.DUMMYFUNCTION("+F8-F9"),440.799999999999)</f>
        <v>440.79999999999899</v>
      </c>
      <c r="G10" s="12">
        <f ca="1">IFERROR(__xludf.DUMMYFUNCTION("+G8-G9"),-194)</f>
        <v>-194</v>
      </c>
      <c r="H10" s="13">
        <f ca="1">IFERROR(__xludf.DUMMYFUNCTION("+IFERROR(G10/F10,0)"),-0.44010889292196)</f>
        <v>-0.44010889292195998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440.79999999999899</v>
      </c>
      <c r="G13" s="12">
        <f t="shared" ca="1" si="1"/>
        <v>-194</v>
      </c>
      <c r="H13" s="13">
        <f ca="1">IFERROR(__xludf.DUMMYFUNCTION("+IFERROR((G13/F13),0)"),-0.44010889292196)</f>
        <v>-0.44010889292195998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IFERROR(__xludf.DUMMYFUNCTION("+Hoja2!J35"),350)</f>
        <v>350</v>
      </c>
      <c r="C15" s="8"/>
      <c r="D15" s="13">
        <f ca="1">IFERROR(__xludf.DUMMYFUNCTION("+IFERROR((C15/B15),0)"),0)</f>
        <v>0</v>
      </c>
      <c r="E15" s="8"/>
      <c r="F15" s="8">
        <f ca="1">IFERROR(__xludf.DUMMYFUNCTION("+B15+AGO!F15"),2660)</f>
        <v>2660</v>
      </c>
      <c r="G15" s="8">
        <f ca="1">IFERROR(__xludf.DUMMYFUNCTION("+C15+AGO!G15"),218)</f>
        <v>218</v>
      </c>
      <c r="H15" s="13">
        <f ca="1">IFERROR(__xludf.DUMMYFUNCTION("+IFERROR((G15/F15),0)"),0.0819548872180451)</f>
        <v>8.19548872180451E-2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IFERROR(__xludf.DUMMYFUNCTION("+Hoja2!J36"),620)</f>
        <v>620</v>
      </c>
      <c r="C17" s="8"/>
      <c r="D17" s="13">
        <f ca="1">IFERROR(__xludf.DUMMYFUNCTION("+IFERROR((C17/B17),0)"),0)</f>
        <v>0</v>
      </c>
      <c r="E17" s="8"/>
      <c r="F17" s="8">
        <f ca="1">IFERROR(__xludf.DUMMYFUNCTION("+B17+AGO!F17"),4712)</f>
        <v>4712</v>
      </c>
      <c r="G17" s="8">
        <f ca="1">IFERROR(__xludf.DUMMYFUNCTION("+C17+AGO!G17"),1164)</f>
        <v>1164</v>
      </c>
      <c r="H17" s="13">
        <f ca="1">IFERROR(__xludf.DUMMYFUNCTION("+IFERROR((G17/F17),0)"),0.247028862478777)</f>
        <v>0.24702886247877701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2025-08-25T19:56:48Z</dcterms:modified>
</cp:coreProperties>
</file>