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5/Consolidados/"/>
    </mc:Choice>
  </mc:AlternateContent>
  <xr:revisionPtr revIDLastSave="0" documentId="8_{BE34716C-3F6F-4137-A13C-6BDB4A39070B}" xr6:coauthVersionLast="47" xr6:coauthVersionMax="47" xr10:uidLastSave="{00000000-0000-0000-0000-000000000000}"/>
  <bookViews>
    <workbookView xWindow="-28920" yWindow="720" windowWidth="29040" windowHeight="15720" activeTab="1" xr2:uid="{EBFF3279-D187-4244-A727-532A144A71E5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Efectivo","IN",ctas!$A$544:$A$552)</definedName>
    <definedName name="b2w">'COLOMB$ '!$H$2</definedName>
  </definedNames>
  <calcPr calcId="191029"/>
  <pivotCaches>
    <pivotCache cacheId="53" r:id="rId13"/>
    <pivotCache cacheId="52" r:id="rId14"/>
    <pivotCache cacheId="54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7" i="12" l="1"/>
  <c r="C436" i="12"/>
  <c r="C435" i="12"/>
  <c r="C434" i="12"/>
  <c r="C433" i="12"/>
  <c r="C432" i="12"/>
  <c r="C431" i="12"/>
  <c r="C430" i="12"/>
  <c r="C429" i="12"/>
  <c r="C428" i="12"/>
  <c r="C438" i="12" s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R28" i="10"/>
  <c r="P28" i="10"/>
  <c r="H28" i="10"/>
  <c r="J28" i="10" s="1"/>
  <c r="E28" i="10"/>
  <c r="I28" i="10" s="1"/>
  <c r="AC27" i="10"/>
  <c r="Y27" i="10"/>
  <c r="Z27" i="10" s="1"/>
  <c r="X27" i="10"/>
  <c r="AA27" i="10" s="1"/>
  <c r="R27" i="10"/>
  <c r="O27" i="10"/>
  <c r="K27" i="10"/>
  <c r="K31" i="10" s="1"/>
  <c r="J27" i="10"/>
  <c r="I27" i="10"/>
  <c r="C27" i="10"/>
  <c r="G27" i="10" s="1"/>
  <c r="R26" i="10"/>
  <c r="J26" i="10"/>
  <c r="I26" i="10"/>
  <c r="G26" i="10"/>
  <c r="C26" i="10"/>
  <c r="C28" i="10" s="1"/>
  <c r="AC25" i="10"/>
  <c r="Y25" i="10"/>
  <c r="X25" i="10"/>
  <c r="Z25" i="10" s="1"/>
  <c r="R25" i="10"/>
  <c r="I25" i="10"/>
  <c r="G25" i="10"/>
  <c r="AC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O15" i="10"/>
  <c r="K15" i="10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106" i="9"/>
  <c r="AN106" i="9" s="1"/>
  <c r="AN109" i="9" s="1"/>
  <c r="AN105" i="9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Y46" i="9"/>
  <c r="AV46" i="9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D14" i="9"/>
  <c r="D13" i="9"/>
  <c r="D12" i="9"/>
  <c r="D11" i="9"/>
  <c r="D10" i="9"/>
  <c r="G7" i="9"/>
  <c r="O7" i="9" s="1"/>
  <c r="AH4" i="9"/>
  <c r="H11" i="9" s="1"/>
  <c r="AH3" i="9"/>
  <c r="K10" i="9" s="1"/>
  <c r="O10" i="9" s="1"/>
  <c r="R46" i="8"/>
  <c r="O46" i="8"/>
  <c r="I46" i="8"/>
  <c r="R45" i="8"/>
  <c r="Q45" i="8"/>
  <c r="J45" i="8"/>
  <c r="I45" i="8"/>
  <c r="G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L36" i="8"/>
  <c r="I36" i="8"/>
  <c r="Q34" i="8"/>
  <c r="L34" i="8"/>
  <c r="I34" i="8"/>
  <c r="R32" i="8"/>
  <c r="Q32" i="8"/>
  <c r="M32" i="8"/>
  <c r="K32" i="8"/>
  <c r="I32" i="8"/>
  <c r="G32" i="8"/>
  <c r="E32" i="8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F30" i="8"/>
  <c r="AC28" i="8"/>
  <c r="AA28" i="8"/>
  <c r="Z28" i="8"/>
  <c r="Q28" i="8"/>
  <c r="M28" i="8"/>
  <c r="L28" i="8"/>
  <c r="K28" i="8"/>
  <c r="I28" i="8"/>
  <c r="E28" i="8"/>
  <c r="C28" i="8"/>
  <c r="AC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Q24" i="8"/>
  <c r="I24" i="8"/>
  <c r="AC23" i="8"/>
  <c r="AA23" i="8"/>
  <c r="Z23" i="8"/>
  <c r="R22" i="8"/>
  <c r="Q22" i="8"/>
  <c r="O22" i="8"/>
  <c r="K22" i="8"/>
  <c r="J22" i="8"/>
  <c r="I22" i="8"/>
  <c r="G22" i="8"/>
  <c r="AC20" i="8"/>
  <c r="Q20" i="8"/>
  <c r="M20" i="8"/>
  <c r="N27" i="8" s="1"/>
  <c r="L20" i="8"/>
  <c r="K20" i="8"/>
  <c r="I20" i="8"/>
  <c r="E20" i="8"/>
  <c r="F27" i="8" s="1"/>
  <c r="C20" i="8"/>
  <c r="U19" i="8"/>
  <c r="L19" i="8"/>
  <c r="B19" i="8"/>
  <c r="Y17" i="8"/>
  <c r="V17" i="8"/>
  <c r="U17" i="8"/>
  <c r="U17" i="9" s="1"/>
  <c r="B17" i="8"/>
  <c r="AC16" i="8"/>
  <c r="X16" i="8"/>
  <c r="B16" i="8"/>
  <c r="AC15" i="8"/>
  <c r="X15" i="8"/>
  <c r="X15" i="9" s="1"/>
  <c r="AA15" i="9" s="1"/>
  <c r="R15" i="8"/>
  <c r="Q15" i="8"/>
  <c r="J15" i="8"/>
  <c r="I15" i="8"/>
  <c r="G15" i="8"/>
  <c r="D15" i="8"/>
  <c r="B15" i="8"/>
  <c r="AC14" i="8"/>
  <c r="X14" i="8"/>
  <c r="R14" i="8"/>
  <c r="Q14" i="8"/>
  <c r="O14" i="8"/>
  <c r="J14" i="8"/>
  <c r="I14" i="8"/>
  <c r="G14" i="8"/>
  <c r="F14" i="8"/>
  <c r="B14" i="8"/>
  <c r="AC13" i="8"/>
  <c r="X13" i="8"/>
  <c r="R13" i="8"/>
  <c r="Q13" i="8"/>
  <c r="O13" i="8"/>
  <c r="J13" i="8"/>
  <c r="I13" i="8"/>
  <c r="G13" i="8"/>
  <c r="F13" i="8"/>
  <c r="D13" i="8"/>
  <c r="B13" i="8"/>
  <c r="R12" i="8"/>
  <c r="Q12" i="8"/>
  <c r="O12" i="8"/>
  <c r="L12" i="8"/>
  <c r="J12" i="8"/>
  <c r="I12" i="8"/>
  <c r="G12" i="8"/>
  <c r="B12" i="8"/>
  <c r="AC11" i="8"/>
  <c r="X11" i="8"/>
  <c r="X11" i="9" s="1"/>
  <c r="AA11" i="9" s="1"/>
  <c r="R11" i="8"/>
  <c r="Q11" i="8"/>
  <c r="O11" i="8"/>
  <c r="J11" i="8"/>
  <c r="I11" i="8"/>
  <c r="G11" i="8"/>
  <c r="F11" i="8"/>
  <c r="D11" i="8"/>
  <c r="B11" i="8"/>
  <c r="AC10" i="8"/>
  <c r="AA10" i="8"/>
  <c r="Z10" i="8"/>
  <c r="R10" i="8"/>
  <c r="Q10" i="8"/>
  <c r="O10" i="8"/>
  <c r="L10" i="8"/>
  <c r="J10" i="8"/>
  <c r="I10" i="8"/>
  <c r="G10" i="8"/>
  <c r="D10" i="8"/>
  <c r="B10" i="8"/>
  <c r="W39" i="7"/>
  <c r="V39" i="7"/>
  <c r="AD28" i="7"/>
  <c r="Z28" i="7"/>
  <c r="Y28" i="7"/>
  <c r="AB28" i="7" s="1"/>
  <c r="AD27" i="7"/>
  <c r="Z27" i="7"/>
  <c r="Y27" i="7"/>
  <c r="AB27" i="7" s="1"/>
  <c r="AD25" i="7"/>
  <c r="Y25" i="7"/>
  <c r="AB25" i="7" s="1"/>
  <c r="AD23" i="7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O17" i="7"/>
  <c r="K17" i="7"/>
  <c r="J17" i="7"/>
  <c r="G17" i="7"/>
  <c r="B17" i="7"/>
  <c r="AD16" i="7"/>
  <c r="Y16" i="7"/>
  <c r="AB16" i="7" s="1"/>
  <c r="R16" i="7"/>
  <c r="K16" i="7"/>
  <c r="B16" i="7"/>
  <c r="AD15" i="7"/>
  <c r="Y15" i="7"/>
  <c r="AB15" i="7" s="1"/>
  <c r="B15" i="7"/>
  <c r="AD14" i="7"/>
  <c r="Z14" i="7"/>
  <c r="Y14" i="7"/>
  <c r="AB14" i="7" s="1"/>
  <c r="R14" i="7"/>
  <c r="B14" i="7"/>
  <c r="Z13" i="7"/>
  <c r="Z17" i="7" s="1"/>
  <c r="Y13" i="7"/>
  <c r="Y17" i="7" s="1"/>
  <c r="B13" i="7"/>
  <c r="B12" i="7"/>
  <c r="AD11" i="7"/>
  <c r="AB11" i="7"/>
  <c r="Y11" i="7"/>
  <c r="B11" i="7"/>
  <c r="AD10" i="7"/>
  <c r="AB10" i="7"/>
  <c r="B10" i="7"/>
  <c r="U3" i="7"/>
  <c r="AD28" i="6"/>
  <c r="AA22" i="11" s="1"/>
  <c r="AE22" i="11" s="1"/>
  <c r="Y28" i="6"/>
  <c r="AD27" i="6"/>
  <c r="AA21" i="11" s="1"/>
  <c r="Y27" i="6"/>
  <c r="AD25" i="6"/>
  <c r="Y25" i="6"/>
  <c r="AD23" i="6"/>
  <c r="AA19" i="11" s="1"/>
  <c r="Y23" i="6"/>
  <c r="AD21" i="6"/>
  <c r="Y21" i="6"/>
  <c r="AE20" i="6"/>
  <c r="B19" i="6"/>
  <c r="AD17" i="6"/>
  <c r="Y17" i="6"/>
  <c r="AG14" i="11" s="1"/>
  <c r="B17" i="6"/>
  <c r="AD16" i="6"/>
  <c r="Y16" i="6"/>
  <c r="H16" i="6"/>
  <c r="E16" i="6"/>
  <c r="B16" i="6"/>
  <c r="AD15" i="6"/>
  <c r="Y15" i="6"/>
  <c r="B15" i="6"/>
  <c r="AD14" i="6"/>
  <c r="Y14" i="6"/>
  <c r="P14" i="6"/>
  <c r="M14" i="6"/>
  <c r="B14" i="6"/>
  <c r="AD13" i="6"/>
  <c r="Y13" i="6"/>
  <c r="B13" i="6"/>
  <c r="B12" i="6"/>
  <c r="AD11" i="6"/>
  <c r="Y11" i="6"/>
  <c r="B11" i="6"/>
  <c r="AD10" i="6"/>
  <c r="Z10" i="6"/>
  <c r="Y10" i="6"/>
  <c r="X10" i="6"/>
  <c r="B10" i="6"/>
  <c r="H7" i="6"/>
  <c r="Y7" i="6" s="1"/>
  <c r="AD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O32" i="5" s="1"/>
  <c r="C32" i="5"/>
  <c r="G32" i="5" s="1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R12" i="5"/>
  <c r="P12" i="5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H7" i="5"/>
  <c r="P7" i="5" s="1"/>
  <c r="E7" i="5"/>
  <c r="M7" i="5" s="1"/>
  <c r="B6" i="5"/>
  <c r="AC20" i="4"/>
  <c r="AC10" i="4"/>
  <c r="AA10" i="4"/>
  <c r="Z10" i="4"/>
  <c r="U10" i="4"/>
  <c r="U7" i="4"/>
  <c r="X7" i="4" s="1"/>
  <c r="I7" i="4"/>
  <c r="F7" i="4"/>
  <c r="D7" i="4"/>
  <c r="C7" i="5" s="1"/>
  <c r="K7" i="5" s="1"/>
  <c r="T6" i="4"/>
  <c r="B6" i="4"/>
  <c r="B6" i="10" s="1"/>
  <c r="T6" i="10" s="1"/>
  <c r="T3" i="4"/>
  <c r="AB28" i="3"/>
  <c r="W28" i="3"/>
  <c r="AB27" i="3"/>
  <c r="W27" i="3"/>
  <c r="AB25" i="3"/>
  <c r="W25" i="3"/>
  <c r="AB23" i="3"/>
  <c r="W23" i="3"/>
  <c r="AB21" i="3"/>
  <c r="W21" i="3"/>
  <c r="AC20" i="3"/>
  <c r="B19" i="3"/>
  <c r="B18" i="3"/>
  <c r="B18" i="7" s="1"/>
  <c r="AB17" i="3"/>
  <c r="B17" i="3"/>
  <c r="AB16" i="3"/>
  <c r="W16" i="3"/>
  <c r="J16" i="3"/>
  <c r="B16" i="3"/>
  <c r="AB15" i="3"/>
  <c r="W15" i="3"/>
  <c r="B15" i="3"/>
  <c r="AB14" i="3"/>
  <c r="W14" i="3"/>
  <c r="R14" i="3"/>
  <c r="B14" i="3"/>
  <c r="AB13" i="3"/>
  <c r="W13" i="3"/>
  <c r="W17" i="3" s="1"/>
  <c r="B13" i="3"/>
  <c r="B12" i="3"/>
  <c r="AB11" i="3"/>
  <c r="AB19" i="3" s="1"/>
  <c r="W11" i="3"/>
  <c r="B11" i="3"/>
  <c r="AB10" i="3"/>
  <c r="Y10" i="3"/>
  <c r="AA10" i="6" s="1"/>
  <c r="X10" i="3"/>
  <c r="W10" i="3"/>
  <c r="V10" i="3"/>
  <c r="U10" i="3"/>
  <c r="W10" i="6" s="1"/>
  <c r="B10" i="3"/>
  <c r="H7" i="3"/>
  <c r="W7" i="3" s="1"/>
  <c r="AB7" i="3" s="1"/>
  <c r="E7" i="3"/>
  <c r="M7" i="3" s="1"/>
  <c r="V7" i="3" s="1"/>
  <c r="Y7" i="3" s="1"/>
  <c r="B6" i="3"/>
  <c r="B6" i="8" s="1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A3" i="2" s="1"/>
  <c r="D22" i="2"/>
  <c r="E4" i="2"/>
  <c r="A4" i="2" s="1"/>
  <c r="A5" i="10" s="1"/>
  <c r="D4" i="2"/>
  <c r="B4" i="2"/>
  <c r="B3" i="2"/>
  <c r="A6" i="10" s="1"/>
  <c r="H13" i="6" l="1"/>
  <c r="K11" i="6"/>
  <c r="M10" i="6"/>
  <c r="C11" i="6"/>
  <c r="E11" i="6"/>
  <c r="E10" i="6"/>
  <c r="M11" i="6"/>
  <c r="C12" i="6"/>
  <c r="P15" i="6"/>
  <c r="K32" i="6"/>
  <c r="C39" i="6"/>
  <c r="K42" i="6"/>
  <c r="C46" i="6"/>
  <c r="K46" i="6"/>
  <c r="H10" i="6"/>
  <c r="P10" i="6"/>
  <c r="C13" i="6"/>
  <c r="K13" i="6"/>
  <c r="E18" i="6"/>
  <c r="M18" i="6"/>
  <c r="E30" i="6"/>
  <c r="M30" i="6"/>
  <c r="H14" i="6"/>
  <c r="H22" i="6"/>
  <c r="C38" i="6"/>
  <c r="C42" i="6"/>
  <c r="H26" i="6"/>
  <c r="P26" i="6"/>
  <c r="H27" i="6"/>
  <c r="P27" i="6"/>
  <c r="E32" i="6"/>
  <c r="M32" i="6"/>
  <c r="E38" i="6"/>
  <c r="M38" i="6"/>
  <c r="E39" i="6"/>
  <c r="M39" i="6"/>
  <c r="E42" i="6"/>
  <c r="M42" i="6"/>
  <c r="E46" i="6"/>
  <c r="M46" i="6"/>
  <c r="K12" i="6"/>
  <c r="C32" i="6"/>
  <c r="G32" i="6" s="1"/>
  <c r="K39" i="6"/>
  <c r="M12" i="6"/>
  <c r="P17" i="6"/>
  <c r="H11" i="6"/>
  <c r="P11" i="6"/>
  <c r="E13" i="6"/>
  <c r="M13" i="6"/>
  <c r="C14" i="6"/>
  <c r="K14" i="6"/>
  <c r="C15" i="6"/>
  <c r="K15" i="6"/>
  <c r="K16" i="6"/>
  <c r="C22" i="6"/>
  <c r="K22" i="6"/>
  <c r="H15" i="6"/>
  <c r="P22" i="6"/>
  <c r="K38" i="6"/>
  <c r="E12" i="6"/>
  <c r="H17" i="6"/>
  <c r="C10" i="6"/>
  <c r="K10" i="6"/>
  <c r="H18" i="6"/>
  <c r="P18" i="6"/>
  <c r="H30" i="6"/>
  <c r="P30" i="6"/>
  <c r="H12" i="6"/>
  <c r="P12" i="6"/>
  <c r="E14" i="6"/>
  <c r="E15" i="6"/>
  <c r="M15" i="6"/>
  <c r="C16" i="6"/>
  <c r="C17" i="6"/>
  <c r="K17" i="6"/>
  <c r="H19" i="6"/>
  <c r="E22" i="6"/>
  <c r="M22" i="6"/>
  <c r="C26" i="6"/>
  <c r="K26" i="6"/>
  <c r="C27" i="6"/>
  <c r="K27" i="6"/>
  <c r="H32" i="6"/>
  <c r="J32" i="6" s="1"/>
  <c r="P32" i="6"/>
  <c r="R32" i="6" s="1"/>
  <c r="H38" i="6"/>
  <c r="P38" i="6"/>
  <c r="H39" i="6"/>
  <c r="P39" i="6"/>
  <c r="H42" i="6"/>
  <c r="P42" i="6"/>
  <c r="H46" i="6"/>
  <c r="P46" i="6"/>
  <c r="P13" i="6"/>
  <c r="E17" i="6"/>
  <c r="M17" i="6"/>
  <c r="C18" i="6"/>
  <c r="K18" i="6"/>
  <c r="E26" i="6"/>
  <c r="M26" i="6"/>
  <c r="E27" i="6"/>
  <c r="M27" i="6"/>
  <c r="C30" i="6"/>
  <c r="K30" i="6"/>
  <c r="AA16" i="6"/>
  <c r="Y16" i="3"/>
  <c r="X15" i="6"/>
  <c r="V15" i="3"/>
  <c r="X14" i="6"/>
  <c r="V14" i="3"/>
  <c r="Y27" i="3"/>
  <c r="AC27" i="3" s="1"/>
  <c r="AA27" i="6"/>
  <c r="V11" i="3"/>
  <c r="X11" i="6"/>
  <c r="AA14" i="6"/>
  <c r="Y14" i="3"/>
  <c r="AA23" i="6"/>
  <c r="Y23" i="3"/>
  <c r="AA13" i="6"/>
  <c r="Y13" i="3"/>
  <c r="Y11" i="3"/>
  <c r="AC11" i="3" s="1"/>
  <c r="AA11" i="6"/>
  <c r="W28" i="6"/>
  <c r="U28" i="3"/>
  <c r="X28" i="6"/>
  <c r="V28" i="3"/>
  <c r="V16" i="3"/>
  <c r="X16" i="6"/>
  <c r="V27" i="3"/>
  <c r="X27" i="6"/>
  <c r="Z28" i="6"/>
  <c r="X28" i="3"/>
  <c r="AA28" i="3" s="1"/>
  <c r="V25" i="3"/>
  <c r="X25" i="6"/>
  <c r="AA28" i="6"/>
  <c r="Y28" i="3"/>
  <c r="Z28" i="3" s="1"/>
  <c r="V23" i="3"/>
  <c r="X23" i="6"/>
  <c r="V13" i="3"/>
  <c r="X13" i="6"/>
  <c r="AA15" i="6"/>
  <c r="Y15" i="3"/>
  <c r="P16" i="3"/>
  <c r="AA25" i="6"/>
  <c r="Y25" i="3"/>
  <c r="AC25" i="3" s="1"/>
  <c r="A4" i="10"/>
  <c r="A5" i="5"/>
  <c r="AC10" i="6"/>
  <c r="AK8" i="11"/>
  <c r="AB8" i="11"/>
  <c r="AB10" i="6"/>
  <c r="T6" i="8"/>
  <c r="B6" i="9"/>
  <c r="E7" i="8"/>
  <c r="F10" i="8"/>
  <c r="F12" i="8"/>
  <c r="F15" i="8"/>
  <c r="AA15" i="8"/>
  <c r="Y19" i="8"/>
  <c r="Y17" i="9"/>
  <c r="L45" i="8"/>
  <c r="K20" i="9"/>
  <c r="E24" i="8"/>
  <c r="F45" i="8"/>
  <c r="E11" i="9"/>
  <c r="AC13" i="3"/>
  <c r="AC14" i="3"/>
  <c r="AC15" i="3"/>
  <c r="AA8" i="11"/>
  <c r="AJ8" i="11"/>
  <c r="X10" i="11"/>
  <c r="AG10" i="11"/>
  <c r="AA14" i="11"/>
  <c r="AE14" i="11" s="1"/>
  <c r="H7" i="8"/>
  <c r="K24" i="9"/>
  <c r="O24" i="9" s="1"/>
  <c r="K32" i="9"/>
  <c r="O32" i="9" s="1"/>
  <c r="F31" i="8"/>
  <c r="C39" i="9"/>
  <c r="G39" i="9" s="1"/>
  <c r="B18" i="6"/>
  <c r="X19" i="11"/>
  <c r="AG19" i="11"/>
  <c r="X21" i="11"/>
  <c r="AG21" i="11"/>
  <c r="B6" i="7"/>
  <c r="U6" i="7" s="1"/>
  <c r="AA13" i="8"/>
  <c r="X13" i="9"/>
  <c r="AA13" i="9" s="1"/>
  <c r="AA12" i="11" s="1"/>
  <c r="AE12" i="11" s="1"/>
  <c r="N45" i="8"/>
  <c r="M20" i="9"/>
  <c r="N20" i="9" s="1"/>
  <c r="F32" i="8"/>
  <c r="E32" i="9"/>
  <c r="E46" i="9"/>
  <c r="C43" i="9"/>
  <c r="C38" i="9"/>
  <c r="G38" i="9" s="1"/>
  <c r="K36" i="9"/>
  <c r="C31" i="9"/>
  <c r="G31" i="9" s="1"/>
  <c r="E29" i="9"/>
  <c r="K28" i="9"/>
  <c r="O28" i="9" s="1"/>
  <c r="Y27" i="9"/>
  <c r="K26" i="9"/>
  <c r="O26" i="9" s="1"/>
  <c r="Y25" i="9"/>
  <c r="U24" i="9"/>
  <c r="W21" i="9"/>
  <c r="W30" i="9" s="1"/>
  <c r="C19" i="9"/>
  <c r="E18" i="9"/>
  <c r="C16" i="9"/>
  <c r="G16" i="9" s="1"/>
  <c r="W14" i="9"/>
  <c r="Y13" i="9"/>
  <c r="M13" i="9"/>
  <c r="U12" i="9"/>
  <c r="E12" i="9"/>
  <c r="W11" i="9"/>
  <c r="E45" i="9"/>
  <c r="M39" i="9"/>
  <c r="E35" i="9"/>
  <c r="E30" i="9"/>
  <c r="AB28" i="9"/>
  <c r="AC28" i="9" s="1"/>
  <c r="E27" i="9"/>
  <c r="C24" i="9"/>
  <c r="G24" i="9" s="1"/>
  <c r="E23" i="9"/>
  <c r="E21" i="9"/>
  <c r="U18" i="9"/>
  <c r="C17" i="9"/>
  <c r="G17" i="9" s="1"/>
  <c r="AB15" i="9"/>
  <c r="V14" i="9"/>
  <c r="K13" i="9"/>
  <c r="O13" i="9" s="1"/>
  <c r="V11" i="9"/>
  <c r="X10" i="9"/>
  <c r="M10" i="9"/>
  <c r="C46" i="9"/>
  <c r="G46" i="9" s="1"/>
  <c r="C41" i="9"/>
  <c r="G41" i="9" s="1"/>
  <c r="M38" i="9"/>
  <c r="M37" i="9"/>
  <c r="C34" i="9"/>
  <c r="G34" i="9" s="1"/>
  <c r="M31" i="9"/>
  <c r="U27" i="9"/>
  <c r="W25" i="9"/>
  <c r="U22" i="9"/>
  <c r="M19" i="9"/>
  <c r="C18" i="9"/>
  <c r="G18" i="9" s="1"/>
  <c r="AB16" i="9"/>
  <c r="M16" i="9"/>
  <c r="R16" i="9" s="1"/>
  <c r="Y15" i="9"/>
  <c r="E15" i="9"/>
  <c r="U14" i="9"/>
  <c r="W13" i="9"/>
  <c r="K43" i="9"/>
  <c r="O43" i="9" s="1"/>
  <c r="M42" i="9"/>
  <c r="R42" i="9" s="1"/>
  <c r="K38" i="9"/>
  <c r="O38" i="9" s="1"/>
  <c r="K31" i="9"/>
  <c r="O31" i="9" s="1"/>
  <c r="C30" i="9"/>
  <c r="G30" i="9" s="1"/>
  <c r="Y28" i="9"/>
  <c r="Z28" i="9" s="1"/>
  <c r="E26" i="9"/>
  <c r="U25" i="9"/>
  <c r="E22" i="9"/>
  <c r="J22" i="9" s="1"/>
  <c r="U20" i="9"/>
  <c r="AB17" i="9"/>
  <c r="AC17" i="9" s="1"/>
  <c r="M17" i="9"/>
  <c r="R17" i="9" s="1"/>
  <c r="Y16" i="9"/>
  <c r="M15" i="9"/>
  <c r="E14" i="9"/>
  <c r="V13" i="9"/>
  <c r="M12" i="9"/>
  <c r="AB11" i="9"/>
  <c r="M46" i="9"/>
  <c r="M40" i="9"/>
  <c r="E37" i="9"/>
  <c r="M33" i="9"/>
  <c r="U29" i="9"/>
  <c r="U28" i="9"/>
  <c r="U26" i="9"/>
  <c r="AB19" i="9"/>
  <c r="K19" i="9"/>
  <c r="M18" i="9"/>
  <c r="R18" i="9" s="1"/>
  <c r="K16" i="9"/>
  <c r="O16" i="9" s="1"/>
  <c r="W15" i="9"/>
  <c r="C15" i="9"/>
  <c r="G15" i="9" s="1"/>
  <c r="U13" i="9"/>
  <c r="U10" i="9"/>
  <c r="K46" i="9"/>
  <c r="O46" i="9" s="1"/>
  <c r="M45" i="9"/>
  <c r="M44" i="9"/>
  <c r="K41" i="9"/>
  <c r="O41" i="9" s="1"/>
  <c r="E39" i="9"/>
  <c r="C36" i="9"/>
  <c r="K34" i="9"/>
  <c r="O34" i="9" s="1"/>
  <c r="M30" i="9"/>
  <c r="C28" i="9"/>
  <c r="G28" i="9" s="1"/>
  <c r="M27" i="9"/>
  <c r="C26" i="9"/>
  <c r="G26" i="9" s="1"/>
  <c r="M25" i="9"/>
  <c r="U23" i="9"/>
  <c r="C22" i="9"/>
  <c r="G22" i="9" s="1"/>
  <c r="K17" i="9"/>
  <c r="O17" i="9" s="1"/>
  <c r="W16" i="9"/>
  <c r="V15" i="9"/>
  <c r="K15" i="9"/>
  <c r="O15" i="9" s="1"/>
  <c r="AB14" i="9"/>
  <c r="AC14" i="9" s="1"/>
  <c r="C14" i="9"/>
  <c r="G14" i="9" s="1"/>
  <c r="E13" i="9"/>
  <c r="K12" i="9"/>
  <c r="O12" i="9" s="1"/>
  <c r="C11" i="9"/>
  <c r="G11" i="9" s="1"/>
  <c r="E40" i="9"/>
  <c r="E38" i="9"/>
  <c r="E33" i="9"/>
  <c r="E31" i="9"/>
  <c r="K30" i="9"/>
  <c r="O30" i="9" s="1"/>
  <c r="M29" i="9"/>
  <c r="M22" i="9"/>
  <c r="AB21" i="9"/>
  <c r="M21" i="9"/>
  <c r="R21" i="9" s="1"/>
  <c r="W19" i="9"/>
  <c r="E19" i="9"/>
  <c r="K18" i="9"/>
  <c r="O18" i="9" s="1"/>
  <c r="W17" i="9"/>
  <c r="V16" i="9"/>
  <c r="E16" i="9"/>
  <c r="U15" i="9"/>
  <c r="Y14" i="9"/>
  <c r="M14" i="9"/>
  <c r="Y11" i="9"/>
  <c r="M11" i="9"/>
  <c r="AB10" i="9"/>
  <c r="E44" i="9"/>
  <c r="E42" i="9"/>
  <c r="J42" i="9" s="1"/>
  <c r="M35" i="9"/>
  <c r="AB27" i="9"/>
  <c r="M26" i="9"/>
  <c r="AB25" i="9"/>
  <c r="E25" i="9"/>
  <c r="M23" i="9"/>
  <c r="K22" i="9"/>
  <c r="O22" i="9" s="1"/>
  <c r="E17" i="9"/>
  <c r="U16" i="9"/>
  <c r="K14" i="9"/>
  <c r="O14" i="9" s="1"/>
  <c r="AB13" i="9"/>
  <c r="AC13" i="9" s="1"/>
  <c r="C13" i="9"/>
  <c r="G13" i="9" s="1"/>
  <c r="K11" i="9"/>
  <c r="O11" i="9" s="1"/>
  <c r="U11" i="9"/>
  <c r="L7" i="4"/>
  <c r="C7" i="10"/>
  <c r="B6" i="6"/>
  <c r="V6" i="6" s="1"/>
  <c r="Y19" i="6"/>
  <c r="AG15" i="11" s="1"/>
  <c r="AG9" i="11"/>
  <c r="X9" i="11"/>
  <c r="M14" i="11"/>
  <c r="AE14" i="6"/>
  <c r="AA11" i="11"/>
  <c r="AA16" i="8"/>
  <c r="X16" i="9"/>
  <c r="AA16" i="9" s="1"/>
  <c r="U21" i="8"/>
  <c r="U19" i="9"/>
  <c r="AA25" i="8"/>
  <c r="X25" i="9"/>
  <c r="AA25" i="9" s="1"/>
  <c r="R28" i="8"/>
  <c r="M28" i="9"/>
  <c r="R28" i="9" s="1"/>
  <c r="AH9" i="9"/>
  <c r="H45" i="9"/>
  <c r="P43" i="9"/>
  <c r="P39" i="9"/>
  <c r="H35" i="9"/>
  <c r="P31" i="9"/>
  <c r="H27" i="9"/>
  <c r="H23" i="9"/>
  <c r="H20" i="9"/>
  <c r="P15" i="9"/>
  <c r="H14" i="9"/>
  <c r="P42" i="9"/>
  <c r="P38" i="9"/>
  <c r="P37" i="9"/>
  <c r="H36" i="9"/>
  <c r="P24" i="9"/>
  <c r="H22" i="9"/>
  <c r="P19" i="9"/>
  <c r="P16" i="9"/>
  <c r="P12" i="9"/>
  <c r="P41" i="9"/>
  <c r="H28" i="9"/>
  <c r="H26" i="9"/>
  <c r="P17" i="9"/>
  <c r="H13" i="9"/>
  <c r="P46" i="9"/>
  <c r="P40" i="9"/>
  <c r="H37" i="9"/>
  <c r="P34" i="9"/>
  <c r="P33" i="9"/>
  <c r="H32" i="9"/>
  <c r="P30" i="9"/>
  <c r="P18" i="9"/>
  <c r="P14" i="9"/>
  <c r="P45" i="9"/>
  <c r="P44" i="9"/>
  <c r="H43" i="9"/>
  <c r="H39" i="9"/>
  <c r="H31" i="9"/>
  <c r="H31" i="11" s="1"/>
  <c r="P27" i="9"/>
  <c r="P25" i="9"/>
  <c r="P22" i="9"/>
  <c r="P21" i="9"/>
  <c r="P20" i="9"/>
  <c r="H42" i="9"/>
  <c r="H40" i="9"/>
  <c r="H38" i="9"/>
  <c r="P36" i="9"/>
  <c r="H33" i="9"/>
  <c r="P29" i="9"/>
  <c r="H24" i="9"/>
  <c r="H19" i="9"/>
  <c r="H16" i="9"/>
  <c r="P13" i="9"/>
  <c r="P11" i="9"/>
  <c r="P47" i="9"/>
  <c r="H44" i="9"/>
  <c r="H41" i="9"/>
  <c r="P35" i="9"/>
  <c r="P28" i="9"/>
  <c r="P26" i="9"/>
  <c r="H25" i="9"/>
  <c r="P23" i="9"/>
  <c r="H17" i="9"/>
  <c r="H12" i="9"/>
  <c r="I12" i="9" s="1"/>
  <c r="H46" i="9"/>
  <c r="H34" i="9"/>
  <c r="P32" i="9"/>
  <c r="H30" i="9"/>
  <c r="H29" i="9"/>
  <c r="H21" i="9"/>
  <c r="H18" i="9"/>
  <c r="H15" i="9"/>
  <c r="C10" i="9"/>
  <c r="G10" i="9" s="1"/>
  <c r="P10" i="9"/>
  <c r="C12" i="9"/>
  <c r="G12" i="9" s="1"/>
  <c r="AC16" i="3"/>
  <c r="W30" i="3"/>
  <c r="AC23" i="3"/>
  <c r="N7" i="4"/>
  <c r="V7" i="4" s="1"/>
  <c r="Y7" i="4" s="1"/>
  <c r="E7" i="10"/>
  <c r="M7" i="10" s="1"/>
  <c r="V7" i="10" s="1"/>
  <c r="Y7" i="10" s="1"/>
  <c r="C7" i="6"/>
  <c r="R14" i="6"/>
  <c r="P14" i="11"/>
  <c r="R14" i="11" s="1"/>
  <c r="E16" i="11"/>
  <c r="Y30" i="6"/>
  <c r="X22" i="11"/>
  <c r="AG22" i="11"/>
  <c r="C7" i="7"/>
  <c r="AB13" i="7"/>
  <c r="AA14" i="8"/>
  <c r="X14" i="9"/>
  <c r="Z14" i="9" s="1"/>
  <c r="D26" i="8"/>
  <c r="C20" i="9"/>
  <c r="G20" i="9" s="1"/>
  <c r="AA27" i="8"/>
  <c r="X27" i="9"/>
  <c r="AA27" i="9" s="1"/>
  <c r="N28" i="8"/>
  <c r="V10" i="9"/>
  <c r="B5" i="2"/>
  <c r="C59" i="12"/>
  <c r="A7" i="10"/>
  <c r="W19" i="3"/>
  <c r="AB30" i="3"/>
  <c r="W7" i="4"/>
  <c r="AB7" i="4" s="1"/>
  <c r="H7" i="10"/>
  <c r="P7" i="10" s="1"/>
  <c r="A6" i="5"/>
  <c r="E7" i="6"/>
  <c r="M7" i="6" s="1"/>
  <c r="X7" i="6" s="1"/>
  <c r="AA7" i="6" s="1"/>
  <c r="AE10" i="6"/>
  <c r="X8" i="11"/>
  <c r="AE8" i="11" s="1"/>
  <c r="AG8" i="11"/>
  <c r="AE13" i="6"/>
  <c r="AA10" i="11"/>
  <c r="AE10" i="11" s="1"/>
  <c r="X12" i="11"/>
  <c r="AG12" i="11"/>
  <c r="X13" i="11"/>
  <c r="AG13" i="11"/>
  <c r="E7" i="7"/>
  <c r="M7" i="7" s="1"/>
  <c r="W7" i="7" s="1"/>
  <c r="Z7" i="7" s="1"/>
  <c r="N10" i="8"/>
  <c r="F38" i="8"/>
  <c r="E20" i="9"/>
  <c r="F20" i="9" s="1"/>
  <c r="F22" i="8"/>
  <c r="F26" i="8"/>
  <c r="O28" i="8"/>
  <c r="N31" i="8"/>
  <c r="J32" i="8"/>
  <c r="E10" i="9"/>
  <c r="W10" i="9"/>
  <c r="AI8" i="11"/>
  <c r="AE11" i="6"/>
  <c r="J16" i="6"/>
  <c r="H16" i="11"/>
  <c r="J16" i="11" s="1"/>
  <c r="AD19" i="6"/>
  <c r="H7" i="7"/>
  <c r="N13" i="8"/>
  <c r="G28" i="8"/>
  <c r="C32" i="9"/>
  <c r="G32" i="9" s="1"/>
  <c r="O32" i="8"/>
  <c r="K39" i="9"/>
  <c r="O39" i="9" s="1"/>
  <c r="F39" i="8"/>
  <c r="Y10" i="9"/>
  <c r="T6" i="3"/>
  <c r="B6" i="11"/>
  <c r="A8" i="5"/>
  <c r="C7" i="3"/>
  <c r="AC28" i="3"/>
  <c r="A7" i="5"/>
  <c r="AG11" i="11"/>
  <c r="X11" i="11"/>
  <c r="AE23" i="6"/>
  <c r="AE25" i="6"/>
  <c r="AE27" i="6"/>
  <c r="Z15" i="8"/>
  <c r="V19" i="8"/>
  <c r="V21" i="8" s="1"/>
  <c r="V30" i="8" s="1"/>
  <c r="V17" i="9"/>
  <c r="V19" i="9" s="1"/>
  <c r="J20" i="8"/>
  <c r="J28" i="8"/>
  <c r="E28" i="9"/>
  <c r="J28" i="9" s="1"/>
  <c r="N32" i="8"/>
  <c r="M32" i="9"/>
  <c r="R32" i="9" s="1"/>
  <c r="F42" i="8"/>
  <c r="H10" i="9"/>
  <c r="Z23" i="10"/>
  <c r="J31" i="10"/>
  <c r="H32" i="10"/>
  <c r="J32" i="10" s="1"/>
  <c r="J38" i="10"/>
  <c r="J39" i="10"/>
  <c r="AC10" i="10"/>
  <c r="X10" i="10"/>
  <c r="Z8" i="11" s="1"/>
  <c r="AD8" i="11" s="1"/>
  <c r="H24" i="10"/>
  <c r="O31" i="10"/>
  <c r="K36" i="10"/>
  <c r="N59" i="7" s="1"/>
  <c r="AA23" i="10"/>
  <c r="AA25" i="10"/>
  <c r="W7" i="10"/>
  <c r="AB7" i="10" s="1"/>
  <c r="G28" i="10"/>
  <c r="G30" i="10"/>
  <c r="H34" i="10"/>
  <c r="J34" i="10" s="1"/>
  <c r="L11" i="9"/>
  <c r="I14" i="9"/>
  <c r="Q14" i="9"/>
  <c r="AA14" i="9"/>
  <c r="AA13" i="11" s="1"/>
  <c r="AE13" i="11" s="1"/>
  <c r="Z15" i="9"/>
  <c r="Z16" i="9"/>
  <c r="O20" i="9"/>
  <c r="L27" i="9"/>
  <c r="AB30" i="9"/>
  <c r="I31" i="9"/>
  <c r="Q31" i="9"/>
  <c r="I32" i="9"/>
  <c r="Q32" i="9"/>
  <c r="I36" i="9"/>
  <c r="Q36" i="9"/>
  <c r="I41" i="9"/>
  <c r="Q41" i="9"/>
  <c r="I42" i="9"/>
  <c r="Q42" i="9"/>
  <c r="I43" i="9"/>
  <c r="Q43" i="9"/>
  <c r="L21" i="9"/>
  <c r="L22" i="9"/>
  <c r="F26" i="9"/>
  <c r="N26" i="9"/>
  <c r="F28" i="9"/>
  <c r="N28" i="9"/>
  <c r="J31" i="9"/>
  <c r="F38" i="9"/>
  <c r="N38" i="9"/>
  <c r="F39" i="9"/>
  <c r="N39" i="9"/>
  <c r="F45" i="9"/>
  <c r="N45" i="9"/>
  <c r="F46" i="9"/>
  <c r="N46" i="9"/>
  <c r="L13" i="9"/>
  <c r="I16" i="9"/>
  <c r="I17" i="9"/>
  <c r="I18" i="9"/>
  <c r="I19" i="9"/>
  <c r="I20" i="9"/>
  <c r="Q20" i="9"/>
  <c r="L24" i="9"/>
  <c r="L30" i="9"/>
  <c r="AI7" i="9"/>
  <c r="AI8" i="9" s="1"/>
  <c r="Z10" i="9"/>
  <c r="F12" i="9"/>
  <c r="N12" i="9"/>
  <c r="L14" i="9"/>
  <c r="J16" i="9"/>
  <c r="J17" i="9"/>
  <c r="J18" i="9"/>
  <c r="J19" i="9"/>
  <c r="J20" i="9"/>
  <c r="R20" i="9"/>
  <c r="F22" i="9"/>
  <c r="N22" i="9"/>
  <c r="L31" i="9"/>
  <c r="L32" i="9"/>
  <c r="L36" i="9"/>
  <c r="L41" i="9"/>
  <c r="L42" i="9"/>
  <c r="L43" i="9"/>
  <c r="I26" i="9"/>
  <c r="Q26" i="9"/>
  <c r="I28" i="9"/>
  <c r="Q28" i="9"/>
  <c r="F30" i="9"/>
  <c r="N30" i="9"/>
  <c r="I34" i="9"/>
  <c r="Q34" i="9"/>
  <c r="I38" i="9"/>
  <c r="Q38" i="9"/>
  <c r="I39" i="9"/>
  <c r="Q39" i="9"/>
  <c r="I45" i="9"/>
  <c r="Q45" i="9"/>
  <c r="I46" i="9"/>
  <c r="Q46" i="9"/>
  <c r="I27" i="9"/>
  <c r="Q27" i="9"/>
  <c r="N31" i="9"/>
  <c r="F32" i="9"/>
  <c r="N32" i="9"/>
  <c r="F42" i="9"/>
  <c r="N42" i="9"/>
  <c r="L10" i="9"/>
  <c r="I13" i="9"/>
  <c r="Q13" i="9"/>
  <c r="I24" i="9"/>
  <c r="Q24" i="9"/>
  <c r="L26" i="9"/>
  <c r="L28" i="9"/>
  <c r="L34" i="9"/>
  <c r="L38" i="9"/>
  <c r="L39" i="9"/>
  <c r="L45" i="9"/>
  <c r="Y21" i="8"/>
  <c r="AC19" i="8"/>
  <c r="D14" i="8"/>
  <c r="Z16" i="8"/>
  <c r="X17" i="8"/>
  <c r="D19" i="8"/>
  <c r="F24" i="8"/>
  <c r="D28" i="8"/>
  <c r="D30" i="8"/>
  <c r="K34" i="8"/>
  <c r="D36" i="8"/>
  <c r="D39" i="8"/>
  <c r="D42" i="8"/>
  <c r="D45" i="8"/>
  <c r="D27" i="8"/>
  <c r="D31" i="8"/>
  <c r="C34" i="8"/>
  <c r="Z11" i="8"/>
  <c r="D20" i="8"/>
  <c r="F28" i="8"/>
  <c r="D34" i="8"/>
  <c r="M34" i="8"/>
  <c r="M34" i="9" s="1"/>
  <c r="R34" i="9" s="1"/>
  <c r="L41" i="8"/>
  <c r="L43" i="8"/>
  <c r="AA11" i="8"/>
  <c r="Z14" i="8"/>
  <c r="N20" i="8"/>
  <c r="L32" i="8"/>
  <c r="E34" i="8"/>
  <c r="E34" i="9" s="1"/>
  <c r="J34" i="9" s="1"/>
  <c r="L38" i="8"/>
  <c r="D41" i="8"/>
  <c r="D43" i="8"/>
  <c r="F46" i="8"/>
  <c r="L11" i="8"/>
  <c r="N12" i="8"/>
  <c r="Z13" i="8"/>
  <c r="L15" i="8"/>
  <c r="D17" i="8"/>
  <c r="AC17" i="8"/>
  <c r="F20" i="8"/>
  <c r="O20" i="8"/>
  <c r="K24" i="8"/>
  <c r="K27" i="9" s="1"/>
  <c r="O27" i="9" s="1"/>
  <c r="Z25" i="8"/>
  <c r="L26" i="8"/>
  <c r="Z27" i="8"/>
  <c r="D32" i="8"/>
  <c r="N38" i="8"/>
  <c r="N11" i="8"/>
  <c r="L14" i="8"/>
  <c r="N15" i="8"/>
  <c r="D16" i="8"/>
  <c r="L17" i="8"/>
  <c r="D18" i="8"/>
  <c r="G20" i="8"/>
  <c r="L22" i="8"/>
  <c r="C24" i="8"/>
  <c r="C27" i="9" s="1"/>
  <c r="G27" i="9" s="1"/>
  <c r="L24" i="8"/>
  <c r="N26" i="8"/>
  <c r="L30" i="8"/>
  <c r="D38" i="8"/>
  <c r="L39" i="8"/>
  <c r="L42" i="8"/>
  <c r="N46" i="8"/>
  <c r="D12" i="8"/>
  <c r="L13" i="8"/>
  <c r="N14" i="8"/>
  <c r="L16" i="8"/>
  <c r="L18" i="8"/>
  <c r="R20" i="8"/>
  <c r="N22" i="8"/>
  <c r="D24" i="8"/>
  <c r="M24" i="8"/>
  <c r="M24" i="9" s="1"/>
  <c r="N24" i="9" s="1"/>
  <c r="L27" i="8"/>
  <c r="N30" i="8"/>
  <c r="L31" i="8"/>
  <c r="N39" i="8"/>
  <c r="N42" i="8"/>
  <c r="D22" i="8"/>
  <c r="O15" i="7"/>
  <c r="C28" i="7"/>
  <c r="G26" i="7"/>
  <c r="K28" i="7"/>
  <c r="O26" i="7"/>
  <c r="G27" i="7"/>
  <c r="O27" i="7"/>
  <c r="C32" i="7"/>
  <c r="G30" i="7"/>
  <c r="K32" i="7"/>
  <c r="O30" i="7"/>
  <c r="G12" i="7"/>
  <c r="O12" i="7"/>
  <c r="G39" i="7"/>
  <c r="O39" i="7"/>
  <c r="G10" i="7"/>
  <c r="C20" i="7"/>
  <c r="D39" i="7" s="1"/>
  <c r="O10" i="7"/>
  <c r="K20" i="7"/>
  <c r="L39" i="7" s="1"/>
  <c r="J11" i="7"/>
  <c r="R11" i="7"/>
  <c r="G13" i="7"/>
  <c r="G15" i="7"/>
  <c r="G22" i="7"/>
  <c r="D22" i="7"/>
  <c r="O22" i="7"/>
  <c r="L22" i="7"/>
  <c r="E28" i="7"/>
  <c r="M28" i="7"/>
  <c r="E32" i="7"/>
  <c r="M32" i="7"/>
  <c r="G46" i="7"/>
  <c r="D46" i="7"/>
  <c r="O46" i="7"/>
  <c r="O13" i="7"/>
  <c r="L13" i="7"/>
  <c r="R15" i="7"/>
  <c r="J31" i="7"/>
  <c r="R31" i="7"/>
  <c r="J38" i="7"/>
  <c r="R38" i="7"/>
  <c r="E20" i="7"/>
  <c r="F38" i="7" s="1"/>
  <c r="M20" i="7"/>
  <c r="N31" i="7" s="1"/>
  <c r="J42" i="7"/>
  <c r="R42" i="7"/>
  <c r="D11" i="7"/>
  <c r="G11" i="7"/>
  <c r="L11" i="7"/>
  <c r="O11" i="7"/>
  <c r="R13" i="7"/>
  <c r="J26" i="7"/>
  <c r="H28" i="7"/>
  <c r="R26" i="7"/>
  <c r="P28" i="7"/>
  <c r="J27" i="7"/>
  <c r="R27" i="7"/>
  <c r="J30" i="7"/>
  <c r="H32" i="7"/>
  <c r="R30" i="7"/>
  <c r="P32" i="7"/>
  <c r="J12" i="7"/>
  <c r="R12" i="7"/>
  <c r="J13" i="7"/>
  <c r="J15" i="7"/>
  <c r="D31" i="7"/>
  <c r="G31" i="7"/>
  <c r="L31" i="7"/>
  <c r="O31" i="7"/>
  <c r="D38" i="7"/>
  <c r="G38" i="7"/>
  <c r="L38" i="7"/>
  <c r="O38" i="7"/>
  <c r="J39" i="7"/>
  <c r="R39" i="7"/>
  <c r="H20" i="7"/>
  <c r="I11" i="7" s="1"/>
  <c r="J10" i="7"/>
  <c r="Q10" i="7"/>
  <c r="P20" i="7"/>
  <c r="R10" i="7"/>
  <c r="N11" i="7"/>
  <c r="J22" i="7"/>
  <c r="I22" i="7"/>
  <c r="R22" i="7"/>
  <c r="Q22" i="7"/>
  <c r="G42" i="7"/>
  <c r="D42" i="7"/>
  <c r="O42" i="7"/>
  <c r="L42" i="7"/>
  <c r="J46" i="7"/>
  <c r="I46" i="7"/>
  <c r="R46" i="7"/>
  <c r="Q46" i="7"/>
  <c r="Y19" i="7"/>
  <c r="AB17" i="7"/>
  <c r="V38" i="7"/>
  <c r="AB30" i="7"/>
  <c r="X38" i="7"/>
  <c r="Z19" i="7"/>
  <c r="AD17" i="7"/>
  <c r="AD13" i="7"/>
  <c r="P7" i="6"/>
  <c r="C28" i="6"/>
  <c r="K28" i="6"/>
  <c r="G26" i="6"/>
  <c r="O26" i="6"/>
  <c r="G12" i="6"/>
  <c r="T11" i="6"/>
  <c r="T29" i="6"/>
  <c r="J30" i="6"/>
  <c r="R30" i="6"/>
  <c r="AD30" i="6"/>
  <c r="G38" i="6"/>
  <c r="O12" i="6"/>
  <c r="I13" i="5"/>
  <c r="H20" i="5"/>
  <c r="O42" i="5"/>
  <c r="I22" i="5"/>
  <c r="I20" i="5"/>
  <c r="E28" i="5"/>
  <c r="K20" i="5"/>
  <c r="L42" i="5" s="1"/>
  <c r="E32" i="5"/>
  <c r="D18" i="5"/>
  <c r="C20" i="5"/>
  <c r="D22" i="5" s="1"/>
  <c r="G10" i="5"/>
  <c r="G22" i="5"/>
  <c r="O22" i="5"/>
  <c r="L22" i="5"/>
  <c r="AC16" i="4"/>
  <c r="O12" i="4"/>
  <c r="O14" i="4"/>
  <c r="G22" i="4"/>
  <c r="G13" i="4"/>
  <c r="J17" i="4"/>
  <c r="J19" i="4"/>
  <c r="G14" i="4"/>
  <c r="J18" i="4"/>
  <c r="R18" i="4"/>
  <c r="E20" i="4"/>
  <c r="F10" i="4"/>
  <c r="M20" i="4"/>
  <c r="N15" i="4" s="1"/>
  <c r="O13" i="4"/>
  <c r="R17" i="4"/>
  <c r="G12" i="4"/>
  <c r="X27" i="4"/>
  <c r="AC27" i="4"/>
  <c r="H20" i="4"/>
  <c r="I10" i="4" s="1"/>
  <c r="J10" i="4"/>
  <c r="P20" i="4"/>
  <c r="Q14" i="4" s="1"/>
  <c r="R10" i="4"/>
  <c r="F12" i="4"/>
  <c r="N12" i="4"/>
  <c r="F13" i="4"/>
  <c r="N13" i="4"/>
  <c r="AC14" i="4"/>
  <c r="G18" i="4"/>
  <c r="O18" i="4"/>
  <c r="G19" i="4"/>
  <c r="AC23" i="4"/>
  <c r="H28" i="4"/>
  <c r="J26" i="4"/>
  <c r="I26" i="4"/>
  <c r="P28" i="4"/>
  <c r="R26" i="4"/>
  <c r="J27" i="4"/>
  <c r="I27" i="4"/>
  <c r="R27" i="4"/>
  <c r="G31" i="4"/>
  <c r="O31" i="4"/>
  <c r="G38" i="4"/>
  <c r="O38" i="4"/>
  <c r="G39" i="4"/>
  <c r="O39" i="4"/>
  <c r="G42" i="4"/>
  <c r="O42" i="4"/>
  <c r="G46" i="4"/>
  <c r="O46" i="4"/>
  <c r="Y17" i="4"/>
  <c r="AC13" i="4"/>
  <c r="J15" i="4"/>
  <c r="I15" i="4"/>
  <c r="R15" i="4"/>
  <c r="Q15" i="4"/>
  <c r="G17" i="4"/>
  <c r="O17" i="4"/>
  <c r="N19" i="4"/>
  <c r="G30" i="4"/>
  <c r="C32" i="4"/>
  <c r="O30" i="4"/>
  <c r="K32" i="4"/>
  <c r="N11" i="4"/>
  <c r="AC11" i="4"/>
  <c r="J14" i="4"/>
  <c r="I14" i="4"/>
  <c r="R14" i="4"/>
  <c r="O16" i="4"/>
  <c r="F18" i="4"/>
  <c r="N18" i="4"/>
  <c r="F19" i="4"/>
  <c r="J22" i="4"/>
  <c r="I22" i="4"/>
  <c r="I20" i="4"/>
  <c r="R22" i="4"/>
  <c r="F31" i="4"/>
  <c r="N31" i="4"/>
  <c r="F38" i="4"/>
  <c r="N38" i="4"/>
  <c r="F39" i="4"/>
  <c r="N39" i="4"/>
  <c r="F42" i="4"/>
  <c r="N42" i="4"/>
  <c r="F46" i="4"/>
  <c r="N46" i="4"/>
  <c r="G10" i="4"/>
  <c r="C20" i="4"/>
  <c r="D18" i="4" s="1"/>
  <c r="I12" i="4"/>
  <c r="J12" i="4"/>
  <c r="R13" i="4"/>
  <c r="G16" i="4"/>
  <c r="N17" i="4"/>
  <c r="O26" i="4"/>
  <c r="K28" i="4"/>
  <c r="G27" i="4"/>
  <c r="O27" i="4"/>
  <c r="F30" i="4"/>
  <c r="E32" i="4"/>
  <c r="F32" i="4" s="1"/>
  <c r="N30" i="4"/>
  <c r="M32" i="4"/>
  <c r="N32" i="4" s="1"/>
  <c r="F11" i="4"/>
  <c r="O10" i="4"/>
  <c r="K20" i="4"/>
  <c r="L18" i="4" s="1"/>
  <c r="R12" i="4"/>
  <c r="I13" i="4"/>
  <c r="J13" i="4"/>
  <c r="F17" i="4"/>
  <c r="G26" i="4"/>
  <c r="D26" i="4"/>
  <c r="C28" i="4"/>
  <c r="J11" i="4"/>
  <c r="I11" i="4"/>
  <c r="R11" i="4"/>
  <c r="G15" i="4"/>
  <c r="O15" i="4"/>
  <c r="F16" i="4"/>
  <c r="N16" i="4"/>
  <c r="AA28" i="4"/>
  <c r="O22" i="4"/>
  <c r="E28" i="4"/>
  <c r="F26" i="4"/>
  <c r="M28" i="4"/>
  <c r="N26" i="4"/>
  <c r="F27" i="4"/>
  <c r="N27" i="4"/>
  <c r="Z28" i="4"/>
  <c r="AC28" i="4"/>
  <c r="J31" i="4"/>
  <c r="I31" i="4"/>
  <c r="R31" i="4"/>
  <c r="J38" i="4"/>
  <c r="I38" i="4"/>
  <c r="R38" i="4"/>
  <c r="J39" i="4"/>
  <c r="I39" i="4"/>
  <c r="R39" i="4"/>
  <c r="J42" i="4"/>
  <c r="I42" i="4"/>
  <c r="R42" i="4"/>
  <c r="J46" i="4"/>
  <c r="I46" i="4"/>
  <c r="R46" i="4"/>
  <c r="I30" i="4"/>
  <c r="H32" i="4"/>
  <c r="J30" i="4"/>
  <c r="P32" i="4"/>
  <c r="R30" i="4"/>
  <c r="G11" i="4"/>
  <c r="D11" i="4"/>
  <c r="O11" i="4"/>
  <c r="L11" i="4"/>
  <c r="V17" i="4"/>
  <c r="F14" i="4"/>
  <c r="N14" i="4"/>
  <c r="AC15" i="4"/>
  <c r="J16" i="4"/>
  <c r="I16" i="4"/>
  <c r="R16" i="4"/>
  <c r="O19" i="4"/>
  <c r="F22" i="4"/>
  <c r="N22" i="4"/>
  <c r="AC25" i="4"/>
  <c r="P7" i="4"/>
  <c r="J13" i="3"/>
  <c r="O11" i="3"/>
  <c r="G11" i="3"/>
  <c r="E20" i="3"/>
  <c r="F39" i="3" s="1"/>
  <c r="G12" i="3"/>
  <c r="R15" i="3"/>
  <c r="G19" i="3"/>
  <c r="O31" i="3"/>
  <c r="G39" i="3"/>
  <c r="O42" i="3"/>
  <c r="G46" i="3"/>
  <c r="O46" i="3"/>
  <c r="H20" i="3"/>
  <c r="H20" i="6" s="1"/>
  <c r="J10" i="3"/>
  <c r="P20" i="3"/>
  <c r="R10" i="3"/>
  <c r="G13" i="3"/>
  <c r="O13" i="3"/>
  <c r="F18" i="3"/>
  <c r="E32" i="3"/>
  <c r="M32" i="3"/>
  <c r="J14" i="3"/>
  <c r="I14" i="3"/>
  <c r="I20" i="3"/>
  <c r="J22" i="3"/>
  <c r="I22" i="3"/>
  <c r="G38" i="3"/>
  <c r="G42" i="3"/>
  <c r="J26" i="3"/>
  <c r="H28" i="3"/>
  <c r="H28" i="6" s="1"/>
  <c r="I28" i="6" s="1"/>
  <c r="I26" i="3"/>
  <c r="R26" i="3"/>
  <c r="P28" i="3"/>
  <c r="Q26" i="3"/>
  <c r="J27" i="3"/>
  <c r="I27" i="3"/>
  <c r="R27" i="3"/>
  <c r="Q27" i="3"/>
  <c r="F38" i="3"/>
  <c r="F42" i="3"/>
  <c r="O12" i="3"/>
  <c r="O19" i="3"/>
  <c r="G31" i="3"/>
  <c r="O39" i="3"/>
  <c r="R17" i="3"/>
  <c r="Q17" i="3"/>
  <c r="I11" i="3"/>
  <c r="J11" i="3"/>
  <c r="Q11" i="3"/>
  <c r="R11" i="3"/>
  <c r="G14" i="3"/>
  <c r="O14" i="3"/>
  <c r="G15" i="3"/>
  <c r="O15" i="3"/>
  <c r="G22" i="3"/>
  <c r="O22" i="3"/>
  <c r="J15" i="3"/>
  <c r="I15" i="3"/>
  <c r="R22" i="3"/>
  <c r="Q22" i="3"/>
  <c r="O38" i="3"/>
  <c r="J17" i="3"/>
  <c r="I17" i="3"/>
  <c r="F19" i="3"/>
  <c r="C20" i="3"/>
  <c r="D42" i="3" s="1"/>
  <c r="G10" i="3"/>
  <c r="K20" i="3"/>
  <c r="L42" i="3" s="1"/>
  <c r="O10" i="3"/>
  <c r="J18" i="3"/>
  <c r="I18" i="3"/>
  <c r="R18" i="3"/>
  <c r="Q18" i="3"/>
  <c r="J30" i="3"/>
  <c r="H32" i="3"/>
  <c r="I30" i="3"/>
  <c r="R30" i="3"/>
  <c r="P32" i="3"/>
  <c r="Q30" i="3"/>
  <c r="J12" i="3"/>
  <c r="I12" i="3"/>
  <c r="R12" i="3"/>
  <c r="Q12" i="3"/>
  <c r="D16" i="3"/>
  <c r="G16" i="3"/>
  <c r="G17" i="3"/>
  <c r="L17" i="3"/>
  <c r="O17" i="3"/>
  <c r="J19" i="3"/>
  <c r="I19" i="3"/>
  <c r="R19" i="3"/>
  <c r="Q19" i="3"/>
  <c r="C28" i="3"/>
  <c r="D26" i="3"/>
  <c r="G26" i="3"/>
  <c r="K28" i="3"/>
  <c r="L26" i="3"/>
  <c r="O26" i="3"/>
  <c r="D27" i="3"/>
  <c r="G27" i="3"/>
  <c r="L27" i="3"/>
  <c r="O27" i="3"/>
  <c r="J31" i="3"/>
  <c r="I31" i="3"/>
  <c r="R31" i="3"/>
  <c r="Q31" i="3"/>
  <c r="J38" i="3"/>
  <c r="I38" i="3"/>
  <c r="R38" i="3"/>
  <c r="Q38" i="3"/>
  <c r="J39" i="3"/>
  <c r="I39" i="3"/>
  <c r="R39" i="3"/>
  <c r="Q39" i="3"/>
  <c r="J42" i="3"/>
  <c r="I42" i="3"/>
  <c r="R42" i="3"/>
  <c r="Q42" i="3"/>
  <c r="J46" i="3"/>
  <c r="I46" i="3"/>
  <c r="R46" i="3"/>
  <c r="Q46" i="3"/>
  <c r="Q13" i="3"/>
  <c r="R13" i="3"/>
  <c r="F17" i="3"/>
  <c r="D18" i="3"/>
  <c r="G18" i="3"/>
  <c r="L18" i="3"/>
  <c r="O18" i="3"/>
  <c r="E28" i="3"/>
  <c r="M28" i="3"/>
  <c r="C32" i="3"/>
  <c r="D30" i="3"/>
  <c r="G30" i="3"/>
  <c r="O30" i="3"/>
  <c r="K32" i="3"/>
  <c r="AC10" i="3"/>
  <c r="AA10" i="3"/>
  <c r="Z10" i="3"/>
  <c r="Q16" i="3"/>
  <c r="Y17" i="3"/>
  <c r="Y19" i="3" s="1"/>
  <c r="P7" i="3"/>
  <c r="W15" i="6" l="1"/>
  <c r="W12" i="11" s="1"/>
  <c r="U15" i="3"/>
  <c r="Z15" i="6"/>
  <c r="X15" i="3"/>
  <c r="Z15" i="3" s="1"/>
  <c r="U23" i="3"/>
  <c r="W23" i="6"/>
  <c r="W19" i="11" s="1"/>
  <c r="U27" i="3"/>
  <c r="W27" i="6"/>
  <c r="W21" i="11" s="1"/>
  <c r="U16" i="3"/>
  <c r="W16" i="6"/>
  <c r="W13" i="11" s="1"/>
  <c r="X11" i="3"/>
  <c r="Z11" i="6"/>
  <c r="W14" i="6"/>
  <c r="W11" i="11" s="1"/>
  <c r="U14" i="3"/>
  <c r="X13" i="3"/>
  <c r="Z13" i="6"/>
  <c r="U11" i="3"/>
  <c r="W11" i="6"/>
  <c r="Z25" i="6"/>
  <c r="X25" i="3"/>
  <c r="W13" i="6"/>
  <c r="W10" i="11" s="1"/>
  <c r="W14" i="11" s="1"/>
  <c r="U13" i="3"/>
  <c r="U17" i="3" s="1"/>
  <c r="Z16" i="6"/>
  <c r="X16" i="3"/>
  <c r="Z16" i="3" s="1"/>
  <c r="U25" i="3"/>
  <c r="W25" i="6"/>
  <c r="W20" i="11" s="1"/>
  <c r="Z23" i="6"/>
  <c r="X23" i="3"/>
  <c r="X14" i="3"/>
  <c r="Z14" i="3" s="1"/>
  <c r="Z14" i="6"/>
  <c r="U28" i="10"/>
  <c r="Y8" i="11"/>
  <c r="AH8" i="11"/>
  <c r="U10" i="10"/>
  <c r="W8" i="11" s="1"/>
  <c r="X16" i="10"/>
  <c r="Y17" i="10"/>
  <c r="AC16" i="10"/>
  <c r="C39" i="10"/>
  <c r="G39" i="10" s="1"/>
  <c r="I39" i="10"/>
  <c r="M32" i="10"/>
  <c r="M34" i="10" s="1"/>
  <c r="E32" i="10"/>
  <c r="C31" i="10"/>
  <c r="I31" i="10"/>
  <c r="U16" i="10"/>
  <c r="U17" i="10" s="1"/>
  <c r="V17" i="10"/>
  <c r="Y19" i="10"/>
  <c r="Y21" i="10" s="1"/>
  <c r="AC11" i="10"/>
  <c r="X11" i="10"/>
  <c r="X28" i="10"/>
  <c r="AA28" i="10" s="1"/>
  <c r="AC28" i="10"/>
  <c r="C19" i="10"/>
  <c r="I19" i="10"/>
  <c r="E24" i="10"/>
  <c r="V19" i="10"/>
  <c r="V21" i="10" s="1"/>
  <c r="V30" i="10" s="1"/>
  <c r="W40" i="7" s="1"/>
  <c r="W41" i="7" s="1"/>
  <c r="W42" i="7" s="1"/>
  <c r="U11" i="10"/>
  <c r="U19" i="10" s="1"/>
  <c r="K19" i="10"/>
  <c r="K24" i="10" s="1"/>
  <c r="M24" i="10"/>
  <c r="K10" i="10"/>
  <c r="M20" i="10"/>
  <c r="E20" i="10"/>
  <c r="C10" i="10"/>
  <c r="I10" i="10"/>
  <c r="R10" i="10"/>
  <c r="P20" i="10"/>
  <c r="Q10" i="10" s="1"/>
  <c r="P24" i="10"/>
  <c r="R19" i="10"/>
  <c r="R39" i="10"/>
  <c r="R38" i="10"/>
  <c r="Q38" i="10"/>
  <c r="R31" i="10"/>
  <c r="P32" i="10"/>
  <c r="O13" i="5"/>
  <c r="J13" i="5"/>
  <c r="G13" i="5"/>
  <c r="E20" i="5"/>
  <c r="M20" i="5"/>
  <c r="D42" i="5"/>
  <c r="G42" i="5"/>
  <c r="M16" i="3"/>
  <c r="G46" i="5"/>
  <c r="M28" i="5"/>
  <c r="M32" i="5"/>
  <c r="O46" i="5"/>
  <c r="O27" i="5"/>
  <c r="G27" i="5"/>
  <c r="O26" i="5"/>
  <c r="K28" i="5"/>
  <c r="G26" i="5"/>
  <c r="C28" i="5"/>
  <c r="J22" i="5"/>
  <c r="R27" i="5"/>
  <c r="J27" i="5"/>
  <c r="I27" i="5"/>
  <c r="R26" i="5"/>
  <c r="P28" i="5"/>
  <c r="H28" i="5"/>
  <c r="J26" i="5"/>
  <c r="I26" i="5"/>
  <c r="Q30" i="5"/>
  <c r="P32" i="5"/>
  <c r="R30" i="5"/>
  <c r="J38" i="5"/>
  <c r="I38" i="5"/>
  <c r="R38" i="5"/>
  <c r="J31" i="5"/>
  <c r="R22" i="5"/>
  <c r="J39" i="5"/>
  <c r="R31" i="5"/>
  <c r="R13" i="5"/>
  <c r="P20" i="5"/>
  <c r="Q39" i="5" s="1"/>
  <c r="R39" i="5"/>
  <c r="H32" i="5"/>
  <c r="J30" i="5"/>
  <c r="P31" i="11"/>
  <c r="Y21" i="3"/>
  <c r="AA21" i="6" s="1"/>
  <c r="D22" i="3"/>
  <c r="I32" i="6"/>
  <c r="I20" i="6"/>
  <c r="D12" i="4"/>
  <c r="I18" i="4"/>
  <c r="L13" i="5"/>
  <c r="AA24" i="11"/>
  <c r="I14" i="6"/>
  <c r="K7" i="3"/>
  <c r="C7" i="8"/>
  <c r="U7" i="3"/>
  <c r="X7" i="3" s="1"/>
  <c r="I30" i="9"/>
  <c r="I22" i="9"/>
  <c r="I11" i="9"/>
  <c r="I10" i="9"/>
  <c r="I15" i="9"/>
  <c r="AK26" i="11"/>
  <c r="AC27" i="9"/>
  <c r="R30" i="9"/>
  <c r="R12" i="9"/>
  <c r="R19" i="9"/>
  <c r="M19" i="11"/>
  <c r="Z27" i="9"/>
  <c r="J32" i="9"/>
  <c r="W7" i="8"/>
  <c r="AB7" i="8" s="1"/>
  <c r="P7" i="8"/>
  <c r="H7" i="9"/>
  <c r="T6" i="9"/>
  <c r="AF3" i="9"/>
  <c r="AB20" i="11"/>
  <c r="AK20" i="11"/>
  <c r="AE16" i="6"/>
  <c r="AB13" i="11"/>
  <c r="AK13" i="11"/>
  <c r="G18" i="6"/>
  <c r="C18" i="11"/>
  <c r="R39" i="6"/>
  <c r="P39" i="11"/>
  <c r="M15" i="11"/>
  <c r="J18" i="6"/>
  <c r="H18" i="11"/>
  <c r="I18" i="6"/>
  <c r="O22" i="6"/>
  <c r="K22" i="11"/>
  <c r="E13" i="11"/>
  <c r="M46" i="11"/>
  <c r="J22" i="6"/>
  <c r="H22" i="11"/>
  <c r="I22" i="6"/>
  <c r="P10" i="11"/>
  <c r="R10" i="6"/>
  <c r="C12" i="11"/>
  <c r="D10" i="5"/>
  <c r="I15" i="6"/>
  <c r="N27" i="7"/>
  <c r="D15" i="7"/>
  <c r="D10" i="7"/>
  <c r="E36" i="8"/>
  <c r="E36" i="9" s="1"/>
  <c r="O34" i="8"/>
  <c r="K42" i="9"/>
  <c r="O42" i="9" s="1"/>
  <c r="N34" i="9"/>
  <c r="AG23" i="11"/>
  <c r="X24" i="11"/>
  <c r="R24" i="9"/>
  <c r="R39" i="9"/>
  <c r="K31" i="11"/>
  <c r="R16" i="3"/>
  <c r="P16" i="6"/>
  <c r="AB28" i="6"/>
  <c r="AB22" i="11"/>
  <c r="AK22" i="11"/>
  <c r="AE28" i="6"/>
  <c r="Y13" i="11"/>
  <c r="AH13" i="11"/>
  <c r="AA13" i="3"/>
  <c r="AK21" i="11"/>
  <c r="AB21" i="11"/>
  <c r="K33" i="6"/>
  <c r="O30" i="6"/>
  <c r="M17" i="11"/>
  <c r="J39" i="6"/>
  <c r="H39" i="11"/>
  <c r="I39" i="6"/>
  <c r="C26" i="11"/>
  <c r="E15" i="11"/>
  <c r="K20" i="6"/>
  <c r="K10" i="11"/>
  <c r="G22" i="6"/>
  <c r="C22" i="11"/>
  <c r="R11" i="6"/>
  <c r="P11" i="11"/>
  <c r="T32" i="6"/>
  <c r="E46" i="11"/>
  <c r="T22" i="6"/>
  <c r="J14" i="6"/>
  <c r="H14" i="11"/>
  <c r="I10" i="6"/>
  <c r="H10" i="11"/>
  <c r="J10" i="6"/>
  <c r="M11" i="11"/>
  <c r="Y19" i="4"/>
  <c r="AA17" i="6"/>
  <c r="D13" i="5"/>
  <c r="I27" i="6"/>
  <c r="I26" i="6"/>
  <c r="I39" i="7"/>
  <c r="I30" i="7"/>
  <c r="N26" i="7"/>
  <c r="G34" i="8"/>
  <c r="C42" i="9"/>
  <c r="G42" i="9" s="1"/>
  <c r="F34" i="9"/>
  <c r="U7" i="10"/>
  <c r="K7" i="10"/>
  <c r="X7" i="10" s="1"/>
  <c r="F17" i="9"/>
  <c r="F16" i="9"/>
  <c r="R22" i="9"/>
  <c r="G36" i="9"/>
  <c r="C58" i="7"/>
  <c r="J14" i="9"/>
  <c r="F14" i="9"/>
  <c r="J26" i="9"/>
  <c r="R10" i="9"/>
  <c r="N10" i="9"/>
  <c r="J45" i="9"/>
  <c r="F18" i="9"/>
  <c r="F11" i="9"/>
  <c r="J11" i="9"/>
  <c r="C31" i="11"/>
  <c r="AA15" i="3"/>
  <c r="AC13" i="6"/>
  <c r="AB10" i="11"/>
  <c r="AK10" i="11"/>
  <c r="C30" i="11"/>
  <c r="C33" i="6"/>
  <c r="G30" i="6"/>
  <c r="E17" i="11"/>
  <c r="R38" i="6"/>
  <c r="P38" i="11"/>
  <c r="M22" i="11"/>
  <c r="E14" i="11"/>
  <c r="C20" i="6"/>
  <c r="C10" i="11"/>
  <c r="G10" i="6"/>
  <c r="K16" i="11"/>
  <c r="O16" i="6"/>
  <c r="J11" i="6"/>
  <c r="H11" i="11"/>
  <c r="M42" i="11"/>
  <c r="P27" i="11"/>
  <c r="R27" i="6"/>
  <c r="M30" i="11"/>
  <c r="M33" i="6"/>
  <c r="O46" i="6"/>
  <c r="E10" i="11"/>
  <c r="V19" i="4"/>
  <c r="V21" i="4" s="1"/>
  <c r="V30" i="4" s="1"/>
  <c r="X17" i="6"/>
  <c r="AH14" i="11" s="1"/>
  <c r="N10" i="4"/>
  <c r="I16" i="6"/>
  <c r="L46" i="7"/>
  <c r="D13" i="7"/>
  <c r="X7" i="7"/>
  <c r="AC7" i="7" s="1"/>
  <c r="P7" i="7"/>
  <c r="V21" i="9"/>
  <c r="V30" i="9" s="1"/>
  <c r="AE11" i="11"/>
  <c r="J13" i="9"/>
  <c r="F13" i="9"/>
  <c r="J39" i="9"/>
  <c r="R15" i="9"/>
  <c r="N15" i="9"/>
  <c r="J15" i="9"/>
  <c r="F15" i="9"/>
  <c r="AA10" i="9"/>
  <c r="AA9" i="11" s="1"/>
  <c r="G19" i="9"/>
  <c r="C19" i="11"/>
  <c r="AB12" i="11"/>
  <c r="AK12" i="11"/>
  <c r="AE15" i="6"/>
  <c r="AA23" i="3"/>
  <c r="Z23" i="3"/>
  <c r="M27" i="11"/>
  <c r="R13" i="6"/>
  <c r="P13" i="11"/>
  <c r="J38" i="6"/>
  <c r="H38" i="11"/>
  <c r="I38" i="6"/>
  <c r="E22" i="11"/>
  <c r="R12" i="6"/>
  <c r="P12" i="11"/>
  <c r="H17" i="11"/>
  <c r="J17" i="6"/>
  <c r="I17" i="6"/>
  <c r="O15" i="6"/>
  <c r="K15" i="11"/>
  <c r="P17" i="11"/>
  <c r="R17" i="6"/>
  <c r="E42" i="11"/>
  <c r="H27" i="11"/>
  <c r="J27" i="6"/>
  <c r="E30" i="11"/>
  <c r="T21" i="6"/>
  <c r="E33" i="6"/>
  <c r="G46" i="6"/>
  <c r="C46" i="11"/>
  <c r="E11" i="11"/>
  <c r="D10" i="3"/>
  <c r="D11" i="3"/>
  <c r="V7" i="7"/>
  <c r="Y7" i="7" s="1"/>
  <c r="K7" i="7"/>
  <c r="AC10" i="9"/>
  <c r="R31" i="9"/>
  <c r="J12" i="9"/>
  <c r="O36" i="9"/>
  <c r="R58" i="7" s="1"/>
  <c r="N58" i="7"/>
  <c r="X14" i="11"/>
  <c r="X15" i="11" s="1"/>
  <c r="J24" i="8"/>
  <c r="E24" i="9"/>
  <c r="F24" i="9" s="1"/>
  <c r="AC8" i="11"/>
  <c r="Y10" i="11"/>
  <c r="AH10" i="11"/>
  <c r="Y22" i="11"/>
  <c r="AH22" i="11"/>
  <c r="AB23" i="6"/>
  <c r="AI19" i="11" s="1"/>
  <c r="AK19" i="11"/>
  <c r="AB19" i="11"/>
  <c r="Y11" i="11"/>
  <c r="AH11" i="11"/>
  <c r="E27" i="11"/>
  <c r="T19" i="6"/>
  <c r="R46" i="6"/>
  <c r="P46" i="11"/>
  <c r="H19" i="11"/>
  <c r="J12" i="6"/>
  <c r="H12" i="11"/>
  <c r="E20" i="6"/>
  <c r="E12" i="11"/>
  <c r="G15" i="6"/>
  <c r="C15" i="11"/>
  <c r="M12" i="11"/>
  <c r="M39" i="11"/>
  <c r="R26" i="6"/>
  <c r="P26" i="11"/>
  <c r="P28" i="6"/>
  <c r="M18" i="11"/>
  <c r="O42" i="6"/>
  <c r="G11" i="6"/>
  <c r="C11" i="11"/>
  <c r="D10" i="4"/>
  <c r="AA27" i="4"/>
  <c r="X27" i="3"/>
  <c r="Z27" i="6"/>
  <c r="I10" i="7"/>
  <c r="I27" i="7"/>
  <c r="Q30" i="9"/>
  <c r="Q19" i="9"/>
  <c r="Q16" i="9"/>
  <c r="Q17" i="9"/>
  <c r="Q18" i="9"/>
  <c r="Q22" i="9"/>
  <c r="Q21" i="9"/>
  <c r="Q11" i="9"/>
  <c r="Q10" i="9"/>
  <c r="Q15" i="9"/>
  <c r="Q12" i="9"/>
  <c r="N11" i="9"/>
  <c r="R11" i="9"/>
  <c r="F31" i="9"/>
  <c r="F27" i="9"/>
  <c r="J27" i="9"/>
  <c r="L46" i="9"/>
  <c r="L19" i="9"/>
  <c r="L16" i="9"/>
  <c r="L17" i="9"/>
  <c r="L15" i="9"/>
  <c r="L12" i="9"/>
  <c r="L18" i="9"/>
  <c r="L20" i="9"/>
  <c r="E7" i="9"/>
  <c r="M7" i="9" s="1"/>
  <c r="V7" i="9" s="1"/>
  <c r="Y7" i="9" s="1"/>
  <c r="M7" i="8"/>
  <c r="V7" i="8" s="1"/>
  <c r="Y7" i="8" s="1"/>
  <c r="M31" i="11"/>
  <c r="V17" i="3"/>
  <c r="V19" i="3" s="1"/>
  <c r="V21" i="3" s="1"/>
  <c r="V30" i="3" s="1"/>
  <c r="Z22" i="11"/>
  <c r="AD22" i="11" s="1"/>
  <c r="AC28" i="6"/>
  <c r="AA14" i="3"/>
  <c r="M28" i="6"/>
  <c r="M26" i="11"/>
  <c r="J46" i="6"/>
  <c r="H46" i="11"/>
  <c r="I46" i="6"/>
  <c r="K17" i="11"/>
  <c r="O17" i="6"/>
  <c r="P30" i="11"/>
  <c r="P33" i="6"/>
  <c r="R33" i="6" s="1"/>
  <c r="O38" i="6"/>
  <c r="O14" i="6"/>
  <c r="K14" i="11"/>
  <c r="O39" i="6"/>
  <c r="T27" i="6"/>
  <c r="E39" i="11"/>
  <c r="J26" i="6"/>
  <c r="H26" i="11"/>
  <c r="E18" i="11"/>
  <c r="G39" i="6"/>
  <c r="C39" i="11"/>
  <c r="O10" i="6"/>
  <c r="M10" i="11"/>
  <c r="D38" i="3"/>
  <c r="I10" i="3"/>
  <c r="D19" i="4"/>
  <c r="Z27" i="4"/>
  <c r="I11" i="6"/>
  <c r="AA17" i="8"/>
  <c r="X17" i="9"/>
  <c r="AA17" i="9" s="1"/>
  <c r="U30" i="8"/>
  <c r="U21" i="9"/>
  <c r="AK24" i="11"/>
  <c r="AC25" i="9"/>
  <c r="Y19" i="9"/>
  <c r="Y21" i="9" s="1"/>
  <c r="Z11" i="9"/>
  <c r="F19" i="9"/>
  <c r="E19" i="11"/>
  <c r="N27" i="9"/>
  <c r="R27" i="9"/>
  <c r="R45" i="9"/>
  <c r="O19" i="9"/>
  <c r="K19" i="11"/>
  <c r="R46" i="9"/>
  <c r="AC16" i="9"/>
  <c r="R13" i="9"/>
  <c r="N13" i="9"/>
  <c r="Z25" i="9"/>
  <c r="G43" i="9"/>
  <c r="C64" i="7"/>
  <c r="E31" i="11"/>
  <c r="J31" i="11" s="1"/>
  <c r="Y19" i="11"/>
  <c r="AH19" i="11"/>
  <c r="Y21" i="11"/>
  <c r="AH21" i="11"/>
  <c r="W22" i="11"/>
  <c r="AB11" i="11"/>
  <c r="AK11" i="11"/>
  <c r="Y12" i="11"/>
  <c r="AH12" i="11"/>
  <c r="E28" i="6"/>
  <c r="J28" i="6" s="1"/>
  <c r="E26" i="11"/>
  <c r="T13" i="6"/>
  <c r="R42" i="6"/>
  <c r="P42" i="11"/>
  <c r="K27" i="11"/>
  <c r="O27" i="6"/>
  <c r="G17" i="6"/>
  <c r="C17" i="11"/>
  <c r="H30" i="11"/>
  <c r="I30" i="6"/>
  <c r="H33" i="6"/>
  <c r="R22" i="6"/>
  <c r="P22" i="11"/>
  <c r="G14" i="6"/>
  <c r="C14" i="11"/>
  <c r="M38" i="11"/>
  <c r="G42" i="6"/>
  <c r="C42" i="11"/>
  <c r="O13" i="6"/>
  <c r="K13" i="11"/>
  <c r="O32" i="6"/>
  <c r="O11" i="6"/>
  <c r="K11" i="11"/>
  <c r="L27" i="5"/>
  <c r="I12" i="6"/>
  <c r="D12" i="7"/>
  <c r="F10" i="9"/>
  <c r="J10" i="9"/>
  <c r="K7" i="6"/>
  <c r="W7" i="6"/>
  <c r="Z7" i="6" s="1"/>
  <c r="P19" i="11"/>
  <c r="R26" i="9"/>
  <c r="R14" i="9"/>
  <c r="N14" i="9"/>
  <c r="J38" i="9"/>
  <c r="AC11" i="9"/>
  <c r="R38" i="9"/>
  <c r="AC15" i="9"/>
  <c r="J30" i="9"/>
  <c r="Z13" i="9"/>
  <c r="J46" i="9"/>
  <c r="Z17" i="9"/>
  <c r="AA19" i="6"/>
  <c r="AB9" i="11"/>
  <c r="AK9" i="11"/>
  <c r="AH9" i="11"/>
  <c r="Y9" i="11"/>
  <c r="AA16" i="3"/>
  <c r="O18" i="6"/>
  <c r="K18" i="11"/>
  <c r="J42" i="6"/>
  <c r="H42" i="11"/>
  <c r="I42" i="6"/>
  <c r="C27" i="11"/>
  <c r="G27" i="6"/>
  <c r="C16" i="11"/>
  <c r="G16" i="11" s="1"/>
  <c r="G16" i="6"/>
  <c r="R18" i="6"/>
  <c r="P18" i="11"/>
  <c r="J15" i="6"/>
  <c r="H15" i="11"/>
  <c r="M13" i="11"/>
  <c r="L12" i="6"/>
  <c r="K12" i="11"/>
  <c r="E38" i="11"/>
  <c r="T26" i="6"/>
  <c r="C38" i="11"/>
  <c r="G13" i="6"/>
  <c r="C13" i="11"/>
  <c r="R15" i="6"/>
  <c r="P15" i="11"/>
  <c r="J13" i="6"/>
  <c r="H13" i="11"/>
  <c r="I13" i="6"/>
  <c r="AC30" i="10"/>
  <c r="Y30" i="10"/>
  <c r="AC21" i="10"/>
  <c r="X19" i="10"/>
  <c r="AA19" i="10" s="1"/>
  <c r="AA11" i="10"/>
  <c r="R24" i="10"/>
  <c r="Q24" i="10"/>
  <c r="M36" i="10"/>
  <c r="R59" i="7" s="1"/>
  <c r="Z11" i="10"/>
  <c r="AA10" i="10"/>
  <c r="K28" i="10"/>
  <c r="O24" i="10"/>
  <c r="U21" i="10"/>
  <c r="U30" i="10" s="1"/>
  <c r="Z28" i="10"/>
  <c r="Z10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27" i="10"/>
  <c r="Q12" i="10"/>
  <c r="P34" i="10"/>
  <c r="R32" i="10"/>
  <c r="Q32" i="10"/>
  <c r="K20" i="10"/>
  <c r="O10" i="10"/>
  <c r="AC17" i="10"/>
  <c r="H36" i="10"/>
  <c r="J24" i="10"/>
  <c r="I24" i="10"/>
  <c r="Q31" i="10"/>
  <c r="K41" i="10"/>
  <c r="O36" i="10"/>
  <c r="Z16" i="10"/>
  <c r="X17" i="10"/>
  <c r="AA17" i="10" s="1"/>
  <c r="AA16" i="10"/>
  <c r="Q39" i="10"/>
  <c r="C20" i="10"/>
  <c r="G10" i="10"/>
  <c r="AC19" i="10"/>
  <c r="Z19" i="10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K36" i="8"/>
  <c r="K45" i="9" s="1"/>
  <c r="O45" i="9" s="1"/>
  <c r="O24" i="8"/>
  <c r="Z17" i="8"/>
  <c r="N24" i="8"/>
  <c r="R24" i="8"/>
  <c r="M36" i="8"/>
  <c r="M36" i="9" s="1"/>
  <c r="C36" i="8"/>
  <c r="C45" i="9" s="1"/>
  <c r="G45" i="9" s="1"/>
  <c r="G24" i="8"/>
  <c r="J36" i="8"/>
  <c r="E41" i="8"/>
  <c r="E41" i="9" s="1"/>
  <c r="F36" i="8"/>
  <c r="AC21" i="8"/>
  <c r="Y30" i="8"/>
  <c r="R34" i="8"/>
  <c r="N34" i="8"/>
  <c r="J34" i="8"/>
  <c r="F34" i="8"/>
  <c r="X19" i="8"/>
  <c r="X19" i="9" s="1"/>
  <c r="Y21" i="7"/>
  <c r="AB19" i="7"/>
  <c r="R20" i="7"/>
  <c r="P24" i="7"/>
  <c r="Q20" i="7"/>
  <c r="Q30" i="7"/>
  <c r="I42" i="7"/>
  <c r="N39" i="7"/>
  <c r="I31" i="7"/>
  <c r="F27" i="7"/>
  <c r="N42" i="7"/>
  <c r="L32" i="7"/>
  <c r="O32" i="7"/>
  <c r="L26" i="7"/>
  <c r="R32" i="7"/>
  <c r="Q32" i="7"/>
  <c r="P34" i="7"/>
  <c r="R28" i="7"/>
  <c r="Q28" i="7"/>
  <c r="F39" i="7"/>
  <c r="F42" i="7"/>
  <c r="D30" i="7"/>
  <c r="Z21" i="7"/>
  <c r="AD19" i="7"/>
  <c r="J32" i="7"/>
  <c r="I32" i="7"/>
  <c r="Q26" i="7"/>
  <c r="N22" i="7"/>
  <c r="Q38" i="7"/>
  <c r="N28" i="7"/>
  <c r="M34" i="7"/>
  <c r="N34" i="7" s="1"/>
  <c r="L10" i="7"/>
  <c r="N38" i="7"/>
  <c r="K34" i="7"/>
  <c r="L28" i="7"/>
  <c r="O28" i="7"/>
  <c r="F22" i="7"/>
  <c r="N12" i="7"/>
  <c r="N32" i="7"/>
  <c r="F26" i="7"/>
  <c r="N13" i="7"/>
  <c r="K24" i="7"/>
  <c r="L20" i="7"/>
  <c r="O20" i="7"/>
  <c r="D32" i="7"/>
  <c r="G32" i="7"/>
  <c r="D26" i="7"/>
  <c r="E24" i="7"/>
  <c r="F20" i="7"/>
  <c r="J20" i="7"/>
  <c r="H24" i="7"/>
  <c r="I20" i="7"/>
  <c r="Q12" i="7"/>
  <c r="H34" i="7"/>
  <c r="J28" i="7"/>
  <c r="I28" i="7"/>
  <c r="N46" i="7"/>
  <c r="N10" i="7"/>
  <c r="I38" i="7"/>
  <c r="F12" i="7"/>
  <c r="N30" i="7"/>
  <c r="F28" i="7"/>
  <c r="E34" i="7"/>
  <c r="F34" i="7" s="1"/>
  <c r="L27" i="7"/>
  <c r="Q27" i="7"/>
  <c r="I26" i="7"/>
  <c r="F46" i="7"/>
  <c r="M24" i="7"/>
  <c r="N20" i="7"/>
  <c r="F32" i="7"/>
  <c r="F31" i="7"/>
  <c r="C34" i="7"/>
  <c r="D28" i="7"/>
  <c r="G28" i="7"/>
  <c r="F11" i="7"/>
  <c r="Q39" i="7"/>
  <c r="I12" i="7"/>
  <c r="Q42" i="7"/>
  <c r="F10" i="7"/>
  <c r="Q31" i="7"/>
  <c r="F30" i="7"/>
  <c r="Q11" i="7"/>
  <c r="C24" i="7"/>
  <c r="D20" i="7"/>
  <c r="G20" i="7"/>
  <c r="L12" i="7"/>
  <c r="L30" i="7"/>
  <c r="D27" i="7"/>
  <c r="O28" i="6"/>
  <c r="K34" i="6"/>
  <c r="L28" i="6"/>
  <c r="G28" i="6"/>
  <c r="D28" i="6"/>
  <c r="C34" i="6"/>
  <c r="J28" i="5"/>
  <c r="I28" i="5"/>
  <c r="D16" i="5"/>
  <c r="D32" i="5"/>
  <c r="D20" i="5"/>
  <c r="D14" i="5"/>
  <c r="D30" i="5"/>
  <c r="D11" i="5"/>
  <c r="D17" i="5"/>
  <c r="D15" i="5"/>
  <c r="D38" i="5"/>
  <c r="G20" i="5"/>
  <c r="C24" i="5"/>
  <c r="D12" i="5"/>
  <c r="D46" i="5"/>
  <c r="I15" i="5"/>
  <c r="H24" i="5"/>
  <c r="J20" i="5"/>
  <c r="I10" i="5"/>
  <c r="I12" i="5"/>
  <c r="I16" i="5"/>
  <c r="I14" i="5"/>
  <c r="I11" i="5"/>
  <c r="I46" i="5"/>
  <c r="G28" i="5"/>
  <c r="C34" i="5"/>
  <c r="D28" i="5"/>
  <c r="R32" i="5"/>
  <c r="Q32" i="5"/>
  <c r="Q38" i="5"/>
  <c r="D26" i="5"/>
  <c r="L17" i="5"/>
  <c r="L32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D27" i="5"/>
  <c r="L18" i="5"/>
  <c r="P34" i="5"/>
  <c r="R28" i="5"/>
  <c r="Q28" i="5"/>
  <c r="F45" i="5"/>
  <c r="F42" i="5"/>
  <c r="F14" i="5"/>
  <c r="F46" i="5"/>
  <c r="F30" i="5"/>
  <c r="F43" i="5"/>
  <c r="F28" i="5"/>
  <c r="F27" i="5"/>
  <c r="F26" i="5"/>
  <c r="F11" i="5"/>
  <c r="F17" i="5"/>
  <c r="F15" i="5"/>
  <c r="F38" i="5"/>
  <c r="F24" i="5"/>
  <c r="F36" i="5"/>
  <c r="F31" i="5"/>
  <c r="E24" i="5"/>
  <c r="F22" i="5"/>
  <c r="F12" i="5"/>
  <c r="F10" i="5"/>
  <c r="F41" i="5"/>
  <c r="F39" i="5"/>
  <c r="F34" i="5"/>
  <c r="F32" i="5"/>
  <c r="F20" i="5"/>
  <c r="F19" i="5"/>
  <c r="F18" i="5"/>
  <c r="F16" i="5"/>
  <c r="F13" i="5"/>
  <c r="N42" i="5"/>
  <c r="N39" i="5"/>
  <c r="N16" i="5"/>
  <c r="N28" i="5"/>
  <c r="N27" i="5"/>
  <c r="N26" i="5"/>
  <c r="N18" i="5"/>
  <c r="N14" i="5"/>
  <c r="N46" i="5"/>
  <c r="N30" i="5"/>
  <c r="N19" i="5"/>
  <c r="N11" i="5"/>
  <c r="N38" i="5"/>
  <c r="M24" i="5"/>
  <c r="N22" i="5"/>
  <c r="N15" i="5"/>
  <c r="N17" i="5"/>
  <c r="N12" i="5"/>
  <c r="N10" i="5"/>
  <c r="N32" i="5"/>
  <c r="N31" i="5"/>
  <c r="N20" i="5"/>
  <c r="N13" i="5"/>
  <c r="Q46" i="5"/>
  <c r="P24" i="5"/>
  <c r="Q11" i="5"/>
  <c r="R20" i="5"/>
  <c r="Q15" i="5"/>
  <c r="Q20" i="5"/>
  <c r="Q17" i="5"/>
  <c r="Q12" i="5"/>
  <c r="Q10" i="5"/>
  <c r="Q42" i="5"/>
  <c r="Q16" i="5"/>
  <c r="Q31" i="5"/>
  <c r="Q14" i="5"/>
  <c r="E34" i="5"/>
  <c r="L46" i="5"/>
  <c r="O28" i="5"/>
  <c r="K34" i="5"/>
  <c r="L28" i="5"/>
  <c r="Q13" i="5"/>
  <c r="L26" i="5"/>
  <c r="J32" i="5"/>
  <c r="I32" i="5"/>
  <c r="H34" i="5"/>
  <c r="AA15" i="4"/>
  <c r="Z15" i="4"/>
  <c r="AA11" i="4"/>
  <c r="X19" i="4"/>
  <c r="Z19" i="4" s="1"/>
  <c r="Z11" i="4"/>
  <c r="X17" i="4"/>
  <c r="AA13" i="4"/>
  <c r="Z13" i="4"/>
  <c r="AA25" i="4"/>
  <c r="Z25" i="4"/>
  <c r="U17" i="4"/>
  <c r="AA16" i="4"/>
  <c r="Z16" i="4"/>
  <c r="AA23" i="4"/>
  <c r="Z23" i="4"/>
  <c r="AA14" i="4"/>
  <c r="Z14" i="4"/>
  <c r="AC19" i="4"/>
  <c r="Y21" i="4"/>
  <c r="L22" i="4"/>
  <c r="D15" i="4"/>
  <c r="L10" i="4"/>
  <c r="D30" i="4"/>
  <c r="D46" i="4"/>
  <c r="D39" i="4"/>
  <c r="D31" i="4"/>
  <c r="P34" i="4"/>
  <c r="R28" i="4"/>
  <c r="Q28" i="4"/>
  <c r="E24" i="4"/>
  <c r="F20" i="4"/>
  <c r="L14" i="4"/>
  <c r="D27" i="4"/>
  <c r="Q13" i="4"/>
  <c r="Q22" i="4"/>
  <c r="J20" i="4"/>
  <c r="H24" i="4"/>
  <c r="Q17" i="4"/>
  <c r="Q18" i="4"/>
  <c r="K24" i="4"/>
  <c r="L20" i="4"/>
  <c r="O20" i="4"/>
  <c r="Q46" i="4"/>
  <c r="Q39" i="4"/>
  <c r="Q31" i="4"/>
  <c r="Q11" i="4"/>
  <c r="L16" i="4"/>
  <c r="L42" i="4"/>
  <c r="L38" i="4"/>
  <c r="Q27" i="4"/>
  <c r="I17" i="4"/>
  <c r="G32" i="4"/>
  <c r="D32" i="4"/>
  <c r="L19" i="4"/>
  <c r="N28" i="4"/>
  <c r="M34" i="4"/>
  <c r="N34" i="4" s="1"/>
  <c r="Q19" i="4"/>
  <c r="L28" i="4"/>
  <c r="O28" i="4"/>
  <c r="K34" i="4"/>
  <c r="H34" i="4"/>
  <c r="J28" i="4"/>
  <c r="I28" i="4"/>
  <c r="L12" i="4"/>
  <c r="L27" i="4"/>
  <c r="R32" i="4"/>
  <c r="Q32" i="4"/>
  <c r="L26" i="4"/>
  <c r="C24" i="4"/>
  <c r="D20" i="4"/>
  <c r="G20" i="4"/>
  <c r="O32" i="4"/>
  <c r="L32" i="4"/>
  <c r="L17" i="4"/>
  <c r="D42" i="4"/>
  <c r="D38" i="4"/>
  <c r="L13" i="4"/>
  <c r="D13" i="4"/>
  <c r="R20" i="4"/>
  <c r="Q20" i="4"/>
  <c r="P24" i="4"/>
  <c r="Q16" i="4"/>
  <c r="Q30" i="4"/>
  <c r="F28" i="4"/>
  <c r="E34" i="4"/>
  <c r="F34" i="4" s="1"/>
  <c r="L30" i="4"/>
  <c r="AC17" i="4"/>
  <c r="Z17" i="4"/>
  <c r="Q10" i="4"/>
  <c r="J32" i="4"/>
  <c r="I32" i="4"/>
  <c r="Q42" i="4"/>
  <c r="Q38" i="4"/>
  <c r="L15" i="4"/>
  <c r="D28" i="4"/>
  <c r="G28" i="4"/>
  <c r="C34" i="4"/>
  <c r="Q12" i="4"/>
  <c r="D17" i="4"/>
  <c r="L46" i="4"/>
  <c r="L39" i="4"/>
  <c r="L31" i="4"/>
  <c r="Q26" i="4"/>
  <c r="M24" i="4"/>
  <c r="N20" i="4"/>
  <c r="D14" i="4"/>
  <c r="D22" i="4"/>
  <c r="F15" i="4"/>
  <c r="L30" i="3"/>
  <c r="M34" i="3"/>
  <c r="F14" i="3"/>
  <c r="L10" i="3"/>
  <c r="F12" i="3"/>
  <c r="D31" i="3"/>
  <c r="H34" i="3"/>
  <c r="J28" i="3"/>
  <c r="I28" i="3"/>
  <c r="Q20" i="3"/>
  <c r="Q14" i="3"/>
  <c r="P24" i="3"/>
  <c r="Q15" i="3"/>
  <c r="AC21" i="3"/>
  <c r="Y30" i="3"/>
  <c r="AA30" i="6" s="1"/>
  <c r="AE30" i="6" s="1"/>
  <c r="O32" i="3"/>
  <c r="L32" i="3"/>
  <c r="D28" i="3"/>
  <c r="C34" i="3"/>
  <c r="G28" i="3"/>
  <c r="J32" i="3"/>
  <c r="I32" i="3"/>
  <c r="K24" i="3"/>
  <c r="L20" i="3"/>
  <c r="L38" i="3"/>
  <c r="L14" i="3"/>
  <c r="F26" i="3"/>
  <c r="L19" i="3"/>
  <c r="L13" i="3"/>
  <c r="D39" i="3"/>
  <c r="D12" i="3"/>
  <c r="AC17" i="3"/>
  <c r="E34" i="3"/>
  <c r="F34" i="3" s="1"/>
  <c r="F28" i="3"/>
  <c r="F22" i="3"/>
  <c r="D17" i="3"/>
  <c r="L16" i="3"/>
  <c r="D14" i="3"/>
  <c r="H24" i="3"/>
  <c r="H24" i="6" s="1"/>
  <c r="I16" i="3"/>
  <c r="J20" i="3"/>
  <c r="G20" i="3"/>
  <c r="C24" i="3"/>
  <c r="D20" i="3"/>
  <c r="L12" i="3"/>
  <c r="D13" i="3"/>
  <c r="L46" i="3"/>
  <c r="L31" i="3"/>
  <c r="G32" i="3"/>
  <c r="D32" i="3"/>
  <c r="L15" i="3"/>
  <c r="P34" i="3"/>
  <c r="R28" i="3"/>
  <c r="Q28" i="3"/>
  <c r="F16" i="3"/>
  <c r="E24" i="3"/>
  <c r="F20" i="3"/>
  <c r="L11" i="3"/>
  <c r="AC19" i="3"/>
  <c r="L28" i="3"/>
  <c r="K34" i="3"/>
  <c r="O28" i="3"/>
  <c r="R32" i="3"/>
  <c r="Q32" i="3"/>
  <c r="F13" i="3"/>
  <c r="L39" i="3"/>
  <c r="F30" i="3"/>
  <c r="Q10" i="3"/>
  <c r="D46" i="3"/>
  <c r="D19" i="3"/>
  <c r="F10" i="3"/>
  <c r="F27" i="3"/>
  <c r="F15" i="3"/>
  <c r="L22" i="3"/>
  <c r="D15" i="3"/>
  <c r="F46" i="3"/>
  <c r="F31" i="3"/>
  <c r="F32" i="3"/>
  <c r="F11" i="3"/>
  <c r="I13" i="3"/>
  <c r="Y30" i="9" l="1"/>
  <c r="AC21" i="9"/>
  <c r="Y20" i="11"/>
  <c r="AH20" i="11"/>
  <c r="I24" i="6"/>
  <c r="U19" i="4"/>
  <c r="U21" i="4" s="1"/>
  <c r="U30" i="4" s="1"/>
  <c r="AA30" i="4" s="1"/>
  <c r="W17" i="6"/>
  <c r="R36" i="9"/>
  <c r="N36" i="9"/>
  <c r="G38" i="11"/>
  <c r="D38" i="11"/>
  <c r="R18" i="11"/>
  <c r="AB15" i="11"/>
  <c r="AC9" i="11"/>
  <c r="O13" i="11"/>
  <c r="R42" i="11"/>
  <c r="J46" i="11"/>
  <c r="P28" i="11"/>
  <c r="E24" i="6"/>
  <c r="F16" i="6"/>
  <c r="F42" i="6"/>
  <c r="F17" i="6"/>
  <c r="F18" i="6"/>
  <c r="F13" i="6"/>
  <c r="F32" i="6"/>
  <c r="F10" i="6"/>
  <c r="F12" i="6"/>
  <c r="F39" i="6"/>
  <c r="F20" i="6"/>
  <c r="F27" i="6"/>
  <c r="F46" i="6"/>
  <c r="F14" i="6"/>
  <c r="F22" i="6"/>
  <c r="F30" i="6"/>
  <c r="F11" i="6"/>
  <c r="F38" i="6"/>
  <c r="F15" i="6"/>
  <c r="F26" i="6"/>
  <c r="Y14" i="11"/>
  <c r="G46" i="11"/>
  <c r="D10" i="6"/>
  <c r="D12" i="6"/>
  <c r="D32" i="6"/>
  <c r="D42" i="6"/>
  <c r="D15" i="6"/>
  <c r="D14" i="6"/>
  <c r="D27" i="6"/>
  <c r="D22" i="6"/>
  <c r="G20" i="6"/>
  <c r="D26" i="6"/>
  <c r="D30" i="6"/>
  <c r="D13" i="6"/>
  <c r="D38" i="6"/>
  <c r="D46" i="6"/>
  <c r="D20" i="6"/>
  <c r="D11" i="6"/>
  <c r="C24" i="6"/>
  <c r="D39" i="6"/>
  <c r="G30" i="11"/>
  <c r="C32" i="11"/>
  <c r="J14" i="11"/>
  <c r="G18" i="11"/>
  <c r="D18" i="11"/>
  <c r="M16" i="6"/>
  <c r="M20" i="3"/>
  <c r="O16" i="3"/>
  <c r="Z10" i="11"/>
  <c r="AB13" i="6"/>
  <c r="AI10" i="11" s="1"/>
  <c r="AK15" i="11"/>
  <c r="AE19" i="6"/>
  <c r="J33" i="6"/>
  <c r="I33" i="6"/>
  <c r="H28" i="11"/>
  <c r="R17" i="11"/>
  <c r="E20" i="11"/>
  <c r="F10" i="11" s="1"/>
  <c r="K20" i="11"/>
  <c r="L18" i="11" s="1"/>
  <c r="O10" i="11"/>
  <c r="R10" i="11"/>
  <c r="AK18" i="11"/>
  <c r="AE21" i="6"/>
  <c r="AC16" i="6"/>
  <c r="Z13" i="11"/>
  <c r="AC13" i="11" s="1"/>
  <c r="AB16" i="6"/>
  <c r="AI13" i="11" s="1"/>
  <c r="Z13" i="3"/>
  <c r="X17" i="3"/>
  <c r="AA30" i="10"/>
  <c r="V40" i="7"/>
  <c r="V41" i="7" s="1"/>
  <c r="V42" i="7" s="1"/>
  <c r="J13" i="11"/>
  <c r="G42" i="11"/>
  <c r="AA30" i="8"/>
  <c r="U30" i="9"/>
  <c r="AA30" i="9" s="1"/>
  <c r="R26" i="11"/>
  <c r="M28" i="11"/>
  <c r="G11" i="11"/>
  <c r="D11" i="11"/>
  <c r="AE19" i="11"/>
  <c r="T23" i="6"/>
  <c r="F33" i="6"/>
  <c r="O15" i="11"/>
  <c r="J11" i="11"/>
  <c r="AB14" i="11"/>
  <c r="AK14" i="11"/>
  <c r="AE17" i="6"/>
  <c r="L30" i="6"/>
  <c r="L39" i="6"/>
  <c r="L20" i="6"/>
  <c r="L18" i="6"/>
  <c r="K24" i="6"/>
  <c r="L42" i="6"/>
  <c r="L15" i="6"/>
  <c r="L10" i="6"/>
  <c r="L14" i="6"/>
  <c r="L26" i="6"/>
  <c r="L32" i="6"/>
  <c r="L16" i="6"/>
  <c r="L22" i="6"/>
  <c r="L27" i="6"/>
  <c r="L13" i="6"/>
  <c r="L38" i="6"/>
  <c r="L46" i="6"/>
  <c r="L17" i="6"/>
  <c r="L11" i="6"/>
  <c r="O33" i="6"/>
  <c r="L33" i="6"/>
  <c r="J18" i="11"/>
  <c r="W7" i="9"/>
  <c r="AB7" i="9" s="1"/>
  <c r="P7" i="9"/>
  <c r="X42" i="7"/>
  <c r="AC14" i="6"/>
  <c r="Z11" i="11"/>
  <c r="AD11" i="11" s="1"/>
  <c r="AB14" i="6"/>
  <c r="AI11" i="11" s="1"/>
  <c r="E36" i="10"/>
  <c r="E59" i="7" s="1"/>
  <c r="O12" i="11"/>
  <c r="J30" i="11"/>
  <c r="H32" i="11"/>
  <c r="J26" i="11"/>
  <c r="E28" i="11"/>
  <c r="F19" i="11"/>
  <c r="J24" i="9"/>
  <c r="M34" i="6"/>
  <c r="R12" i="11"/>
  <c r="J19" i="11"/>
  <c r="J38" i="11"/>
  <c r="R38" i="11"/>
  <c r="AC22" i="11"/>
  <c r="I20" i="11"/>
  <c r="J22" i="11"/>
  <c r="AD13" i="11"/>
  <c r="R31" i="11"/>
  <c r="Q27" i="5"/>
  <c r="N34" i="3"/>
  <c r="AA19" i="9"/>
  <c r="X18" i="11"/>
  <c r="AG18" i="11"/>
  <c r="F41" i="9"/>
  <c r="J41" i="9"/>
  <c r="R15" i="11"/>
  <c r="Y15" i="11"/>
  <c r="Y18" i="11" s="1"/>
  <c r="Y23" i="11" s="1"/>
  <c r="G17" i="11"/>
  <c r="D17" i="11"/>
  <c r="T20" i="6"/>
  <c r="E34" i="6"/>
  <c r="F34" i="6" s="1"/>
  <c r="F28" i="6"/>
  <c r="R30" i="11"/>
  <c r="P32" i="11"/>
  <c r="R46" i="11"/>
  <c r="F30" i="11"/>
  <c r="E32" i="11"/>
  <c r="G26" i="11"/>
  <c r="D26" i="11"/>
  <c r="C28" i="11"/>
  <c r="AE21" i="11"/>
  <c r="AI22" i="11"/>
  <c r="C7" i="9"/>
  <c r="U7" i="8"/>
  <c r="X7" i="8" s="1"/>
  <c r="K7" i="8"/>
  <c r="Z25" i="3"/>
  <c r="AA25" i="3"/>
  <c r="Z9" i="11"/>
  <c r="AB11" i="6"/>
  <c r="AI9" i="11" s="1"/>
  <c r="AC11" i="6"/>
  <c r="AA17" i="4"/>
  <c r="Z17" i="6"/>
  <c r="T24" i="6"/>
  <c r="X21" i="10"/>
  <c r="Z21" i="10" s="1"/>
  <c r="G27" i="11"/>
  <c r="D27" i="11"/>
  <c r="O11" i="11"/>
  <c r="G14" i="11"/>
  <c r="J20" i="6"/>
  <c r="G15" i="11"/>
  <c r="D15" i="11"/>
  <c r="R13" i="11"/>
  <c r="G19" i="11"/>
  <c r="D19" i="11"/>
  <c r="M32" i="11"/>
  <c r="O16" i="11"/>
  <c r="L16" i="11"/>
  <c r="F17" i="11"/>
  <c r="R11" i="11"/>
  <c r="R16" i="6"/>
  <c r="P16" i="11"/>
  <c r="P20" i="6"/>
  <c r="H34" i="6"/>
  <c r="H36" i="6" s="1"/>
  <c r="Z19" i="11"/>
  <c r="AD19" i="11" s="1"/>
  <c r="AC23" i="6"/>
  <c r="AC25" i="6"/>
  <c r="AB25" i="6"/>
  <c r="AI20" i="11" s="1"/>
  <c r="AA11" i="3"/>
  <c r="Z11" i="3"/>
  <c r="AC15" i="6"/>
  <c r="Z12" i="11"/>
  <c r="AB15" i="6"/>
  <c r="AI12" i="11" s="1"/>
  <c r="G13" i="11"/>
  <c r="J15" i="11"/>
  <c r="X19" i="6"/>
  <c r="F31" i="11"/>
  <c r="L19" i="11"/>
  <c r="Z19" i="9"/>
  <c r="AC19" i="9"/>
  <c r="G39" i="11"/>
  <c r="D39" i="11"/>
  <c r="O17" i="11"/>
  <c r="AB27" i="6"/>
  <c r="AI21" i="11" s="1"/>
  <c r="Z21" i="11"/>
  <c r="AD21" i="11" s="1"/>
  <c r="AC27" i="6"/>
  <c r="O18" i="11"/>
  <c r="J27" i="11"/>
  <c r="J17" i="11"/>
  <c r="I17" i="11"/>
  <c r="H20" i="11"/>
  <c r="I12" i="11" s="1"/>
  <c r="J10" i="11"/>
  <c r="J39" i="11"/>
  <c r="I39" i="11"/>
  <c r="R39" i="11"/>
  <c r="M34" i="5"/>
  <c r="N34" i="5" s="1"/>
  <c r="G31" i="10"/>
  <c r="C32" i="10"/>
  <c r="W9" i="11"/>
  <c r="W15" i="11" s="1"/>
  <c r="W18" i="11" s="1"/>
  <c r="W23" i="11" s="1"/>
  <c r="AD23" i="11" s="1"/>
  <c r="W19" i="6"/>
  <c r="J42" i="11"/>
  <c r="I42" i="11"/>
  <c r="R22" i="11"/>
  <c r="O27" i="11"/>
  <c r="O14" i="11"/>
  <c r="AA27" i="3"/>
  <c r="Z27" i="3"/>
  <c r="R28" i="6"/>
  <c r="P34" i="6"/>
  <c r="J12" i="11"/>
  <c r="F27" i="11"/>
  <c r="AE9" i="11"/>
  <c r="AA15" i="11"/>
  <c r="R27" i="11"/>
  <c r="C20" i="11"/>
  <c r="D30" i="11" s="1"/>
  <c r="G10" i="11"/>
  <c r="G33" i="6"/>
  <c r="D33" i="6"/>
  <c r="G31" i="11"/>
  <c r="D31" i="11"/>
  <c r="G22" i="11"/>
  <c r="D22" i="11"/>
  <c r="O31" i="11"/>
  <c r="J36" i="9"/>
  <c r="E58" i="7"/>
  <c r="F36" i="9"/>
  <c r="D12" i="11"/>
  <c r="G12" i="11"/>
  <c r="O22" i="11"/>
  <c r="L22" i="11"/>
  <c r="Q26" i="5"/>
  <c r="Q28" i="10"/>
  <c r="Q42" i="10"/>
  <c r="U19" i="3"/>
  <c r="U21" i="3" s="1"/>
  <c r="G24" i="10"/>
  <c r="R34" i="10"/>
  <c r="Q34" i="10"/>
  <c r="P36" i="10"/>
  <c r="H41" i="10"/>
  <c r="H45" i="10"/>
  <c r="J45" i="10" s="1"/>
  <c r="J36" i="10"/>
  <c r="K32" i="10"/>
  <c r="O28" i="10"/>
  <c r="Z17" i="10"/>
  <c r="X30" i="10"/>
  <c r="AA21" i="10"/>
  <c r="K45" i="10"/>
  <c r="O45" i="10" s="1"/>
  <c r="O41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M45" i="10"/>
  <c r="M41" i="10"/>
  <c r="M43" i="10" s="1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Z30" i="10"/>
  <c r="E45" i="10"/>
  <c r="I45" i="10" s="1"/>
  <c r="I36" i="10"/>
  <c r="AA19" i="8"/>
  <c r="X21" i="8"/>
  <c r="X21" i="9" s="1"/>
  <c r="Z19" i="8"/>
  <c r="F41" i="8"/>
  <c r="E43" i="8"/>
  <c r="E43" i="9" s="1"/>
  <c r="J41" i="8"/>
  <c r="R36" i="8"/>
  <c r="M41" i="8"/>
  <c r="M41" i="9" s="1"/>
  <c r="N36" i="8"/>
  <c r="G36" i="8"/>
  <c r="C41" i="8"/>
  <c r="AC30" i="8"/>
  <c r="O36" i="8"/>
  <c r="K41" i="8"/>
  <c r="R34" i="7"/>
  <c r="Q34" i="7"/>
  <c r="Y30" i="7"/>
  <c r="AB21" i="7"/>
  <c r="D34" i="7"/>
  <c r="G34" i="7"/>
  <c r="E36" i="7"/>
  <c r="F24" i="7"/>
  <c r="Z30" i="7"/>
  <c r="AD30" i="7" s="1"/>
  <c r="AD21" i="7"/>
  <c r="J34" i="7"/>
  <c r="I34" i="7"/>
  <c r="M36" i="7"/>
  <c r="N24" i="7"/>
  <c r="R24" i="7"/>
  <c r="P36" i="7"/>
  <c r="Q24" i="7"/>
  <c r="C36" i="7"/>
  <c r="D24" i="7"/>
  <c r="G24" i="7"/>
  <c r="J24" i="7"/>
  <c r="H36" i="7"/>
  <c r="I24" i="7"/>
  <c r="K36" i="7"/>
  <c r="L24" i="7"/>
  <c r="O24" i="7"/>
  <c r="L34" i="7"/>
  <c r="O34" i="7"/>
  <c r="C36" i="6"/>
  <c r="O34" i="6"/>
  <c r="L34" i="6"/>
  <c r="K36" i="6"/>
  <c r="G34" i="6"/>
  <c r="D34" i="6"/>
  <c r="R24" i="5"/>
  <c r="Q24" i="5"/>
  <c r="P36" i="5"/>
  <c r="L34" i="5"/>
  <c r="N24" i="5"/>
  <c r="K36" i="5"/>
  <c r="O24" i="5"/>
  <c r="L24" i="5"/>
  <c r="J34" i="5"/>
  <c r="I34" i="5"/>
  <c r="E36" i="5"/>
  <c r="C36" i="5"/>
  <c r="G24" i="5"/>
  <c r="D24" i="5"/>
  <c r="Q34" i="5"/>
  <c r="D34" i="5"/>
  <c r="G34" i="5"/>
  <c r="J24" i="5"/>
  <c r="I24" i="5"/>
  <c r="H36" i="5"/>
  <c r="D24" i="4"/>
  <c r="C36" i="4"/>
  <c r="G24" i="4"/>
  <c r="J34" i="4"/>
  <c r="I34" i="4"/>
  <c r="H36" i="4"/>
  <c r="J24" i="4"/>
  <c r="I24" i="4"/>
  <c r="F24" i="4"/>
  <c r="E36" i="4"/>
  <c r="O34" i="4"/>
  <c r="L34" i="4"/>
  <c r="R34" i="4"/>
  <c r="Q34" i="4"/>
  <c r="Y30" i="4"/>
  <c r="AC21" i="4"/>
  <c r="AA19" i="4"/>
  <c r="X21" i="4"/>
  <c r="Z21" i="6" s="1"/>
  <c r="AC21" i="6" s="1"/>
  <c r="G34" i="4"/>
  <c r="D34" i="4"/>
  <c r="P36" i="4"/>
  <c r="R24" i="4"/>
  <c r="Q24" i="4"/>
  <c r="N24" i="4"/>
  <c r="M36" i="4"/>
  <c r="L24" i="4"/>
  <c r="K36" i="4"/>
  <c r="O24" i="4"/>
  <c r="D24" i="3"/>
  <c r="C36" i="3"/>
  <c r="G24" i="3"/>
  <c r="O34" i="3"/>
  <c r="L34" i="3"/>
  <c r="J34" i="3"/>
  <c r="I34" i="3"/>
  <c r="G34" i="3"/>
  <c r="D34" i="3"/>
  <c r="P36" i="3"/>
  <c r="Q24" i="3"/>
  <c r="L24" i="3"/>
  <c r="K36" i="3"/>
  <c r="H36" i="3"/>
  <c r="J24" i="3"/>
  <c r="I24" i="3"/>
  <c r="R34" i="3"/>
  <c r="Q34" i="3"/>
  <c r="AC30" i="3"/>
  <c r="F24" i="3"/>
  <c r="E36" i="3"/>
  <c r="AC23" i="11" l="1"/>
  <c r="J36" i="6"/>
  <c r="I36" i="6"/>
  <c r="H41" i="6"/>
  <c r="O26" i="11"/>
  <c r="L26" i="11"/>
  <c r="K28" i="11"/>
  <c r="L31" i="11"/>
  <c r="D10" i="11"/>
  <c r="F11" i="11"/>
  <c r="L14" i="11"/>
  <c r="F13" i="11"/>
  <c r="I27" i="11"/>
  <c r="I15" i="11"/>
  <c r="Q16" i="6"/>
  <c r="Q14" i="6"/>
  <c r="Q12" i="6"/>
  <c r="Q10" i="6"/>
  <c r="Q26" i="6"/>
  <c r="Q39" i="6"/>
  <c r="Q20" i="6"/>
  <c r="Q38" i="6"/>
  <c r="P24" i="6"/>
  <c r="Q33" i="6"/>
  <c r="Q30" i="6"/>
  <c r="Q22" i="6"/>
  <c r="Q18" i="6"/>
  <c r="Q11" i="6"/>
  <c r="Q15" i="6"/>
  <c r="Q13" i="6"/>
  <c r="Q32" i="6"/>
  <c r="Q28" i="6"/>
  <c r="Q46" i="6"/>
  <c r="Q27" i="6"/>
  <c r="Q17" i="6"/>
  <c r="Q42" i="6"/>
  <c r="R20" i="6"/>
  <c r="D14" i="11"/>
  <c r="G28" i="11"/>
  <c r="D28" i="11"/>
  <c r="C34" i="11"/>
  <c r="I38" i="11"/>
  <c r="L12" i="11"/>
  <c r="I18" i="11"/>
  <c r="AB21" i="6"/>
  <c r="AI18" i="11" s="1"/>
  <c r="AC11" i="11"/>
  <c r="X30" i="9"/>
  <c r="Z30" i="9" s="1"/>
  <c r="AA21" i="9"/>
  <c r="AA20" i="11" s="1"/>
  <c r="AE20" i="11" s="1"/>
  <c r="X20" i="11"/>
  <c r="AG20" i="11"/>
  <c r="R16" i="11"/>
  <c r="Q16" i="11"/>
  <c r="Z19" i="6"/>
  <c r="Z14" i="11"/>
  <c r="AD14" i="11" s="1"/>
  <c r="AC17" i="6"/>
  <c r="AA17" i="3"/>
  <c r="Z17" i="3"/>
  <c r="F16" i="11"/>
  <c r="F20" i="11"/>
  <c r="F18" i="11"/>
  <c r="F46" i="11"/>
  <c r="F42" i="11"/>
  <c r="F26" i="11"/>
  <c r="E24" i="11"/>
  <c r="F15" i="11"/>
  <c r="F22" i="11"/>
  <c r="N38" i="3"/>
  <c r="N13" i="3"/>
  <c r="N17" i="3"/>
  <c r="N27" i="3"/>
  <c r="N39" i="3"/>
  <c r="N12" i="3"/>
  <c r="N30" i="3"/>
  <c r="N19" i="3"/>
  <c r="N42" i="3"/>
  <c r="N46" i="3"/>
  <c r="N15" i="3"/>
  <c r="N11" i="3"/>
  <c r="N31" i="3"/>
  <c r="N22" i="3"/>
  <c r="N26" i="3"/>
  <c r="N18" i="3"/>
  <c r="O20" i="3"/>
  <c r="N10" i="3"/>
  <c r="N28" i="3"/>
  <c r="M24" i="3"/>
  <c r="N32" i="3"/>
  <c r="N14" i="3"/>
  <c r="R20" i="3"/>
  <c r="N20" i="3"/>
  <c r="G32" i="11"/>
  <c r="D32" i="11"/>
  <c r="C24" i="11"/>
  <c r="G20" i="11"/>
  <c r="D20" i="11"/>
  <c r="F12" i="11"/>
  <c r="L27" i="11"/>
  <c r="D13" i="11"/>
  <c r="L11" i="11"/>
  <c r="R32" i="11"/>
  <c r="Q32" i="11"/>
  <c r="I22" i="11"/>
  <c r="E34" i="11"/>
  <c r="F34" i="11" s="1"/>
  <c r="F28" i="11"/>
  <c r="AC14" i="11"/>
  <c r="D42" i="11"/>
  <c r="N16" i="3"/>
  <c r="X23" i="11"/>
  <c r="AE23" i="11" s="1"/>
  <c r="O34" i="5"/>
  <c r="N41" i="9"/>
  <c r="R41" i="9"/>
  <c r="E41" i="10"/>
  <c r="G32" i="10"/>
  <c r="C34" i="10"/>
  <c r="AB24" i="11"/>
  <c r="L24" i="6"/>
  <c r="AB17" i="6"/>
  <c r="AI14" i="11" s="1"/>
  <c r="AC19" i="11"/>
  <c r="P20" i="11"/>
  <c r="M16" i="11"/>
  <c r="M20" i="6"/>
  <c r="F24" i="6"/>
  <c r="T12" i="6"/>
  <c r="E36" i="6"/>
  <c r="L13" i="11"/>
  <c r="U30" i="3"/>
  <c r="AA30" i="3" s="1"/>
  <c r="W21" i="6"/>
  <c r="W30" i="6" s="1"/>
  <c r="R34" i="6"/>
  <c r="Q34" i="6"/>
  <c r="I10" i="11"/>
  <c r="AK23" i="11"/>
  <c r="U7" i="9"/>
  <c r="X7" i="9" s="1"/>
  <c r="K7" i="9"/>
  <c r="M36" i="5"/>
  <c r="I30" i="11"/>
  <c r="F38" i="11"/>
  <c r="L10" i="11"/>
  <c r="G24" i="6"/>
  <c r="D24" i="6"/>
  <c r="AE15" i="11"/>
  <c r="AA18" i="11"/>
  <c r="I16" i="11"/>
  <c r="H24" i="11"/>
  <c r="I31" i="11"/>
  <c r="J20" i="11"/>
  <c r="AC12" i="11"/>
  <c r="AD12" i="11"/>
  <c r="F32" i="11"/>
  <c r="N34" i="6"/>
  <c r="J32" i="11"/>
  <c r="I32" i="11"/>
  <c r="I11" i="11"/>
  <c r="I13" i="11"/>
  <c r="J28" i="11"/>
  <c r="I28" i="11"/>
  <c r="H34" i="11"/>
  <c r="D46" i="11"/>
  <c r="R28" i="11"/>
  <c r="Q28" i="11"/>
  <c r="P34" i="11"/>
  <c r="J43" i="9"/>
  <c r="E64" i="7"/>
  <c r="F43" i="9"/>
  <c r="M34" i="11"/>
  <c r="K24" i="11"/>
  <c r="L20" i="11"/>
  <c r="I26" i="11"/>
  <c r="AD10" i="11"/>
  <c r="AC10" i="11"/>
  <c r="I14" i="11"/>
  <c r="I46" i="11"/>
  <c r="AB18" i="11"/>
  <c r="Z21" i="9"/>
  <c r="Z20" i="11" s="1"/>
  <c r="R34" i="5"/>
  <c r="L17" i="11"/>
  <c r="X21" i="6"/>
  <c r="AH15" i="11"/>
  <c r="X19" i="3"/>
  <c r="J34" i="6"/>
  <c r="I34" i="6"/>
  <c r="AD9" i="11"/>
  <c r="Z15" i="11"/>
  <c r="AC21" i="11"/>
  <c r="F39" i="11"/>
  <c r="L15" i="11"/>
  <c r="F14" i="11"/>
  <c r="J24" i="6"/>
  <c r="AC30" i="9"/>
  <c r="O32" i="10"/>
  <c r="K38" i="10"/>
  <c r="K38" i="11" s="1"/>
  <c r="E43" i="10"/>
  <c r="I41" i="10"/>
  <c r="K30" i="10"/>
  <c r="K30" i="11" s="1"/>
  <c r="O26" i="10"/>
  <c r="H43" i="10"/>
  <c r="J43" i="10" s="1"/>
  <c r="J41" i="10"/>
  <c r="Q36" i="10"/>
  <c r="P41" i="10"/>
  <c r="P45" i="10"/>
  <c r="R36" i="10"/>
  <c r="R41" i="8"/>
  <c r="N41" i="8"/>
  <c r="M43" i="8"/>
  <c r="M43" i="9" s="1"/>
  <c r="O41" i="8"/>
  <c r="K43" i="8"/>
  <c r="F43" i="8"/>
  <c r="J43" i="8"/>
  <c r="G41" i="8"/>
  <c r="C43" i="8"/>
  <c r="G43" i="8" s="1"/>
  <c r="AA21" i="8"/>
  <c r="X30" i="8"/>
  <c r="Z30" i="8" s="1"/>
  <c r="Z21" i="8"/>
  <c r="D36" i="7"/>
  <c r="C41" i="7"/>
  <c r="C57" i="7"/>
  <c r="G36" i="7"/>
  <c r="L36" i="7"/>
  <c r="K41" i="7"/>
  <c r="N57" i="7"/>
  <c r="N60" i="7" s="1"/>
  <c r="O36" i="7"/>
  <c r="R36" i="7"/>
  <c r="Q36" i="7"/>
  <c r="P41" i="7"/>
  <c r="M41" i="7"/>
  <c r="R57" i="7"/>
  <c r="R60" i="7" s="1"/>
  <c r="N36" i="7"/>
  <c r="E41" i="7"/>
  <c r="E57" i="7"/>
  <c r="E60" i="7" s="1"/>
  <c r="E61" i="7" s="1"/>
  <c r="F36" i="7"/>
  <c r="J36" i="7"/>
  <c r="I36" i="7"/>
  <c r="H41" i="7"/>
  <c r="K41" i="6"/>
  <c r="L36" i="6"/>
  <c r="I41" i="6"/>
  <c r="H43" i="6"/>
  <c r="C41" i="6"/>
  <c r="G36" i="6"/>
  <c r="D36" i="6"/>
  <c r="R36" i="5"/>
  <c r="Q36" i="5"/>
  <c r="P41" i="5"/>
  <c r="J36" i="5"/>
  <c r="I36" i="5"/>
  <c r="H41" i="5"/>
  <c r="K41" i="5"/>
  <c r="O36" i="5"/>
  <c r="L36" i="5"/>
  <c r="C41" i="5"/>
  <c r="G36" i="5"/>
  <c r="D36" i="5"/>
  <c r="E41" i="5"/>
  <c r="E43" i="5" s="1"/>
  <c r="AC30" i="4"/>
  <c r="J36" i="4"/>
  <c r="I36" i="4"/>
  <c r="H41" i="4"/>
  <c r="O36" i="4"/>
  <c r="L36" i="4"/>
  <c r="K41" i="4"/>
  <c r="X30" i="4"/>
  <c r="AA21" i="4"/>
  <c r="R36" i="4"/>
  <c r="Q36" i="4"/>
  <c r="P41" i="4"/>
  <c r="N36" i="4"/>
  <c r="M41" i="4"/>
  <c r="F36" i="4"/>
  <c r="E41" i="4"/>
  <c r="G36" i="4"/>
  <c r="D36" i="4"/>
  <c r="C41" i="4"/>
  <c r="Z21" i="4"/>
  <c r="F36" i="3"/>
  <c r="E41" i="3"/>
  <c r="Q36" i="3"/>
  <c r="P41" i="3"/>
  <c r="G36" i="3"/>
  <c r="C41" i="3"/>
  <c r="D36" i="3"/>
  <c r="J36" i="3"/>
  <c r="I36" i="3"/>
  <c r="H41" i="3"/>
  <c r="K41" i="3"/>
  <c r="L36" i="3"/>
  <c r="H45" i="6" l="1"/>
  <c r="K45" i="6"/>
  <c r="C45" i="6"/>
  <c r="E45" i="6"/>
  <c r="P45" i="6"/>
  <c r="N45" i="5"/>
  <c r="J34" i="11"/>
  <c r="I34" i="11"/>
  <c r="T25" i="6"/>
  <c r="F36" i="6"/>
  <c r="E41" i="6"/>
  <c r="O24" i="3"/>
  <c r="R24" i="3"/>
  <c r="N24" i="3"/>
  <c r="M36" i="3"/>
  <c r="P36" i="6"/>
  <c r="R24" i="6"/>
  <c r="Q24" i="6"/>
  <c r="O28" i="11"/>
  <c r="L28" i="11"/>
  <c r="N34" i="11"/>
  <c r="O30" i="11"/>
  <c r="K32" i="11"/>
  <c r="L30" i="11"/>
  <c r="X30" i="6"/>
  <c r="AH18" i="11"/>
  <c r="D24" i="11"/>
  <c r="G24" i="11"/>
  <c r="C36" i="11"/>
  <c r="AC19" i="6"/>
  <c r="AB19" i="6"/>
  <c r="AI15" i="11" s="1"/>
  <c r="I43" i="10"/>
  <c r="E65" i="7"/>
  <c r="AD15" i="11"/>
  <c r="Z18" i="11"/>
  <c r="N14" i="6"/>
  <c r="N26" i="6"/>
  <c r="N11" i="6"/>
  <c r="N39" i="6"/>
  <c r="M24" i="6"/>
  <c r="N15" i="6"/>
  <c r="N18" i="6"/>
  <c r="N32" i="6"/>
  <c r="N12" i="6"/>
  <c r="N27" i="6"/>
  <c r="N30" i="6"/>
  <c r="N10" i="6"/>
  <c r="N38" i="6"/>
  <c r="N17" i="6"/>
  <c r="N20" i="6"/>
  <c r="N13" i="6"/>
  <c r="N22" i="6"/>
  <c r="N46" i="6"/>
  <c r="N42" i="6"/>
  <c r="N28" i="6"/>
  <c r="N33" i="6"/>
  <c r="O20" i="6"/>
  <c r="Z30" i="4"/>
  <c r="Z30" i="6"/>
  <c r="T28" i="6"/>
  <c r="O38" i="11"/>
  <c r="L38" i="11"/>
  <c r="AD20" i="11"/>
  <c r="AC20" i="11"/>
  <c r="R34" i="11"/>
  <c r="Q34" i="11"/>
  <c r="N16" i="6"/>
  <c r="G34" i="10"/>
  <c r="C36" i="10"/>
  <c r="R43" i="9"/>
  <c r="N43" i="9"/>
  <c r="AA19" i="3"/>
  <c r="Z19" i="3"/>
  <c r="X21" i="3"/>
  <c r="AA23" i="11"/>
  <c r="AE18" i="11"/>
  <c r="AB23" i="11"/>
  <c r="AC18" i="11"/>
  <c r="H36" i="11"/>
  <c r="J24" i="11"/>
  <c r="I24" i="11"/>
  <c r="AC30" i="6"/>
  <c r="W24" i="11"/>
  <c r="N16" i="11"/>
  <c r="M20" i="11"/>
  <c r="G34" i="11"/>
  <c r="D34" i="11"/>
  <c r="AC15" i="11"/>
  <c r="L24" i="11"/>
  <c r="N36" i="5"/>
  <c r="M41" i="5"/>
  <c r="Q20" i="11"/>
  <c r="Q14" i="11"/>
  <c r="P24" i="11"/>
  <c r="Q18" i="11"/>
  <c r="Q31" i="11"/>
  <c r="Q46" i="11"/>
  <c r="Q12" i="11"/>
  <c r="Q39" i="11"/>
  <c r="Q38" i="11"/>
  <c r="Q26" i="11"/>
  <c r="Q15" i="11"/>
  <c r="Q19" i="11"/>
  <c r="Q22" i="11"/>
  <c r="Q13" i="11"/>
  <c r="Q11" i="11"/>
  <c r="Q27" i="11"/>
  <c r="Q30" i="11"/>
  <c r="Q17" i="11"/>
  <c r="Q10" i="11"/>
  <c r="Q42" i="11"/>
  <c r="E36" i="11"/>
  <c r="F24" i="11"/>
  <c r="O38" i="10"/>
  <c r="K42" i="10"/>
  <c r="K42" i="11" s="1"/>
  <c r="K34" i="10"/>
  <c r="O30" i="10"/>
  <c r="R45" i="10"/>
  <c r="Q45" i="10"/>
  <c r="P43" i="10"/>
  <c r="R41" i="10"/>
  <c r="Q41" i="10"/>
  <c r="K45" i="8"/>
  <c r="O45" i="8" s="1"/>
  <c r="O43" i="8"/>
  <c r="R43" i="8"/>
  <c r="N43" i="8"/>
  <c r="F45" i="7"/>
  <c r="N45" i="7"/>
  <c r="O45" i="7"/>
  <c r="L45" i="7"/>
  <c r="R45" i="7"/>
  <c r="Q45" i="7"/>
  <c r="J45" i="7"/>
  <c r="I45" i="7"/>
  <c r="G45" i="7"/>
  <c r="D45" i="7"/>
  <c r="H43" i="7"/>
  <c r="J41" i="7"/>
  <c r="I41" i="7"/>
  <c r="M43" i="7"/>
  <c r="N43" i="7" s="1"/>
  <c r="N41" i="7"/>
  <c r="L41" i="7"/>
  <c r="K43" i="7"/>
  <c r="O41" i="7"/>
  <c r="P43" i="7"/>
  <c r="R41" i="7"/>
  <c r="Q41" i="7"/>
  <c r="D41" i="7"/>
  <c r="C43" i="7"/>
  <c r="G41" i="7"/>
  <c r="E43" i="7"/>
  <c r="F41" i="7"/>
  <c r="C43" i="6"/>
  <c r="G41" i="6"/>
  <c r="D41" i="6"/>
  <c r="I43" i="6"/>
  <c r="K43" i="6"/>
  <c r="L41" i="6"/>
  <c r="D45" i="5"/>
  <c r="G45" i="5"/>
  <c r="R45" i="5"/>
  <c r="Q45" i="5"/>
  <c r="L45" i="5"/>
  <c r="O45" i="5"/>
  <c r="H43" i="5"/>
  <c r="J41" i="5"/>
  <c r="I41" i="5"/>
  <c r="I42" i="5" s="1"/>
  <c r="D41" i="5"/>
  <c r="C43" i="5"/>
  <c r="G41" i="5"/>
  <c r="P43" i="5"/>
  <c r="R41" i="5"/>
  <c r="Q41" i="5"/>
  <c r="L41" i="5"/>
  <c r="K43" i="5"/>
  <c r="O41" i="5"/>
  <c r="O45" i="4"/>
  <c r="L45" i="4"/>
  <c r="G45" i="4"/>
  <c r="D45" i="4"/>
  <c r="F45" i="4"/>
  <c r="R45" i="4"/>
  <c r="Q45" i="4"/>
  <c r="N45" i="4"/>
  <c r="R41" i="4"/>
  <c r="Q41" i="4"/>
  <c r="P43" i="4"/>
  <c r="F41" i="4"/>
  <c r="E43" i="4"/>
  <c r="F43" i="4" s="1"/>
  <c r="J41" i="4"/>
  <c r="I41" i="4"/>
  <c r="H43" i="4"/>
  <c r="G41" i="4"/>
  <c r="D41" i="4"/>
  <c r="C43" i="4"/>
  <c r="N41" i="4"/>
  <c r="M43" i="4"/>
  <c r="N43" i="4" s="1"/>
  <c r="O41" i="4"/>
  <c r="L41" i="4"/>
  <c r="K43" i="4"/>
  <c r="J45" i="3"/>
  <c r="I45" i="3"/>
  <c r="L45" i="3"/>
  <c r="G45" i="3"/>
  <c r="D45" i="3"/>
  <c r="F45" i="3"/>
  <c r="Q45" i="3"/>
  <c r="F41" i="3"/>
  <c r="E43" i="3"/>
  <c r="F43" i="3" s="1"/>
  <c r="J41" i="3"/>
  <c r="I41" i="3"/>
  <c r="H43" i="3"/>
  <c r="G41" i="3"/>
  <c r="D41" i="3"/>
  <c r="C43" i="3"/>
  <c r="K43" i="3"/>
  <c r="L41" i="3"/>
  <c r="Q41" i="3"/>
  <c r="P43" i="3"/>
  <c r="M45" i="6" l="1"/>
  <c r="O45" i="3"/>
  <c r="N45" i="3"/>
  <c r="R45" i="3"/>
  <c r="O32" i="11"/>
  <c r="L32" i="11"/>
  <c r="Q36" i="6"/>
  <c r="P41" i="6"/>
  <c r="O42" i="11"/>
  <c r="L42" i="11"/>
  <c r="N41" i="5"/>
  <c r="M43" i="5"/>
  <c r="N43" i="5" s="1"/>
  <c r="N31" i="11"/>
  <c r="N14" i="11"/>
  <c r="N20" i="11"/>
  <c r="M24" i="11"/>
  <c r="N27" i="11"/>
  <c r="N46" i="11"/>
  <c r="N15" i="11"/>
  <c r="N17" i="11"/>
  <c r="N42" i="11"/>
  <c r="N39" i="11"/>
  <c r="N30" i="11"/>
  <c r="N22" i="11"/>
  <c r="N19" i="11"/>
  <c r="N13" i="11"/>
  <c r="N10" i="11"/>
  <c r="N12" i="11"/>
  <c r="N11" i="11"/>
  <c r="N26" i="11"/>
  <c r="N18" i="11"/>
  <c r="N38" i="11"/>
  <c r="O20" i="11"/>
  <c r="N32" i="11"/>
  <c r="N28" i="11"/>
  <c r="C59" i="7"/>
  <c r="C60" i="7" s="1"/>
  <c r="C61" i="7" s="1"/>
  <c r="G36" i="10"/>
  <c r="C41" i="10"/>
  <c r="C45" i="10"/>
  <c r="G45" i="10" s="1"/>
  <c r="N36" i="3"/>
  <c r="M41" i="3"/>
  <c r="R36" i="3"/>
  <c r="O36" i="3"/>
  <c r="G36" i="11"/>
  <c r="C41" i="11"/>
  <c r="D36" i="11"/>
  <c r="F36" i="11"/>
  <c r="E41" i="11"/>
  <c r="AB30" i="6"/>
  <c r="Z24" i="11"/>
  <c r="Z23" i="11"/>
  <c r="AD18" i="11"/>
  <c r="K34" i="11"/>
  <c r="R45" i="6"/>
  <c r="P45" i="11"/>
  <c r="Q45" i="6"/>
  <c r="Z21" i="3"/>
  <c r="X30" i="3"/>
  <c r="Z30" i="3" s="1"/>
  <c r="AA21" i="3"/>
  <c r="E45" i="11"/>
  <c r="F45" i="11" s="1"/>
  <c r="F45" i="6"/>
  <c r="R20" i="11"/>
  <c r="F41" i="6"/>
  <c r="E43" i="6"/>
  <c r="J41" i="6"/>
  <c r="T31" i="6"/>
  <c r="G45" i="6"/>
  <c r="D45" i="6"/>
  <c r="P36" i="11"/>
  <c r="Q24" i="11"/>
  <c r="M36" i="6"/>
  <c r="R36" i="6" s="1"/>
  <c r="N24" i="6"/>
  <c r="O24" i="6"/>
  <c r="AH23" i="11"/>
  <c r="Y24" i="11"/>
  <c r="O45" i="6"/>
  <c r="K45" i="11"/>
  <c r="L45" i="6"/>
  <c r="J36" i="11"/>
  <c r="I36" i="11"/>
  <c r="H41" i="11"/>
  <c r="J45" i="6"/>
  <c r="H45" i="11"/>
  <c r="I45" i="6"/>
  <c r="K39" i="10"/>
  <c r="K39" i="11" s="1"/>
  <c r="O34" i="10"/>
  <c r="O42" i="10"/>
  <c r="K46" i="10"/>
  <c r="R43" i="10"/>
  <c r="Q43" i="10"/>
  <c r="R43" i="7"/>
  <c r="Q43" i="7"/>
  <c r="G43" i="7"/>
  <c r="C63" i="7"/>
  <c r="D43" i="7"/>
  <c r="J43" i="7"/>
  <c r="I43" i="7"/>
  <c r="E63" i="7"/>
  <c r="F43" i="7"/>
  <c r="O43" i="7"/>
  <c r="L43" i="7"/>
  <c r="L43" i="6"/>
  <c r="G43" i="6"/>
  <c r="D43" i="6"/>
  <c r="T30" i="6"/>
  <c r="J43" i="5"/>
  <c r="I43" i="5"/>
  <c r="R43" i="5"/>
  <c r="Q43" i="5"/>
  <c r="G43" i="5"/>
  <c r="D43" i="5"/>
  <c r="O43" i="5"/>
  <c r="L43" i="5"/>
  <c r="J43" i="4"/>
  <c r="I43" i="4"/>
  <c r="O43" i="4"/>
  <c r="L43" i="4"/>
  <c r="G43" i="4"/>
  <c r="D43" i="4"/>
  <c r="R43" i="4"/>
  <c r="Q43" i="4"/>
  <c r="Q43" i="3"/>
  <c r="G43" i="3"/>
  <c r="D43" i="3"/>
  <c r="J43" i="3"/>
  <c r="I43" i="3"/>
  <c r="L43" i="3"/>
  <c r="L45" i="11" l="1"/>
  <c r="Q36" i="11"/>
  <c r="G41" i="10"/>
  <c r="C43" i="10"/>
  <c r="Q45" i="11"/>
  <c r="O34" i="11"/>
  <c r="L34" i="11"/>
  <c r="K36" i="11"/>
  <c r="D41" i="11"/>
  <c r="C43" i="11"/>
  <c r="J45" i="11"/>
  <c r="I45" i="11"/>
  <c r="O46" i="10"/>
  <c r="K46" i="11"/>
  <c r="C45" i="11"/>
  <c r="I41" i="11"/>
  <c r="H43" i="11"/>
  <c r="J41" i="11"/>
  <c r="AC24" i="11"/>
  <c r="AI23" i="11"/>
  <c r="O41" i="3"/>
  <c r="R41" i="3"/>
  <c r="N41" i="3"/>
  <c r="M43" i="3"/>
  <c r="O39" i="11"/>
  <c r="L39" i="11"/>
  <c r="N36" i="6"/>
  <c r="M41" i="6"/>
  <c r="O36" i="6"/>
  <c r="J43" i="6"/>
  <c r="F43" i="6"/>
  <c r="G41" i="11"/>
  <c r="F41" i="11"/>
  <c r="E43" i="11"/>
  <c r="F43" i="11" s="1"/>
  <c r="R24" i="11"/>
  <c r="M36" i="11"/>
  <c r="N36" i="11" s="1"/>
  <c r="N24" i="11"/>
  <c r="O24" i="11"/>
  <c r="P41" i="11"/>
  <c r="Q41" i="6"/>
  <c r="P43" i="6"/>
  <c r="M45" i="11"/>
  <c r="N45" i="11" s="1"/>
  <c r="N45" i="6"/>
  <c r="O39" i="10"/>
  <c r="K43" i="10"/>
  <c r="O43" i="10" s="1"/>
  <c r="E68" i="7"/>
  <c r="K63" i="7"/>
  <c r="E66" i="7"/>
  <c r="J45" i="5"/>
  <c r="I45" i="5"/>
  <c r="J45" i="4"/>
  <c r="I45" i="4"/>
  <c r="M41" i="11" l="1"/>
  <c r="N41" i="6"/>
  <c r="M43" i="6"/>
  <c r="R43" i="6" s="1"/>
  <c r="O41" i="6"/>
  <c r="R45" i="11"/>
  <c r="G43" i="10"/>
  <c r="C65" i="7"/>
  <c r="Q43" i="6"/>
  <c r="D43" i="11"/>
  <c r="G43" i="11"/>
  <c r="R41" i="6"/>
  <c r="I43" i="11"/>
  <c r="J43" i="11"/>
  <c r="R36" i="11"/>
  <c r="N43" i="3"/>
  <c r="R43" i="3"/>
  <c r="O43" i="3"/>
  <c r="L36" i="11"/>
  <c r="K41" i="11"/>
  <c r="O36" i="11"/>
  <c r="R41" i="11"/>
  <c r="Q41" i="11"/>
  <c r="P43" i="11"/>
  <c r="G45" i="11"/>
  <c r="D45" i="11"/>
  <c r="O46" i="11"/>
  <c r="L46" i="11"/>
  <c r="O45" i="11"/>
  <c r="C66" i="7" l="1"/>
  <c r="C68" i="7"/>
  <c r="F68" i="7" s="1"/>
  <c r="K43" i="11"/>
  <c r="L41" i="11"/>
  <c r="O41" i="11"/>
  <c r="N43" i="6"/>
  <c r="O43" i="6"/>
  <c r="Q43" i="11"/>
  <c r="M43" i="11"/>
  <c r="N43" i="11" s="1"/>
  <c r="N41" i="11"/>
  <c r="O43" i="11" l="1"/>
  <c r="L43" i="11"/>
  <c r="R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88AF2384-27BD-4DFA-B368-DC07A469F82B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<sst xmlns="http://schemas.openxmlformats.org/spreadsheetml/2006/main" count="1464" uniqueCount="593">
  <si>
    <t>Periodo ant</t>
  </si>
  <si>
    <t>Periodo Actual</t>
  </si>
  <si>
    <t>MES INIC</t>
  </si>
  <si>
    <t>MES FIN</t>
  </si>
  <si>
    <t>AÑO</t>
  </si>
  <si>
    <t>TRM</t>
  </si>
  <si>
    <t>ENERO</t>
  </si>
  <si>
    <t>SEPTIEMBRE</t>
  </si>
  <si>
    <t>PPTO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</si>
  <si>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</si>
  <si>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</si>
  <si>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</si>
  <si>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</si>
  <si>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</si>
  <si>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</si>
  <si>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</si>
  <si>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</si>
  <si>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</si>
  <si>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</si>
  <si>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</si>
  <si>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</si>
  <si>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</si>
  <si>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</si>
  <si>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</si>
  <si>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</si>
  <si>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</si>
  <si>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</si>
  <si>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</si>
  <si>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</si>
  <si>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</si>
  <si>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</si>
  <si>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</si>
  <si>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</si>
  <si>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</si>
  <si>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</si>
  <si>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</si>
  <si>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</si>
  <si>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</si>
  <si>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</si>
  <si>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</si>
  <si>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</si>
  <si>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</si>
  <si>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</si>
  <si>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</si>
  <si>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</si>
  <si>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</si>
  <si>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</si>
  <si>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</si>
  <si>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</si>
  <si>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</si>
  <si>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</si>
  <si>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</si>
  <si>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</si>
  <si>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</si>
  <si>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</si>
  <si>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</si>
  <si>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</si>
  <si>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</si>
  <si>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</si>
  <si>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</si>
  <si>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</si>
  <si>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</si>
  <si>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</si>
  <si>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</si>
  <si>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</si>
  <si>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</si>
  <si>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</si>
  <si>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</si>
  <si>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</si>
  <si>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</si>
  <si>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</si>
  <si>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</si>
  <si>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</si>
  <si>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</si>
  <si>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</si>
  <si>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</si>
  <si>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4155951500,4155951600,</t>
  </si>
  <si>
    <t>Visual Experience</t>
  </si>
  <si>
    <t>4155951800,4155952000,4135950600,4135950700</t>
  </si>
  <si>
    <t>Olfa Experience</t>
  </si>
  <si>
    <t>4170252500</t>
  </si>
  <si>
    <t>Locutor virtual</t>
  </si>
  <si>
    <t>OK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</si>
  <si>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</si>
  <si>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</si>
  <si>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</si>
  <si>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</si>
  <si>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</si>
  <si>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</si>
  <si>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</si>
  <si>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</si>
  <si>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</si>
  <si>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</si>
  <si>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</si>
  <si>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</si>
  <si>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</si>
  <si>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</si>
  <si>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</si>
  <si>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</si>
  <si>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</si>
  <si>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</si>
  <si>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</si>
  <si>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</si>
  <si>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</si>
  <si>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</si>
  <si>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</si>
  <si>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2025</t>
  </si>
  <si>
    <t>Real 2024</t>
  </si>
  <si>
    <t>real 2025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</si>
  <si>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</si>
  <si>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</si>
  <si>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</si>
  <si>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</si>
  <si>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</si>
  <si>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</si>
  <si>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</si>
  <si>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</si>
  <si>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</si>
  <si>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</si>
  <si>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</si>
  <si>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</si>
  <si>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</si>
  <si>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</si>
  <si>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</si>
  <si>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</si>
  <si>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</si>
  <si>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</si>
  <si>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</si>
  <si>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</si>
  <si>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</si>
  <si>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</si>
  <si>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</si>
  <si>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</si>
  <si>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2025</t>
  </si>
  <si>
    <t>Dólar implicito tomado dolar today</t>
  </si>
  <si>
    <t>TRM 2024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</si>
  <si>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</si>
  <si>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</si>
  <si>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</si>
  <si>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</si>
  <si>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</si>
  <si>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</si>
  <si>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</si>
  <si>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</si>
  <si>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</si>
  <si>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</si>
  <si>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</si>
  <si>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Año 2025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</si>
  <si>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</si>
  <si>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</si>
  <si>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</si>
  <si>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</si>
  <si>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</si>
  <si>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</si>
  <si>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</si>
  <si>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</si>
  <si>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</si>
  <si>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>4155900000,4155900100,4155900500,4155900600,4170250000,4170250100,4170250200,4170251500,4170251600,4170251700,4170251900,4170251800,4170252000,4170253000,4170253500,4170252100,4170253700,4155900700,4170253800,4155900800,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</si>
  <si>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</si>
  <si>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</si>
  <si>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</si>
  <si>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</si>
  <si>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</si>
  <si>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</si>
  <si>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</si>
  <si>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</si>
  <si>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</si>
  <si>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</si>
  <si>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</si>
  <si>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</si>
  <si>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</si>
  <si>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</si>
  <si>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</si>
  <si>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</si>
  <si>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</si>
  <si>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</si>
  <si>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</si>
  <si>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</si>
  <si>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</si>
  <si>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</si>
  <si>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</si>
  <si>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</si>
  <si>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</si>
  <si>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</si>
  <si>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</si>
  <si>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</si>
  <si>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</si>
  <si>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</si>
  <si>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</si>
  <si>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</si>
  <si>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</si>
  <si>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</si>
  <si>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</si>
  <si>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</si>
  <si>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</si>
  <si>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</si>
  <si>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</si>
  <si>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</si>
  <si>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</si>
  <si>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</si>
  <si>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</si>
  <si>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</si>
  <si>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</si>
  <si>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</si>
  <si>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</si>
  <si>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</si>
  <si>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</si>
  <si>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</si>
  <si>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</si>
  <si>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</si>
  <si>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</si>
  <si>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</si>
  <si>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</si>
  <si>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</si>
  <si>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</si>
  <si>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</si>
  <si>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</si>
  <si>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</si>
  <si>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</si>
  <si>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</si>
  <si>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</si>
  <si>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</si>
  <si>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</si>
  <si>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</si>
  <si>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</si>
  <si>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</si>
  <si>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</si>
  <si>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</si>
  <si>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</si>
  <si>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</si>
  <si>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</si>
  <si>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</si>
  <si>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</si>
  <si>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</si>
  <si>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</si>
  <si>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</si>
  <si>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</si>
  <si>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</si>
  <si>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</si>
  <si>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</si>
  <si>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</si>
  <si>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</si>
  <si>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</si>
  <si>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</si>
  <si>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</si>
  <si>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</si>
  <si>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</si>
  <si>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</si>
  <si>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</si>
  <si>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</si>
  <si>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</si>
  <si>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</si>
  <si>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</si>
  <si>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</si>
  <si>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</si>
  <si>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</si>
  <si>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</si>
  <si>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</si>
  <si>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</si>
  <si>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</si>
  <si>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</si>
  <si>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</si>
  <si>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</si>
  <si>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</si>
  <si>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</si>
  <si>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</si>
  <si>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</si>
  <si>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</si>
  <si>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</si>
  <si>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</si>
  <si>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</si>
  <si>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</si>
  <si>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</si>
  <si>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</si>
  <si>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</si>
  <si>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</si>
  <si>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</si>
  <si>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</si>
  <si>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</si>
  <si>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</si>
  <si>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</si>
  <si>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</si>
  <si>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</si>
  <si>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</si>
  <si>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</si>
  <si>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</si>
  <si>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</si>
  <si>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</si>
  <si>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</si>
  <si>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</si>
  <si>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</si>
  <si>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</si>
  <si>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</si>
  <si>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</si>
  <si>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</si>
  <si>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</si>
  <si>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</si>
  <si>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</si>
  <si>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</si>
  <si>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</si>
  <si>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</si>
  <si>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</si>
  <si>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</si>
  <si>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</si>
  <si>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</si>
  <si>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</si>
  <si>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</si>
  <si>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</si>
  <si>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</si>
  <si>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</si>
  <si>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</si>
  <si>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</si>
  <si>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</si>
  <si>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</si>
  <si>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</si>
  <si>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</si>
  <si>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</si>
  <si>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</si>
  <si>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</si>
  <si>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</si>
  <si>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</si>
  <si>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</si>
  <si>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</si>
  <si>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</si>
  <si>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</si>
  <si>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</si>
  <si>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</si>
  <si>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</si>
  <si>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</si>
  <si>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</si>
  <si>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</si>
  <si>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</si>
  <si>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</si>
  <si>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</si>
  <si>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</si>
  <si>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</si>
  <si>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</si>
  <si>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</si>
  <si>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</si>
  <si>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</si>
  <si>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</si>
  <si>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</si>
  <si>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</si>
  <si>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</si>
  <si>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</si>
  <si>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</si>
  <si>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</si>
  <si>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</si>
  <si>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</si>
  <si>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</si>
  <si>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</si>
  <si>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</si>
  <si>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</si>
  <si>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</si>
  <si>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</si>
  <si>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</si>
  <si>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</si>
  <si>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</si>
  <si>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</si>
  <si>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</si>
  <si>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</si>
  <si>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</si>
  <si>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</si>
  <si>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</si>
  <si>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</si>
  <si>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</si>
  <si>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</si>
  <si>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</si>
  <si>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</si>
  <si>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</si>
  <si>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</si>
  <si>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</si>
  <si>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</si>
  <si>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</si>
  <si>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</si>
  <si>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</si>
  <si>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</si>
  <si>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</si>
  <si>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</si>
  <si>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</si>
  <si>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</si>
  <si>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</si>
  <si>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</si>
  <si>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</si>
  <si>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</si>
  <si>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</si>
  <si>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</si>
  <si>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</si>
  <si>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</si>
  <si>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</si>
  <si>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</si>
  <si>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</si>
  <si>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</si>
  <si>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</si>
  <si>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</si>
  <si>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</si>
  <si>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</si>
  <si>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</si>
  <si>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</si>
  <si>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</si>
  <si>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</si>
  <si>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</si>
  <si>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</si>
  <si>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</si>
  <si>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</si>
  <si>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</si>
  <si>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</si>
  <si>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</si>
  <si>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</si>
  <si>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</si>
  <si>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</si>
  <si>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</si>
  <si>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</si>
  <si>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</si>
  <si>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</si>
  <si>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</si>
  <si>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</si>
  <si>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</si>
  <si>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</si>
  <si>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</si>
  <si>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</si>
  <si>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</si>
  <si>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</si>
  <si>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</si>
  <si>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</si>
  <si>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</si>
  <si>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</si>
  <si>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</si>
  <si>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</si>
  <si>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</si>
  <si>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</si>
  <si>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</si>
  <si>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</si>
  <si>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</si>
  <si>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</si>
  <si>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</si>
  <si>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</si>
  <si>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</si>
  <si>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</si>
  <si>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</si>
  <si>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</si>
  <si>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</si>
  <si>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</si>
  <si>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</si>
  <si>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</si>
  <si>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</si>
  <si>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</si>
  <si>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</si>
  <si>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</si>
  <si>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</si>
  <si>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</si>
  <si>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</si>
  <si>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</si>
  <si>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</si>
  <si>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</si>
  <si>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</si>
  <si>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</si>
  <si>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</si>
  <si>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</si>
  <si>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</si>
  <si>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</si>
  <si>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</si>
  <si>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</si>
  <si>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</si>
  <si>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</si>
  <si>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</si>
  <si>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</si>
  <si>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</si>
  <si>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</si>
  <si>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</si>
  <si>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</si>
  <si>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</si>
  <si>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</si>
  <si>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</si>
  <si>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</si>
  <si>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</si>
  <si>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</si>
  <si>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</si>
  <si>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</si>
  <si>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</si>
  <si>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</si>
  <si>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</si>
  <si>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</si>
  <si>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</si>
  <si>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</si>
  <si>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</si>
  <si>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</si>
  <si>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</si>
  <si>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</si>
  <si>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</si>
  <si>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</si>
  <si>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</si>
  <si>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</si>
  <si>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</si>
  <si>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</si>
  <si>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</si>
  <si>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</si>
  <si>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</si>
  <si>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</si>
  <si>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</si>
  <si>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</si>
  <si>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</si>
  <si>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</si>
  <si>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</si>
  <si>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</si>
  <si>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</si>
  <si>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</si>
  <si>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</si>
  <si>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</si>
  <si>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</si>
  <si>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</si>
  <si>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</si>
  <si>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</si>
  <si>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</si>
  <si>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</si>
  <si>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</si>
  <si>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</si>
  <si>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</si>
  <si>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</si>
  <si>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</si>
  <si>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</si>
  <si>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</si>
  <si>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</si>
  <si>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</si>
  <si>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</si>
  <si>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</si>
  <si>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</si>
  <si>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</si>
  <si>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</si>
  <si>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</si>
  <si>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</si>
  <si>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</si>
  <si>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</si>
  <si>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</si>
  <si>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</si>
  <si>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</si>
  <si>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</si>
  <si>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</si>
  <si>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</si>
  <si>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</si>
  <si>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</si>
  <si>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</si>
  <si>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</si>
  <si>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</si>
  <si>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</si>
  <si>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</si>
  <si>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</si>
  <si>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</si>
  <si>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</si>
  <si>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</si>
  <si>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</si>
  <si>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</si>
  <si>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</si>
  <si>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</si>
  <si>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</si>
  <si>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</si>
  <si>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</si>
  <si>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</si>
  <si>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</si>
  <si>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</si>
  <si>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</si>
  <si>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</si>
  <si>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CORTO PLAZO   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</si>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</sst>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  <numFmt numFmtId="177" formatCode="_-* #,##0.0_-;\-* #,##0.0_-;_-* &quot;-&quot;??????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4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9" fontId="13" fillId="0" borderId="0" xfId="3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6" applyNumberFormat="1" applyFont="1"/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9" fillId="0" borderId="0" xfId="0" applyNumberFormat="1" applyFont="1"/>
    <xf numFmtId="3" fontId="11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7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3" fontId="17" fillId="0" borderId="0" xfId="0" applyNumberFormat="1" applyFont="1"/>
    <xf numFmtId="9" fontId="17" fillId="0" borderId="0" xfId="3" applyFont="1" applyFill="1" applyBorder="1" applyAlignment="1"/>
    <xf numFmtId="171" fontId="17" fillId="0" borderId="0" xfId="3" applyNumberFormat="1" applyFont="1" applyFill="1" applyBorder="1" applyAlignment="1"/>
    <xf numFmtId="3" fontId="9" fillId="0" borderId="0" xfId="0" applyNumberFormat="1" applyFont="1"/>
    <xf numFmtId="9" fontId="3" fillId="0" borderId="0" xfId="3" applyFont="1" applyFill="1" applyBorder="1" applyAlignme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43" fontId="3" fillId="0" borderId="0" xfId="0" applyNumberFormat="1" applyFont="1"/>
    <xf numFmtId="173" fontId="3" fillId="0" borderId="0" xfId="1" applyNumberFormat="1" applyFont="1" applyFill="1" applyBorder="1"/>
    <xf numFmtId="1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4" fontId="19" fillId="0" borderId="0" xfId="1" applyNumberFormat="1" applyFont="1"/>
    <xf numFmtId="175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6" fontId="18" fillId="0" borderId="0" xfId="0" applyNumberFormat="1" applyFont="1"/>
    <xf numFmtId="177" fontId="3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995D140F-E5C4-4096-A963-37218E03DB05}"/>
    <cellStyle name="Normal" xfId="0" builtinId="0"/>
    <cellStyle name="Normal 2" xfId="6" xr:uid="{E06B7891-7C35-4D4A-BA53-6CF5B429DC05}"/>
    <cellStyle name="Normal 3" xfId="4" xr:uid="{71C46C5C-1D3F-4B37-A166-77FE68CD15F5}"/>
    <cellStyle name="Porcentaje" xfId="3" builtinId="5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40</xdr:col>
      <xdr:colOff>704575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69AD4A-7EE4-4308-9058-6490485D8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3500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B229D-9C44-494F-BC46-E2B4A51A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EABA47-1182-4D3E-894B-28DAA9A2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4754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39</xdr:col>
      <xdr:colOff>865925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7A8DEE-436A-4E31-808D-B4D19C689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040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359F353-E3D5-4887-BF23-9D450144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9462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A86E63E-5152-4FAA-87A3-26EDA505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26192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08DBCF3-5E0E-4334-BEA6-C3C84BDA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6727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110FF7E-F29A-4084-AB70-465A431B5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3930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142876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1D14B7B-9EEC-4B9C-B176-BB9BD6E86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0850" y="2228851"/>
          <a:ext cx="4257676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76BE453-7D4D-4BFE-9777-B49EA8CE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2375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633607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A240FC6-7053-4DA2-8DAC-BDE7E180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7650" y="2390775"/>
          <a:ext cx="3681607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6BF25A1-2CD9-4992-8B42-D6948FA6E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8545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418278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611F4E4-5636-4837-B3EB-8DFB13979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95399" y="11153776"/>
          <a:ext cx="3180529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BB5225A-7E05-4096-8D58-902D67B3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1017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44</xdr:col>
      <xdr:colOff>724298</xdr:colOff>
      <xdr:row>71</xdr:row>
      <xdr:rowOff>148829</xdr:rowOff>
    </xdr:from>
    <xdr:to>
      <xdr:col>48</xdr:col>
      <xdr:colOff>590361</xdr:colOff>
      <xdr:row>79</xdr:row>
      <xdr:rowOff>229273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3838D8B-28DA-44B1-BC0A-18A29597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23948" y="12921854"/>
          <a:ext cx="2914063" cy="160444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257968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EAF7AAA-6434-4DC9-A86C-CCE29D14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39125" y="13087963"/>
          <a:ext cx="2876493" cy="1791800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29768</xdr:colOff>
      <xdr:row>73</xdr:row>
      <xdr:rowOff>101674</xdr:rowOff>
    </xdr:from>
    <xdr:to>
      <xdr:col>58</xdr:col>
      <xdr:colOff>198004</xdr:colOff>
      <xdr:row>81</xdr:row>
      <xdr:rowOff>98802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5B5B6DE0-46EF-4193-9FE2-D3EC40D9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49418" y="13255699"/>
          <a:ext cx="3216236" cy="1625903"/>
        </a:xfrm>
        <a:prstGeom prst="rect">
          <a:avLst/>
        </a:prstGeom>
      </xdr:spPr>
    </xdr:pic>
    <xdr:clientData/>
  </xdr:twoCellAnchor>
  <xdr:twoCellAnchor editAs="oneCell">
    <xdr:from>
      <xdr:col>58</xdr:col>
      <xdr:colOff>49611</xdr:colOff>
      <xdr:row>73</xdr:row>
      <xdr:rowOff>79374</xdr:rowOff>
    </xdr:from>
    <xdr:to>
      <xdr:col>62</xdr:col>
      <xdr:colOff>40017</xdr:colOff>
      <xdr:row>82</xdr:row>
      <xdr:rowOff>35230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C41CBB1F-08B2-405C-8861-FFD5410B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017261" y="13233399"/>
          <a:ext cx="3038406" cy="1775131"/>
        </a:xfrm>
        <a:prstGeom prst="rect">
          <a:avLst/>
        </a:prstGeom>
      </xdr:spPr>
    </xdr:pic>
    <xdr:clientData/>
  </xdr:twoCellAnchor>
  <xdr:twoCellAnchor editAs="oneCell">
    <xdr:from>
      <xdr:col>45</xdr:col>
      <xdr:colOff>529344</xdr:colOff>
      <xdr:row>80</xdr:row>
      <xdr:rowOff>138906</xdr:rowOff>
    </xdr:from>
    <xdr:to>
      <xdr:col>49</xdr:col>
      <xdr:colOff>272740</xdr:colOff>
      <xdr:row>90</xdr:row>
      <xdr:rowOff>79376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5A4D3F0-3829-49CC-97D9-F74EA80EC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90994" y="14731206"/>
          <a:ext cx="2791396" cy="1616870"/>
        </a:xfrm>
        <a:prstGeom prst="rect">
          <a:avLst/>
        </a:prstGeom>
      </xdr:spPr>
    </xdr:pic>
    <xdr:clientData/>
  </xdr:twoCellAnchor>
  <xdr:twoCellAnchor editAs="oneCell">
    <xdr:from>
      <xdr:col>50</xdr:col>
      <xdr:colOff>99219</xdr:colOff>
      <xdr:row>83</xdr:row>
      <xdr:rowOff>16642</xdr:rowOff>
    </xdr:from>
    <xdr:to>
      <xdr:col>53</xdr:col>
      <xdr:colOff>724297</xdr:colOff>
      <xdr:row>93</xdr:row>
      <xdr:rowOff>113800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E725692-39B9-4249-A679-BEAAFC88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70869" y="15151867"/>
          <a:ext cx="2911078" cy="1716408"/>
        </a:xfrm>
        <a:prstGeom prst="rect">
          <a:avLst/>
        </a:prstGeom>
      </xdr:spPr>
    </xdr:pic>
    <xdr:clientData/>
  </xdr:twoCellAnchor>
  <xdr:twoCellAnchor editAs="oneCell">
    <xdr:from>
      <xdr:col>54</xdr:col>
      <xdr:colOff>218282</xdr:colOff>
      <xdr:row>83</xdr:row>
      <xdr:rowOff>47028</xdr:rowOff>
    </xdr:from>
    <xdr:to>
      <xdr:col>58</xdr:col>
      <xdr:colOff>426641</xdr:colOff>
      <xdr:row>94</xdr:row>
      <xdr:rowOff>42662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390D5BD-4FD3-4DD7-9CA2-E491F6D9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37932" y="15182253"/>
          <a:ext cx="3256359" cy="1805384"/>
        </a:xfrm>
        <a:prstGeom prst="rect">
          <a:avLst/>
        </a:prstGeom>
      </xdr:spPr>
    </xdr:pic>
    <xdr:clientData/>
  </xdr:twoCellAnchor>
  <xdr:twoCellAnchor editAs="oneCell">
    <xdr:from>
      <xdr:col>59</xdr:col>
      <xdr:colOff>69453</xdr:colOff>
      <xdr:row>82</xdr:row>
      <xdr:rowOff>109140</xdr:rowOff>
    </xdr:from>
    <xdr:to>
      <xdr:col>62</xdr:col>
      <xdr:colOff>701309</xdr:colOff>
      <xdr:row>98</xdr:row>
      <xdr:rowOff>29836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20476E7-C0C4-46D8-92F0-655A16686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99103" y="15082440"/>
          <a:ext cx="2917856" cy="2654371"/>
        </a:xfrm>
        <a:prstGeom prst="rect">
          <a:avLst/>
        </a:prstGeom>
      </xdr:spPr>
    </xdr:pic>
    <xdr:clientData/>
  </xdr:twoCellAnchor>
  <xdr:twoCellAnchor editAs="oneCell">
    <xdr:from>
      <xdr:col>45</xdr:col>
      <xdr:colOff>550374</xdr:colOff>
      <xdr:row>94</xdr:row>
      <xdr:rowOff>119063</xdr:rowOff>
    </xdr:from>
    <xdr:to>
      <xdr:col>53</xdr:col>
      <xdr:colOff>236911</xdr:colOff>
      <xdr:row>116</xdr:row>
      <xdr:rowOff>148405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44CA1C-AD76-44A0-A6D9-9DA05E493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612024" y="17064038"/>
          <a:ext cx="5782537" cy="3934592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297656</xdr:colOff>
      <xdr:row>96</xdr:row>
      <xdr:rowOff>19845</xdr:rowOff>
    </xdr:from>
    <xdr:to>
      <xdr:col>62</xdr:col>
      <xdr:colOff>740953</xdr:colOff>
      <xdr:row>119</xdr:row>
      <xdr:rowOff>7001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8DC2EA2-EFB5-4FC2-B221-45D67DC4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217306" y="17345820"/>
          <a:ext cx="6539297" cy="399718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123</xdr:row>
      <xdr:rowOff>89300</xdr:rowOff>
    </xdr:from>
    <xdr:to>
      <xdr:col>56</xdr:col>
      <xdr:colOff>571852</xdr:colOff>
      <xdr:row>135</xdr:row>
      <xdr:rowOff>51461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B13D4B6-B8D2-447F-8AB7-E73DF3792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823650" y="22073000"/>
          <a:ext cx="8191852" cy="190526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137</xdr:row>
      <xdr:rowOff>0</xdr:rowOff>
    </xdr:from>
    <xdr:to>
      <xdr:col>54</xdr:col>
      <xdr:colOff>470819</xdr:colOff>
      <xdr:row>164</xdr:row>
      <xdr:rowOff>19651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5016E97E-FF49-4746-91D3-6346203FA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6823650" y="24250650"/>
          <a:ext cx="6566819" cy="4391626"/>
        </a:xfrm>
        <a:prstGeom prst="rect">
          <a:avLst/>
        </a:prstGeom>
      </xdr:spPr>
    </xdr:pic>
    <xdr:clientData/>
  </xdr:twoCellAnchor>
  <xdr:twoCellAnchor editAs="oneCell">
    <xdr:from>
      <xdr:col>46</xdr:col>
      <xdr:colOff>644923</xdr:colOff>
      <xdr:row>166</xdr:row>
      <xdr:rowOff>29767</xdr:rowOff>
    </xdr:from>
    <xdr:to>
      <xdr:col>54</xdr:col>
      <xdr:colOff>218704</xdr:colOff>
      <xdr:row>183</xdr:row>
      <xdr:rowOff>86270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EE91C35-B17B-4A31-8BE3-745AFD3B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468573" y="28976242"/>
          <a:ext cx="5669781" cy="2809228"/>
        </a:xfrm>
        <a:prstGeom prst="rect">
          <a:avLst/>
        </a:prstGeom>
      </xdr:spPr>
    </xdr:pic>
    <xdr:clientData/>
  </xdr:twoCellAnchor>
  <xdr:twoCellAnchor editAs="oneCell">
    <xdr:from>
      <xdr:col>59</xdr:col>
      <xdr:colOff>161513</xdr:colOff>
      <xdr:row>143</xdr:row>
      <xdr:rowOff>89297</xdr:rowOff>
    </xdr:from>
    <xdr:to>
      <xdr:col>64</xdr:col>
      <xdr:colOff>149163</xdr:colOff>
      <xdr:row>162</xdr:row>
      <xdr:rowOff>9922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2562FD1B-76AB-4088-8DFB-3CAAC8AB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891163" y="25311497"/>
          <a:ext cx="3797650" cy="2997200"/>
        </a:xfrm>
        <a:prstGeom prst="rect">
          <a:avLst/>
        </a:prstGeom>
      </xdr:spPr>
    </xdr:pic>
    <xdr:clientData/>
  </xdr:twoCellAnchor>
  <xdr:twoCellAnchor editAs="oneCell">
    <xdr:from>
      <xdr:col>54</xdr:col>
      <xdr:colOff>388192</xdr:colOff>
      <xdr:row>148</xdr:row>
      <xdr:rowOff>99219</xdr:rowOff>
    </xdr:from>
    <xdr:to>
      <xdr:col>57</xdr:col>
      <xdr:colOff>105223</xdr:colOff>
      <xdr:row>165</xdr:row>
      <xdr:rowOff>138906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E80AE55A-C92F-4AFB-BEA6-130DC9F3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307842" y="26131044"/>
          <a:ext cx="2003031" cy="2792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%20(x86)\Vision%20Tecnologica\UnoBiable\UnoBiable.xla" TargetMode="External"/><Relationship Id="rId1" Type="http://schemas.openxmlformats.org/officeDocument/2006/relationships/externalLinkPath" Target="/Program%20Files%20(x86)/Vision%20Tecnologica/UnoBiable/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ings"/>
      <sheetName val="UnoBiable"/>
    </sheetNames>
    <definedNames>
      <definedName name="Consulta"/>
    </defined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92EAB318-41B3-49BF-8337-98996C4031EB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2A409E6E-53D3-4A0F-A97C-6E3A8F2D8A70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3E876A6A-1A7E-498E-9A01-0C5E924D16EF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5BFCFF-DE5B-499F-83F4-F8CF784DB6AC}" name="UnoBiable: SmartZoom 002 en ctas" cacheId="54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5" type="button" dataOnly="0" labelOnly="1" outline="0" axis="axisRow" fieldPosition="0"/>
    </format>
    <format dxfId="5">
      <pivotArea field="6" type="button" dataOnly="0" labelOnly="1" outline="0" axis="axisRow" fieldPosition="1"/>
    </format>
    <format dxfId="6">
      <pivotArea dataOnly="0" labelOnly="1" outline="0" fieldPosition="0">
        <references count="1">
          <reference field="5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1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11">
      <pivotArea type="topRight" dataOnly="0" labelOnly="1" outline="0" fieldPosition="0"/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type="origin" dataOnly="0" labelOnly="1" outline="0" fieldPosition="0"/>
    </format>
    <format dxfId="15">
      <pivotArea field="5" type="button" dataOnly="0" labelOnly="1" outline="0" axis="axisRow" fieldPosition="0"/>
    </format>
    <format dxfId="16">
      <pivotArea field="6" type="button" dataOnly="0" labelOnly="1" outline="0" axis="axisRow" fieldPosition="1"/>
    </format>
    <format dxfId="17">
      <pivotArea dataOnly="0" labelOnly="1" outline="0" fieldPosition="0">
        <references count="1">
          <reference field="5" count="0"/>
        </references>
      </pivotArea>
    </format>
    <format dxfId="18">
      <pivotArea dataOnly="0" labelOnly="1" grandRow="1" outline="0" fieldPosition="0"/>
    </format>
    <format dxfId="19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0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1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2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3E0780-75AC-4F47-8A3E-A69E70816AD3}" name="UnoBiable: SmartZoom 000 en ctas" cacheId="52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23">
      <pivotArea type="all" dataOnly="0" outline="0" fieldPosition="0"/>
    </format>
    <format dxfId="24">
      <pivotArea outline="0" collapsedLevelsAreSubtotals="1" fieldPosition="0"/>
    </format>
    <format dxfId="25">
      <pivotArea type="origin" dataOnly="0" labelOnly="1" outline="0" fieldPosition="0"/>
    </format>
    <format dxfId="26">
      <pivotArea field="4" type="button" dataOnly="0" labelOnly="1" outline="0" axis="axisRow" fieldPosition="0"/>
    </format>
    <format dxfId="27">
      <pivotArea dataOnly="0" labelOnly="1" outline="0" fieldPosition="0">
        <references count="1">
          <reference field="4" count="0"/>
        </references>
      </pivotArea>
    </format>
    <format dxfId="28">
      <pivotArea dataOnly="0" labelOnly="1" grandRow="1" outline="0" fieldPosition="0"/>
    </format>
    <format dxfId="29">
      <pivotArea type="topRight" dataOnly="0" labelOnly="1" outline="0" fieldPosition="0"/>
    </format>
    <format dxfId="30">
      <pivotArea type="all" dataOnly="0" outline="0" fieldPosition="0"/>
    </format>
    <format dxfId="31">
      <pivotArea outline="0" collapsedLevelsAreSubtotals="1" fieldPosition="0"/>
    </format>
    <format dxfId="32">
      <pivotArea type="origin" dataOnly="0" labelOnly="1" outline="0" fieldPosition="0"/>
    </format>
    <format dxfId="33">
      <pivotArea field="4" type="button" dataOnly="0" labelOnly="1" outline="0" axis="axisRow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5">
      <pivotArea dataOnly="0" labelOnly="1" grandRow="1" outline="0" fieldPosition="0"/>
    </format>
    <format dxfId="3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DC0C5D-FB8B-4B22-93E2-DF58E2C76543}" name="UnoBiable: SmartZoom 001 en ctas" cacheId="53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37">
      <pivotArea outline="0" collapsedLevelsAreSubtotals="1" fieldPosition="0"/>
    </format>
    <format dxfId="38">
      <pivotArea type="all" dataOnly="0" outline="0" fieldPosition="0"/>
    </format>
    <format dxfId="39">
      <pivotArea outline="0" collapsedLevelsAreSubtotals="1" fieldPosition="0"/>
    </format>
    <format dxfId="40">
      <pivotArea type="origin" dataOnly="0" labelOnly="1" outline="0" fieldPosition="0"/>
    </format>
    <format dxfId="41">
      <pivotArea field="31" type="button" dataOnly="0" labelOnly="1" outline="0" axis="axisRow" fieldPosition="0"/>
    </format>
    <format dxfId="42">
      <pivotArea field="32" type="button" dataOnly="0" labelOnly="1" outline="0" axis="axisRow" fieldPosition="1"/>
    </format>
    <format dxfId="43">
      <pivotArea dataOnly="0" labelOnly="1" outline="0" fieldPosition="0">
        <references count="1">
          <reference field="31" count="0"/>
        </references>
      </pivotArea>
    </format>
    <format dxfId="44">
      <pivotArea dataOnly="0" labelOnly="1" grandRow="1" outline="0" fieldPosition="0"/>
    </format>
    <format dxfId="45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46">
      <pivotArea type="topRight" dataOnly="0" labelOnly="1" outline="0" fieldPosition="0"/>
    </format>
    <format dxfId="47">
      <pivotArea type="all" dataOnly="0" outline="0" fieldPosition="0"/>
    </format>
    <format dxfId="48">
      <pivotArea outline="0" collapsedLevelsAreSubtotals="1" fieldPosition="0"/>
    </format>
    <format dxfId="49">
      <pivotArea type="origin" dataOnly="0" labelOnly="1" outline="0" fieldPosition="0"/>
    </format>
    <format dxfId="50">
      <pivotArea field="31" type="button" dataOnly="0" labelOnly="1" outline="0" axis="axisRow" fieldPosition="0"/>
    </format>
    <format dxfId="51">
      <pivotArea field="32" type="button" dataOnly="0" labelOnly="1" outline="0" axis="axisRow" fieldPosition="1"/>
    </format>
    <format dxfId="52">
      <pivotArea dataOnly="0" labelOnly="1" outline="0" fieldPosition="0">
        <references count="1">
          <reference field="31" count="0"/>
        </references>
      </pivotArea>
    </format>
    <format dxfId="53">
      <pivotArea dataOnly="0" labelOnly="1" grandRow="1" outline="0" fieldPosition="0"/>
    </format>
    <format dxfId="54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C2C07-C7DA-43EE-920D-0D5FEF18BA68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202401</v>
      </c>
      <c r="B3" s="3" t="str">
        <f>VLOOKUP(D3,B22:D33,3,0)</f>
        <v>202501</v>
      </c>
      <c r="C3" s="3"/>
      <c r="D3" s="4" t="s">
        <v>6</v>
      </c>
      <c r="E3" s="4" t="s">
        <v>7</v>
      </c>
      <c r="F3" s="5">
        <v>2025</v>
      </c>
      <c r="G3" s="6">
        <v>4192.57</v>
      </c>
    </row>
    <row r="4" spans="1:7" x14ac:dyDescent="0.2">
      <c r="A4" s="2" t="str">
        <f>VLOOKUP(E4,B22:E33,4,0)</f>
        <v>202409</v>
      </c>
      <c r="B4" s="3" t="str">
        <f>VLOOKUP(E3,B22:D33,3,0)</f>
        <v>202509</v>
      </c>
      <c r="C4" s="3"/>
      <c r="D4" s="7" t="str">
        <f>+D3</f>
        <v>ENERO</v>
      </c>
      <c r="E4" s="7" t="str">
        <f>+E3</f>
        <v>SEPTIEMBRE</v>
      </c>
      <c r="F4" s="5">
        <v>2024</v>
      </c>
      <c r="G4" s="8">
        <v>3842.3</v>
      </c>
    </row>
    <row r="5" spans="1:7" x14ac:dyDescent="0.2">
      <c r="A5" s="2"/>
      <c r="B5" s="3">
        <f>+B4-1</f>
        <v>202508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202501</v>
      </c>
      <c r="E22" s="1" t="str">
        <f t="shared" ref="E22:E30" si="1">$F$4&amp;0&amp;C22</f>
        <v>202401</v>
      </c>
    </row>
    <row r="23" spans="2:5" x14ac:dyDescent="0.2">
      <c r="B23" s="1" t="s">
        <v>9</v>
      </c>
      <c r="C23" s="1">
        <v>2</v>
      </c>
      <c r="D23" s="1" t="str">
        <f t="shared" si="0"/>
        <v>202502</v>
      </c>
      <c r="E23" s="1" t="str">
        <f t="shared" si="1"/>
        <v>202402</v>
      </c>
    </row>
    <row r="24" spans="2:5" x14ac:dyDescent="0.2">
      <c r="B24" s="1" t="s">
        <v>10</v>
      </c>
      <c r="C24" s="1">
        <v>3</v>
      </c>
      <c r="D24" s="1" t="str">
        <f t="shared" si="0"/>
        <v>202503</v>
      </c>
      <c r="E24" s="1" t="str">
        <f t="shared" si="1"/>
        <v>202403</v>
      </c>
    </row>
    <row r="25" spans="2:5" x14ac:dyDescent="0.2">
      <c r="B25" s="1" t="s">
        <v>11</v>
      </c>
      <c r="C25" s="1">
        <v>4</v>
      </c>
      <c r="D25" s="1" t="str">
        <f t="shared" si="0"/>
        <v>202504</v>
      </c>
      <c r="E25" s="1" t="str">
        <f t="shared" si="1"/>
        <v>202404</v>
      </c>
    </row>
    <row r="26" spans="2:5" x14ac:dyDescent="0.2">
      <c r="B26" s="1" t="s">
        <v>12</v>
      </c>
      <c r="C26" s="1">
        <v>5</v>
      </c>
      <c r="D26" s="1" t="str">
        <f t="shared" si="0"/>
        <v>202505</v>
      </c>
      <c r="E26" s="1" t="str">
        <f t="shared" si="1"/>
        <v>202405</v>
      </c>
    </row>
    <row r="27" spans="2:5" x14ac:dyDescent="0.2">
      <c r="B27" s="1" t="s">
        <v>13</v>
      </c>
      <c r="C27" s="1">
        <v>6</v>
      </c>
      <c r="D27" s="1" t="str">
        <f t="shared" si="0"/>
        <v>202506</v>
      </c>
      <c r="E27" s="1" t="str">
        <f t="shared" si="1"/>
        <v>202406</v>
      </c>
    </row>
    <row r="28" spans="2:5" x14ac:dyDescent="0.2">
      <c r="B28" s="1" t="s">
        <v>14</v>
      </c>
      <c r="C28" s="1">
        <v>7</v>
      </c>
      <c r="D28" s="1" t="str">
        <f t="shared" si="0"/>
        <v>202507</v>
      </c>
      <c r="E28" s="1" t="str">
        <f t="shared" si="1"/>
        <v>202407</v>
      </c>
    </row>
    <row r="29" spans="2:5" x14ac:dyDescent="0.2">
      <c r="B29" s="1" t="s">
        <v>15</v>
      </c>
      <c r="C29" s="1">
        <v>8</v>
      </c>
      <c r="D29" s="1" t="str">
        <f t="shared" si="0"/>
        <v>202508</v>
      </c>
      <c r="E29" s="1" t="str">
        <f t="shared" si="1"/>
        <v>202408</v>
      </c>
    </row>
    <row r="30" spans="2:5" x14ac:dyDescent="0.2">
      <c r="B30" s="1" t="s">
        <v>7</v>
      </c>
      <c r="C30" s="1">
        <v>9</v>
      </c>
      <c r="D30" s="1" t="str">
        <f t="shared" si="0"/>
        <v>202509</v>
      </c>
      <c r="E30" s="1" t="str">
        <f t="shared" si="1"/>
        <v>202409</v>
      </c>
    </row>
    <row r="31" spans="2:5" x14ac:dyDescent="0.2">
      <c r="B31" s="1" t="s">
        <v>16</v>
      </c>
      <c r="C31" s="1">
        <v>10</v>
      </c>
      <c r="D31" s="1" t="str">
        <f>$F$3&amp;C31</f>
        <v>202510</v>
      </c>
      <c r="E31" s="1" t="str">
        <f>$F$4&amp;C31</f>
        <v>202410</v>
      </c>
    </row>
    <row r="32" spans="2:5" x14ac:dyDescent="0.2">
      <c r="B32" s="1" t="s">
        <v>17</v>
      </c>
      <c r="C32" s="1">
        <v>11</v>
      </c>
      <c r="D32" s="1" t="str">
        <f>$F$3&amp;C32</f>
        <v>202511</v>
      </c>
      <c r="E32" s="1" t="str">
        <f>$F$4&amp;C32</f>
        <v>202411</v>
      </c>
    </row>
    <row r="33" spans="2:5" x14ac:dyDescent="0.2">
      <c r="B33" s="1" t="s">
        <v>18</v>
      </c>
      <c r="C33" s="1">
        <v>12</v>
      </c>
      <c r="D33" s="1" t="str">
        <f>$F$3&amp;C33</f>
        <v>202512</v>
      </c>
      <c r="E33" s="1" t="str">
        <f>$F$4&amp;C33</f>
        <v>202412</v>
      </c>
    </row>
  </sheetData>
  <dataValidations count="1">
    <dataValidation type="list" allowBlank="1" showInputMessage="1" showErrorMessage="1" sqref="D3:E3" xr:uid="{49C8B547-8DA0-472B-A59A-0F01DA34B5DE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73C64-C5F2-411E-9DF2-41AC17FB0AB2}">
  <dimension ref="A1:AK46"/>
  <sheetViews>
    <sheetView showGridLines="0" topLeftCell="Q1" workbookViewId="0">
      <selection activeCell="W11" sqref="W11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152</v>
      </c>
      <c r="T3" s="121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92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SEPTIEMBRE de 2025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92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153</v>
      </c>
      <c r="E7" s="61"/>
      <c r="F7" s="61" t="s">
        <v>154</v>
      </c>
      <c r="G7" s="62" t="s">
        <v>24</v>
      </c>
      <c r="H7" s="61"/>
      <c r="I7" s="61" t="s">
        <v>155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156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47194.184988601955</v>
      </c>
      <c r="X8" s="32">
        <f>'COLOMBIA USD'!Y10+'EL SALVADOR USD'!X10+'VENEZUELA USD'!X9+'PANAMA USD'!W10</f>
        <v>43346.208120136376</v>
      </c>
      <c r="Y8" s="32">
        <f>'COLOMBIA USD'!X10+'EL SALVADOR USD'!W10+'VENEZUELA USD'!Y9+'PANAMA USD'!V10</f>
        <v>56776.52557894084</v>
      </c>
      <c r="Z8" s="32">
        <f>'COLOMBIA USD'!Z10+'EL SALVADOR USD'!Y10+'VENEZUELA USD'!Z9+'PANAMA USD'!X10</f>
        <v>36256.618764247563</v>
      </c>
      <c r="AA8" s="32">
        <f>'COLOMBIA USD'!AD10+'EL SALVADOR USD'!AC10+'VENEZUELA USD'!AA9+'PANAMA USD'!AB10</f>
        <v>36949.981005387395</v>
      </c>
      <c r="AB8" s="32">
        <f>'COLOMBIA USD'!AA10+'EL SALVADOR USD'!Z10+'VENEZUELA USD'!AB9+'PANAMA USD'!Y10</f>
        <v>51620.471080268188</v>
      </c>
      <c r="AC8" s="63">
        <f>+AB8-Z8</f>
        <v>15363.852316020624</v>
      </c>
      <c r="AD8" s="68">
        <f>IF(Z8=0,"",(AB8-Z8)/ABS(Z8)+1)</f>
        <v>1.4237530370915565</v>
      </c>
      <c r="AE8" s="68">
        <f>IF(X8=0,"",(AB8-AA8)/ABS(AA8))</f>
        <v>0.39703647135141423</v>
      </c>
      <c r="AF8" s="55"/>
      <c r="AG8" s="55">
        <f>+'COLOMBIA USD'!Y10+'EL SALVADOR USD'!X10+'VENEZUELA USD'!X9+'PANAMA USD'!W10</f>
        <v>43346.208120136376</v>
      </c>
      <c r="AH8" s="55">
        <f>+'COLOMBIA USD'!X10+'EL SALVADOR USD'!W10+'VENEZUELA USD'!Y9+'PANAMA USD'!V10</f>
        <v>56776.52557894084</v>
      </c>
      <c r="AI8" s="55">
        <f>+'COLOMBIA USD'!Z10+'EL SALVADOR USD'!Y10+'VENEZUELA USD'!Z9+'PANAMA USD'!X10</f>
        <v>36256.618764247563</v>
      </c>
      <c r="AJ8" s="55">
        <f>+'COLOMBIA USD'!AD10+'EL SALVADOR USD'!AC10+'VENEZUELA USD'!AA9+'PANAMA USD'!AB10</f>
        <v>36949.981005387395</v>
      </c>
      <c r="AK8" s="55">
        <f>+'COLOMBIA USD'!AA10+'EL SALVADOR USD'!Z10+'VENEZUELA USD'!AB9+'PANAMA USD'!Y10</f>
        <v>51620.471080268188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287381.85832879791</v>
      </c>
      <c r="X9" s="32">
        <f>'COLOMBIA USD'!Y11+'EL SALVADOR USD'!X11+'VENEZUELA USD'!X10+'PANAMA USD'!W11</f>
        <v>300466.25144805718</v>
      </c>
      <c r="Y9" s="32">
        <f>'COLOMBIA USD'!X11+'EL SALVADOR USD'!W11+'VENEZUELA USD'!Y10+'PANAMA USD'!V11</f>
        <v>307095.47758274327</v>
      </c>
      <c r="Z9" s="32">
        <f>'COLOMBIA USD'!Z11+'EL SALVADOR USD'!Y11+'VENEZUELA USD'!Z10+'PANAMA USD'!X11</f>
        <v>2343144.1233916441</v>
      </c>
      <c r="AA9" s="32">
        <f>'COLOMBIA USD'!AD11+'EL SALVADOR USD'!AC11+'VENEZUELA USD'!AA10+'PANAMA USD'!AB11</f>
        <v>2746508.764599442</v>
      </c>
      <c r="AB9" s="32">
        <f>'COLOMBIA USD'!AA11+'EL SALVADOR USD'!Z11+'VENEZUELA USD'!AB10+'PANAMA USD'!Y11</f>
        <v>2535556.7922666357</v>
      </c>
      <c r="AC9" s="63">
        <f>+AB9-Z9</f>
        <v>192412.66887499159</v>
      </c>
      <c r="AD9" s="68">
        <f>IF(Z9=0,"",(AB9-Z9)/ABS(Z9)+1)</f>
        <v>1.0821172999791746</v>
      </c>
      <c r="AE9" s="68">
        <f>IF(AA9=0,"",(AB9-AA9)/ABS(AA9))</f>
        <v>-7.6807318094822136E-2</v>
      </c>
      <c r="AF9" s="55"/>
      <c r="AG9" s="55">
        <f>+'COLOMBIA USD'!Y11+'EL SALVADOR USD'!X11+'VENEZUELA USD'!X10+'PANAMA USD'!W11</f>
        <v>300466.25144805718</v>
      </c>
      <c r="AH9" s="55">
        <f>+'COLOMBIA USD'!X11+'EL SALVADOR USD'!W11+'VENEZUELA USD'!Y10+'PANAMA USD'!V11</f>
        <v>307095.47758274327</v>
      </c>
      <c r="AI9" s="55">
        <f>+'COLOMBIA USD'!AB11+'EL SALVADOR USD'!AA11+'VENEZUELA USD'!AC10+'PANAMA USD'!Z11</f>
        <v>167669.7197538295</v>
      </c>
      <c r="AK9" s="55">
        <f>+'COLOMBIA USD'!AA11+'EL SALVADOR USD'!Z11+'VENEZUELA USD'!AB10+'PANAMA USD'!Y11</f>
        <v>2535556.7922666357</v>
      </c>
    </row>
    <row r="10" spans="1:37" x14ac:dyDescent="0.2">
      <c r="B10" s="3" t="s">
        <v>65</v>
      </c>
      <c r="C10" s="32">
        <f>+'COLOMBIA USD'!C10+'EL SALVADOR USD'!C10+'VENEZUELA USD'!C10+'PANAMA USD'!C10</f>
        <v>84724.244893561539</v>
      </c>
      <c r="D10" s="34">
        <f t="shared" ref="D10:D15" si="0">+C10/$C$20</f>
        <v>0.35340850517309724</v>
      </c>
      <c r="E10" s="32">
        <f>+'COLOMBIA USD'!E10+'EL SALVADOR USD'!E10+'VENEZUELA USD'!E10+'PANAMA USD'!E10</f>
        <v>95408.868327035263</v>
      </c>
      <c r="F10" s="34">
        <f t="shared" ref="F10:F20" si="1">+E10/$E$20</f>
        <v>0.3896342697783316</v>
      </c>
      <c r="G10" s="34">
        <f t="shared" ref="G10:G20" si="2">IF(C10=0,"",(E10-C10)/ABS(C10)+1)</f>
        <v>1.126110577283949</v>
      </c>
      <c r="H10" s="32">
        <f>+'COLOMBIA USD'!H10+'EL SALVADOR USD'!H10+'VENEZUELA USD'!H10+'PANAMA USD'!H10</f>
        <v>103402.04120936422</v>
      </c>
      <c r="I10" s="34">
        <f t="shared" ref="I10:I18" si="3">+H10/$H$20</f>
        <v>0.40958253603222555</v>
      </c>
      <c r="J10" s="34">
        <f t="shared" ref="J10:J20" si="4">IF(H10=0,"",(E10-H10)/ABS(H10))</f>
        <v>-7.7301886779437071E-2</v>
      </c>
      <c r="K10" s="32">
        <f>+'COLOMBIA USD'!K10+'EL SALVADOR USD'!K10+'VENEZUELA USD'!K10+'PANAMA USD'!K10</f>
        <v>827934.5741213297</v>
      </c>
      <c r="L10" s="34">
        <f t="shared" ref="L10:L46" si="5">+K10/$K$20</f>
        <v>0.39332279564021699</v>
      </c>
      <c r="M10" s="32">
        <f>+'COLOMBIA USD'!M10+'EL SALVADOR USD'!M10+'VENEZUELA USD'!M10+'PANAMA USD'!M10</f>
        <v>914574.11676917784</v>
      </c>
      <c r="N10" s="34">
        <f t="shared" ref="N10:N20" si="6">+M10/$M$20</f>
        <v>0.43449994820214222</v>
      </c>
      <c r="O10" s="34">
        <f t="shared" ref="O10:O18" si="7">IF(K10=0,"",(M10-K10)/ABS(K10)+1)</f>
        <v>1.1046453975421873</v>
      </c>
      <c r="P10" s="32">
        <f>+'COLOMBIA USD'!P10+'EL SALVADOR USD'!P10+'VENEZUELA USD'!P10+'PANAMA USD'!P10</f>
        <v>982910.80301064963</v>
      </c>
      <c r="Q10" s="34">
        <f t="shared" ref="Q10:Q46" si="8">+P10/$P$20</f>
        <v>0.42656429458107786</v>
      </c>
      <c r="R10" s="34">
        <f t="shared" ref="R10:R18" si="9">IF(P10=0,"",(M10-P10)/ABS(P10))</f>
        <v>-6.952480940504159E-2</v>
      </c>
      <c r="V10" s="3" t="s">
        <v>33</v>
      </c>
      <c r="W10" s="32">
        <f>'COLOMBIA USD'!W13+'EL SALVADOR USD'!V13+'VENEZUELA USD'!W11+'PANAMA USD'!U13</f>
        <v>63888.467726741103</v>
      </c>
      <c r="X10" s="32">
        <f>'COLOMBIA USD'!Y13+'EL SALVADOR USD'!X13+'VENEZUELA USD'!X11+'PANAMA USD'!W13</f>
        <v>41933.157744059543</v>
      </c>
      <c r="Y10" s="32">
        <f>'COLOMBIA USD'!X13+'EL SALVADOR USD'!W13+'VENEZUELA USD'!Y11+'PANAMA USD'!V13</f>
        <v>96593.70821966193</v>
      </c>
      <c r="Z10" s="32">
        <f>'COLOMBIA USD'!Z13+'EL SALVADOR USD'!Y13+'VENEZUELA USD'!Z11+'PANAMA USD'!X13</f>
        <v>460025.81781868613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462998.0855077412</v>
      </c>
      <c r="AC10" s="63">
        <f>+Z10-AB10</f>
        <v>-2972.2676890550647</v>
      </c>
      <c r="AD10" s="68">
        <f>IF(Z10=0,"",(AB10-Z10)/ABS(Z10)+1)</f>
        <v>1.0064610888648571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41933.157744059543</v>
      </c>
      <c r="AH10" s="55">
        <f>+'COLOMBIA USD'!X13+'EL SALVADOR USD'!W13+'VENEZUELA USD'!Y11+'PANAMA USD'!V13</f>
        <v>96593.70821966193</v>
      </c>
      <c r="AI10" s="55">
        <f>+'COLOMBIA USD'!AB13+'EL SALVADOR USD'!AA13+'VENEZUELA USD'!AC11+'PANAMA USD'!Z13</f>
        <v>-21781.712917249017</v>
      </c>
      <c r="AK10" s="55">
        <f>+'COLOMBIA USD'!AA13+'EL SALVADOR USD'!Z13+'VENEZUELA USD'!AB11+'PANAMA USD'!Y13</f>
        <v>462998.0855077412</v>
      </c>
    </row>
    <row r="11" spans="1:37" x14ac:dyDescent="0.2">
      <c r="B11" s="3" t="s">
        <v>67</v>
      </c>
      <c r="C11" s="32">
        <f>+'COLOMBIA USD'!C11+'EL SALVADOR USD'!C11+'VENEZUELA USD'!C11+'PANAMA USD'!C11</f>
        <v>18037.969219602375</v>
      </c>
      <c r="D11" s="34">
        <f t="shared" si="0"/>
        <v>7.5241411077391074E-2</v>
      </c>
      <c r="E11" s="32">
        <f>+'COLOMBIA USD'!E11+'EL SALVADOR USD'!E11+'VENEZUELA USD'!E11+'PANAMA USD'!E11</f>
        <v>16063.934444283452</v>
      </c>
      <c r="F11" s="34">
        <f t="shared" si="1"/>
        <v>6.5602490383923684E-2</v>
      </c>
      <c r="G11" s="34">
        <f t="shared" si="2"/>
        <v>0.89056224948129503</v>
      </c>
      <c r="H11" s="32">
        <f>+'COLOMBIA USD'!H11+'EL SALVADOR USD'!H11+'VENEZUELA USD'!H11+'PANAMA USD'!H11</f>
        <v>4694.0091327500868</v>
      </c>
      <c r="I11" s="34">
        <f t="shared" si="3"/>
        <v>1.859329025098681E-2</v>
      </c>
      <c r="J11" s="34">
        <f t="shared" si="4"/>
        <v>2.4222205347248758</v>
      </c>
      <c r="K11" s="32">
        <f>+'COLOMBIA USD'!K11+'EL SALVADOR USD'!K11+'VENEZUELA USD'!K11+'PANAMA USD'!K11</f>
        <v>139812.06918217597</v>
      </c>
      <c r="L11" s="34">
        <f t="shared" si="5"/>
        <v>6.641983030282074E-2</v>
      </c>
      <c r="M11" s="32">
        <f>+'COLOMBIA USD'!M11+'EL SALVADOR USD'!M11+'VENEZUELA USD'!M11+'PANAMA USD'!M11</f>
        <v>92280.986345573328</v>
      </c>
      <c r="N11" s="34">
        <f t="shared" si="6"/>
        <v>4.3841262344967213E-2</v>
      </c>
      <c r="O11" s="34">
        <f t="shared" si="7"/>
        <v>0.66003591024270336</v>
      </c>
      <c r="P11" s="32">
        <f>+'COLOMBIA USD'!P11+'EL SALVADOR USD'!P11+'VENEZUELA USD'!P11+'PANAMA USD'!P11</f>
        <v>130776.53436061865</v>
      </c>
      <c r="Q11" s="34">
        <f t="shared" si="8"/>
        <v>5.6754488765844775E-2</v>
      </c>
      <c r="R11" s="34">
        <f t="shared" si="9"/>
        <v>-0.29436127974528792</v>
      </c>
      <c r="V11" s="3" t="s">
        <v>34</v>
      </c>
      <c r="W11" s="32">
        <f>'COLOMBIA USD'!W14+'EL SALVADOR USD'!V14+'VENEZUELA USD'!W12+'PANAMA USD'!U14</f>
        <v>1866.6938858834339</v>
      </c>
      <c r="X11" s="32">
        <f>'COLOMBIA USD'!Y14+'EL SALVADOR USD'!X14+'VENEZUELA USD'!X12+'PANAMA USD'!W14</f>
        <v>3070.7714129557817</v>
      </c>
      <c r="Y11" s="32">
        <f>'COLOMBIA USD'!X14+'EL SALVADOR USD'!W14+'VENEZUELA USD'!Y12+'PANAMA USD'!V14</f>
        <v>1962.9010368342092</v>
      </c>
      <c r="Z11" s="32">
        <f>'COLOMBIA USD'!Z14+'EL SALVADOR USD'!Y14+'VENEZUELA USD'!Z12+'PANAMA USD'!X14</f>
        <v>20917.286244088329</v>
      </c>
      <c r="AA11" s="32">
        <f>'COLOMBIA USD'!AD14+'EL SALVADOR USD'!AC14+'VENEZUELA USD'!AA12+'PANAMA USD'!AB14</f>
        <v>29129.310829451111</v>
      </c>
      <c r="AB11" s="32">
        <f>'COLOMBIA USD'!AA14+'EL SALVADOR USD'!Z14+'VENEZUELA USD'!AB12+'PANAMA USD'!Y14</f>
        <v>21995.33794307549</v>
      </c>
      <c r="AC11" s="63">
        <f>+Z11-AB11</f>
        <v>-1078.0516989871612</v>
      </c>
      <c r="AD11" s="68">
        <f t="shared" ref="AD11:AD22" si="11">IF(Z11=0,"",(AB11-Z11)/ABS(Z11)+1)</f>
        <v>1.0515387936277749</v>
      </c>
      <c r="AE11" s="68">
        <f t="shared" si="10"/>
        <v>-0.24490702605853745</v>
      </c>
      <c r="AF11" s="55"/>
      <c r="AG11" s="55">
        <f>+'COLOMBIA USD'!Y14+'EL SALVADOR USD'!X14+'VENEZUELA USD'!X12+'PANAMA USD'!W14</f>
        <v>3070.7714129557817</v>
      </c>
      <c r="AH11" s="55">
        <f>+'COLOMBIA USD'!X14+'EL SALVADOR USD'!W14+'VENEZUELA USD'!Y12+'PANAMA USD'!V14</f>
        <v>1962.9010368342092</v>
      </c>
      <c r="AI11" s="55">
        <f>+'COLOMBIA USD'!AB14+'EL SALVADOR USD'!AA14+'VENEZUELA USD'!AC12+'PANAMA USD'!Z14</f>
        <v>-1078.0516989871612</v>
      </c>
      <c r="AK11" s="55">
        <f>+'COLOMBIA USD'!AA14+'EL SALVADOR USD'!Z14+'VENEZUELA USD'!AB12+'PANAMA USD'!Y14</f>
        <v>21995.33794307549</v>
      </c>
    </row>
    <row r="12" spans="1:37" x14ac:dyDescent="0.2">
      <c r="B12" s="3" t="s">
        <v>69</v>
      </c>
      <c r="C12" s="32">
        <f>+'COLOMBIA USD'!C12+'EL SALVADOR USD'!C12+'VENEZUELA USD'!C12+'PANAMA USD'!C12</f>
        <v>15672.674753042314</v>
      </c>
      <c r="D12" s="34">
        <f t="shared" si="0"/>
        <v>6.5375106777230671E-2</v>
      </c>
      <c r="E12" s="32">
        <f>+'COLOMBIA USD'!E12+'EL SALVADOR USD'!E12+'VENEZUELA USD'!E12+'PANAMA USD'!E12</f>
        <v>14470.230753961181</v>
      </c>
      <c r="F12" s="34">
        <f t="shared" si="1"/>
        <v>5.909406423329306E-2</v>
      </c>
      <c r="G12" s="34">
        <f t="shared" si="2"/>
        <v>0.9232776779950902</v>
      </c>
      <c r="H12" s="32">
        <f>+'COLOMBIA USD'!H12+'EL SALVADOR USD'!H12+'VENEZUELA USD'!H12+'PANAMA USD'!H12</f>
        <v>17933.283778294528</v>
      </c>
      <c r="I12" s="34">
        <f t="shared" si="3"/>
        <v>7.1034959884662865E-2</v>
      </c>
      <c r="J12" s="34">
        <f t="shared" si="4"/>
        <v>-0.19310757957919777</v>
      </c>
      <c r="K12" s="32">
        <f>+'COLOMBIA USD'!K12+'EL SALVADOR USD'!K12+'VENEZUELA USD'!K12+'PANAMA USD'!K12</f>
        <v>152554.4455558958</v>
      </c>
      <c r="L12" s="34">
        <f t="shared" si="5"/>
        <v>7.2473288214915221E-2</v>
      </c>
      <c r="M12" s="32">
        <f>+'COLOMBIA USD'!M12+'EL SALVADOR USD'!M12+'VENEZUELA USD'!M12+'PANAMA USD'!M12</f>
        <v>139304.8370201806</v>
      </c>
      <c r="N12" s="34">
        <f t="shared" si="6"/>
        <v>6.6181562937071947E-2</v>
      </c>
      <c r="O12" s="34">
        <f t="shared" si="7"/>
        <v>0.913148328864264</v>
      </c>
      <c r="P12" s="32">
        <f>+'COLOMBIA USD'!P12+'EL SALVADOR USD'!P12+'VENEZUELA USD'!P12+'PANAMA USD'!P12</f>
        <v>173861.61252665453</v>
      </c>
      <c r="Q12" s="34">
        <f t="shared" si="8"/>
        <v>7.5452580106963721E-2</v>
      </c>
      <c r="R12" s="34">
        <f t="shared" si="9"/>
        <v>-0.19876023812430746</v>
      </c>
      <c r="V12" s="3" t="s">
        <v>35</v>
      </c>
      <c r="W12" s="32">
        <f>'COLOMBIA USD'!W15+'EL SALVADOR USD'!V15+'VENEZUELA USD'!W13+'PANAMA USD'!U15</f>
        <v>97100.001360960843</v>
      </c>
      <c r="X12" s="32">
        <f>'COLOMBIA USD'!Y15+'EL SALVADOR USD'!X15+'VENEZUELA USD'!X13+'PANAMA USD'!W15</f>
        <v>111956.72867032766</v>
      </c>
      <c r="Y12" s="32">
        <f>'COLOMBIA USD'!X15+'EL SALVADOR USD'!W15+'VENEZUELA USD'!Y13+'PANAMA USD'!V15</f>
        <v>107768.32890188407</v>
      </c>
      <c r="Z12" s="32">
        <f>'COLOMBIA USD'!Z15+'EL SALVADOR USD'!Y15+'VENEZUELA USD'!Z13+'PANAMA USD'!X15</f>
        <v>969657.60074315779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1058304.8119769022</v>
      </c>
      <c r="AC12" s="63">
        <f>+Z12-AB12</f>
        <v>-88647.211233744398</v>
      </c>
      <c r="AD12" s="68">
        <f t="shared" si="11"/>
        <v>1.0914211482133529</v>
      </c>
      <c r="AE12" s="68" t="e">
        <f t="shared" si="10"/>
        <v>#VALUE!</v>
      </c>
      <c r="AF12" s="55"/>
      <c r="AG12" s="55">
        <f>+'COLOMBIA USD'!Y15+'EL SALVADOR USD'!X15+'VENEZUELA USD'!X13+'PANAMA USD'!W15</f>
        <v>111956.72867032766</v>
      </c>
      <c r="AH12" s="55">
        <f>+'COLOMBIA USD'!X15+'EL SALVADOR USD'!W15+'VENEZUELA USD'!Y13+'PANAMA USD'!V15</f>
        <v>107768.32890188407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1058304.8119769022</v>
      </c>
    </row>
    <row r="13" spans="1:37" x14ac:dyDescent="0.2">
      <c r="B13" s="3" t="s">
        <v>71</v>
      </c>
      <c r="C13" s="32">
        <f>+'COLOMBIA USD'!C13+'EL SALVADOR USD'!C13+'VENEZUELA USD'!C13+'PANAMA USD'!C13</f>
        <v>30004.39873884296</v>
      </c>
      <c r="D13" s="34">
        <f t="shared" si="0"/>
        <v>0.12515673311970552</v>
      </c>
      <c r="E13" s="32">
        <f>+'COLOMBIA USD'!E13+'EL SALVADOR USD'!E13+'VENEZUELA USD'!E13+'PANAMA USD'!E13</f>
        <v>23182.781526605399</v>
      </c>
      <c r="F13" s="34">
        <f t="shared" si="1"/>
        <v>9.4674701733045652E-2</v>
      </c>
      <c r="G13" s="34">
        <f t="shared" si="2"/>
        <v>0.77264609527380856</v>
      </c>
      <c r="H13" s="32">
        <f>+'COLOMBIA USD'!H13+'EL SALVADOR USD'!H13+'VENEZUELA USD'!H13+'PANAMA USD'!H13</f>
        <v>18029.786242615104</v>
      </c>
      <c r="I13" s="34">
        <f t="shared" si="3"/>
        <v>7.1417212726168688E-2</v>
      </c>
      <c r="J13" s="34">
        <f t="shared" si="4"/>
        <v>0.28580456887562555</v>
      </c>
      <c r="K13" s="32">
        <f>+'COLOMBIA USD'!K13+'EL SALVADOR USD'!K13+'VENEZUELA USD'!K13+'PANAMA USD'!K13</f>
        <v>233725.85009016367</v>
      </c>
      <c r="L13" s="34">
        <f t="shared" si="5"/>
        <v>0.11103498711647908</v>
      </c>
      <c r="M13" s="32">
        <f>+'COLOMBIA USD'!M13+'EL SALVADOR USD'!M13+'VENEZUELA USD'!M13+'PANAMA USD'!M13</f>
        <v>193127.02683458829</v>
      </c>
      <c r="N13" s="34">
        <f t="shared" si="6"/>
        <v>9.175164879200344E-2</v>
      </c>
      <c r="O13" s="34">
        <f t="shared" si="7"/>
        <v>0.82629724850754127</v>
      </c>
      <c r="P13" s="32">
        <f>+'COLOMBIA USD'!P13+'EL SALVADOR USD'!P13+'VENEZUELA USD'!P13+'PANAMA USD'!P13</f>
        <v>236869.45026476853</v>
      </c>
      <c r="Q13" s="34">
        <f t="shared" si="8"/>
        <v>0.10279676411177256</v>
      </c>
      <c r="R13" s="34">
        <f t="shared" si="9"/>
        <v>-0.18466891100260382</v>
      </c>
      <c r="V13" s="3" t="s">
        <v>36</v>
      </c>
      <c r="W13" s="32">
        <f>'COLOMBIA USD'!W16+'EL SALVADOR USD'!V16+'VENEZUELA USD'!W14+'PANAMA USD'!U16</f>
        <v>55530.952443491777</v>
      </c>
      <c r="X13" s="32">
        <f>'COLOMBIA USD'!Y16+'EL SALVADOR USD'!X16+'VENEZUELA USD'!X14+'PANAMA USD'!W16</f>
        <v>52502.505897509298</v>
      </c>
      <c r="Y13" s="32">
        <f>'COLOMBIA USD'!X16+'EL SALVADOR USD'!W16+'VENEZUELA USD'!Y14+'PANAMA USD'!V16</f>
        <v>59589.650741430676</v>
      </c>
      <c r="Z13" s="32">
        <f>'COLOMBIA USD'!Z16+'EL SALVADOR USD'!Y16+'VENEZUELA USD'!Z14+'PANAMA USD'!X16</f>
        <v>464221.03817721986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503814.43046150694</v>
      </c>
      <c r="AC13" s="63">
        <f>+Z13-AB13</f>
        <v>-39593.392284287082</v>
      </c>
      <c r="AD13" s="68">
        <f t="shared" si="11"/>
        <v>1.0852899567838457</v>
      </c>
      <c r="AE13" s="68" t="e">
        <f t="shared" si="10"/>
        <v>#VALUE!</v>
      </c>
      <c r="AF13" s="55"/>
      <c r="AG13" s="55">
        <f>+'COLOMBIA USD'!Y16+'EL SALVADOR USD'!X16+'VENEZUELA USD'!X14+'PANAMA USD'!W16</f>
        <v>52502.505897509298</v>
      </c>
      <c r="AH13" s="55">
        <f>+'COLOMBIA USD'!X16+'EL SALVADOR USD'!W16+'VENEZUELA USD'!Y14+'PANAMA USD'!V16</f>
        <v>59589.650741430676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503814.43046150694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218386.11541707715</v>
      </c>
      <c r="X14" s="32">
        <f>SUM(X10:X13)</f>
        <v>209463.16372485226</v>
      </c>
      <c r="Y14" s="32">
        <f>SUM(Y10:Y13)</f>
        <v>265914.58889981091</v>
      </c>
      <c r="Z14" s="32">
        <f>'COLOMBIA USD'!Z17+'EL SALVADOR USD'!Y17+'VENEZUELA USD'!Z15+'PANAMA USD'!X17</f>
        <v>1877538.4263527063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2040165.4826716864</v>
      </c>
      <c r="AC14" s="63">
        <f>+AB14-Z14</f>
        <v>162627.05631898018</v>
      </c>
      <c r="AD14" s="68">
        <f t="shared" si="11"/>
        <v>1.0866171653460635</v>
      </c>
      <c r="AE14" s="68" t="e">
        <f t="shared" si="10"/>
        <v>#VALUE!</v>
      </c>
      <c r="AF14" s="55"/>
      <c r="AG14" s="55">
        <f>+'COLOMBIA USD'!Y17+'EL SALVADOR USD'!X17+'VENEZUELA USD'!X15+'PANAMA USD'!W17</f>
        <v>209463.16372485229</v>
      </c>
      <c r="AH14" s="55">
        <f>+'COLOMBIA USD'!X17+'EL SALVADOR USD'!W17+'VENEZUELA USD'!Y15+'PANAMA USD'!V17</f>
        <v>242515.61697192231</v>
      </c>
      <c r="AI14" s="55">
        <f>+'COLOMBIA USD'!AB17+'EL SALVADOR USD'!AA17+'VENEZUELA USD'!AC15+'PANAMA USD'!Z17</f>
        <v>131278.35727903488</v>
      </c>
      <c r="AK14" s="55">
        <f>+'COLOMBIA USD'!AA17+'EL SALVADOR USD'!Z17+'VENEZUELA USD'!AB15+'PANAMA USD'!Y17</f>
        <v>2040165.4826716864</v>
      </c>
    </row>
    <row r="15" spans="1:37" x14ac:dyDescent="0.2">
      <c r="B15" s="3" t="s">
        <v>74</v>
      </c>
      <c r="C15" s="32">
        <f>+'COLOMBIA USD'!C15+'EL SALVADOR USD'!C15+'VENEZUELA USD'!C15+'PANAMA USD'!C15</f>
        <v>32330.545042133082</v>
      </c>
      <c r="D15" s="34">
        <f t="shared" si="0"/>
        <v>0.13485973948928084</v>
      </c>
      <c r="E15" s="32">
        <f>+'COLOMBIA USD'!E15+'EL SALVADOR USD'!E15+'VENEZUELA USD'!E15+'PANAMA USD'!E15</f>
        <v>29892.878324580019</v>
      </c>
      <c r="F15" s="34">
        <f t="shared" si="1"/>
        <v>0.12207764353358178</v>
      </c>
      <c r="G15" s="34">
        <f t="shared" si="2"/>
        <v>0.92460174381915605</v>
      </c>
      <c r="H15" s="32">
        <f>+'COLOMBIA USD'!H15+'EL SALVADOR USD'!H15+'VENEZUELA USD'!H15+'PANAMA USD'!H15</f>
        <v>33965.744239495951</v>
      </c>
      <c r="I15" s="34">
        <f t="shared" si="3"/>
        <v>0.13454062899654673</v>
      </c>
      <c r="J15" s="34">
        <f t="shared" si="4"/>
        <v>-0.11991098696962847</v>
      </c>
      <c r="K15" s="32">
        <f>+'COLOMBIA USD'!K15+'EL SALVADOR USD'!K15+'VENEZUELA USD'!K15+'PANAMA USD'!K15</f>
        <v>275864.78835924831</v>
      </c>
      <c r="L15" s="34">
        <f t="shared" si="5"/>
        <v>0.1310537247358094</v>
      </c>
      <c r="M15" s="32">
        <f>+'COLOMBIA USD'!M15+'EL SALVADOR USD'!M15+'VENEZUELA USD'!M15+'PANAMA USD'!M15</f>
        <v>259875.30757601859</v>
      </c>
      <c r="N15" s="34">
        <f t="shared" si="6"/>
        <v>0.123462719543914</v>
      </c>
      <c r="O15" s="34">
        <f t="shared" si="7"/>
        <v>0.94203870353179242</v>
      </c>
      <c r="P15" s="32">
        <f>+'COLOMBIA USD'!P15+'EL SALVADOR USD'!P15+'VENEZUELA USD'!P15+'PANAMA USD'!P15</f>
        <v>324568.74691207829</v>
      </c>
      <c r="Q15" s="34">
        <f t="shared" si="8"/>
        <v>0.14085656414147174</v>
      </c>
      <c r="R15" s="34">
        <f t="shared" si="9"/>
        <v>-0.19932122224196885</v>
      </c>
      <c r="V15" s="3" t="s">
        <v>38</v>
      </c>
      <c r="W15" s="32">
        <f>W9-W14</f>
        <v>68995.742911720765</v>
      </c>
      <c r="X15" s="32">
        <f>X9-X14</f>
        <v>91003.087723204924</v>
      </c>
      <c r="Y15" s="32">
        <f t="shared" ref="Y15:AB15" si="12">Y9-Y14</f>
        <v>41180.88868293236</v>
      </c>
      <c r="Z15" s="32">
        <f t="shared" si="12"/>
        <v>465605.69703893783</v>
      </c>
      <c r="AA15" s="32" t="e">
        <f>AA9-AA14</f>
        <v>#VALUE!</v>
      </c>
      <c r="AB15" s="32">
        <f t="shared" si="12"/>
        <v>495391.30959494924</v>
      </c>
      <c r="AC15" s="63">
        <f>+AB15-Z15</f>
        <v>29785.612556011416</v>
      </c>
      <c r="AD15" s="68">
        <f t="shared" si="11"/>
        <v>1.063971752805938</v>
      </c>
      <c r="AE15" s="68" t="e">
        <f t="shared" si="10"/>
        <v>#VALUE!</v>
      </c>
      <c r="AF15" s="55"/>
      <c r="AG15" s="55">
        <f>+'COLOMBIA USD'!Y19+'EL SALVADOR USD'!X19+'VENEZUELA USD'!X16+'PANAMA USD'!W19</f>
        <v>89670.692754339834</v>
      </c>
      <c r="AH15" s="55">
        <f>+'COLOMBIA USD'!X19+'EL SALVADOR USD'!W19+'VENEZUELA USD'!Y16+'PANAMA USD'!V19</f>
        <v>87314.695702649304</v>
      </c>
      <c r="AI15" s="55">
        <f>+'COLOMBIA USD'!AB19+'EL SALVADOR USD'!AA19+'VENEZUELA USD'!AC16+'PANAMA USD'!Z19</f>
        <v>36394.559207939143</v>
      </c>
      <c r="AK15" s="55">
        <f>+'COLOMBIA USD'!AA19+'EL SALVADOR USD'!Z19+'VENEZUELA USD'!AB16+'PANAMA USD'!Y19</f>
        <v>503139.3756257802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77</v>
      </c>
      <c r="C17" s="32">
        <f>+'COLOMBIA USD'!C17+'EL SALVADOR USD'!C17+'VENEZUELA USD'!C17+'PANAMA USD'!C17</f>
        <v>4434.9177185759818</v>
      </c>
      <c r="D17" s="34">
        <f>+C17/$C$20</f>
        <v>1.8499281326810946E-2</v>
      </c>
      <c r="E17" s="32">
        <f>+'COLOMBIA USD'!E17+'EL SALVADOR USD'!E17+'VENEZUELA USD'!E17+'PANAMA USD'!E17</f>
        <v>3878.3657756459643</v>
      </c>
      <c r="F17" s="34">
        <f t="shared" si="1"/>
        <v>1.5838613783231374E-2</v>
      </c>
      <c r="G17" s="34">
        <f t="shared" si="2"/>
        <v>0.874506816530359</v>
      </c>
      <c r="H17" s="32">
        <f>+'COLOMBIA USD'!H17+'EL SALVADOR USD'!H17+'VENEZUELA USD'!H17+'PANAMA USD'!H17</f>
        <v>6081.2034458527442</v>
      </c>
      <c r="I17" s="34">
        <f t="shared" si="3"/>
        <v>2.4088061515508165E-2</v>
      </c>
      <c r="J17" s="34">
        <f t="shared" si="4"/>
        <v>-0.36223712786801598</v>
      </c>
      <c r="K17" s="32">
        <f>+'COLOMBIA USD'!K17+'EL SALVADOR USD'!K17+'VENEZUELA USD'!K17+'PANAMA USD'!K17</f>
        <v>34672.291971465194</v>
      </c>
      <c r="L17" s="34">
        <f t="shared" si="5"/>
        <v>1.6471594780232052E-2</v>
      </c>
      <c r="M17" s="32">
        <f>+'COLOMBIA USD'!M17+'EL SALVADOR USD'!M17+'VENEZUELA USD'!M17+'PANAMA USD'!M17</f>
        <v>38842.142886105656</v>
      </c>
      <c r="N17" s="34">
        <f t="shared" si="6"/>
        <v>1.8453298385146127E-2</v>
      </c>
      <c r="O17" s="34">
        <f t="shared" si="7"/>
        <v>1.1202646458466661</v>
      </c>
      <c r="P17" s="32">
        <f>+'COLOMBIA USD'!P17+'EL SALVADOR USD'!P17+'VENEZUELA USD'!P17+'PANAMA USD'!P17</f>
        <v>38875.546938031905</v>
      </c>
      <c r="Q17" s="34">
        <f t="shared" si="8"/>
        <v>1.6871236133819852E-2</v>
      </c>
      <c r="R17" s="34">
        <f t="shared" si="9"/>
        <v>-8.592561277528881E-4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79</v>
      </c>
      <c r="C18" s="32">
        <f>+'COLOMBIA USD'!C18+'EL SALVADOR USD'!C18+'VENEZUELA USD'!C18+'PANAMA USD'!C18</f>
        <v>54529.844737051026</v>
      </c>
      <c r="D18" s="41">
        <f t="shared" ref="D18:D46" si="13">+C18/$C$20</f>
        <v>0.2274592230364838</v>
      </c>
      <c r="E18" s="32">
        <f>+'COLOMBIA USD'!E18+'EL SALVADOR USD'!E18+'VENEZUELA USD'!E18+'PANAMA USD'!E18</f>
        <v>61970.694347381206</v>
      </c>
      <c r="F18" s="34">
        <f t="shared" si="1"/>
        <v>0.25307821655459278</v>
      </c>
      <c r="G18" s="41">
        <f t="shared" si="2"/>
        <v>1.136454626750008</v>
      </c>
      <c r="H18" s="32">
        <f>+'COLOMBIA USD'!H18+'EL SALVADOR USD'!H18+'VENEZUELA USD'!H18+'PANAMA USD'!H18</f>
        <v>53903.970017957989</v>
      </c>
      <c r="I18" s="34">
        <f t="shared" si="3"/>
        <v>0.2135173008573148</v>
      </c>
      <c r="J18" s="41">
        <f t="shared" si="4"/>
        <v>0.14964991125395413</v>
      </c>
      <c r="K18" s="32">
        <f>+'COLOMBIA USD'!K18+'EL SALVADOR USD'!K18+'VENEZUELA USD'!K18+'PANAMA USD'!K18</f>
        <v>440410.78334637592</v>
      </c>
      <c r="L18" s="34">
        <f t="shared" si="5"/>
        <v>0.20922377920952656</v>
      </c>
      <c r="M18" s="32">
        <f>+'COLOMBIA USD'!M18+'EL SALVADOR USD'!M18+'VENEZUELA USD'!M18+'PANAMA USD'!M18</f>
        <v>466884.47968668386</v>
      </c>
      <c r="N18" s="34">
        <f t="shared" si="6"/>
        <v>0.22180955979475506</v>
      </c>
      <c r="O18" s="34">
        <f t="shared" si="7"/>
        <v>1.0601113717951061</v>
      </c>
      <c r="P18" s="32">
        <f>+'COLOMBIA USD'!P18+'EL SALVADOR USD'!P18+'VENEZUELA USD'!P18+'PANAMA USD'!P18</f>
        <v>416387.36980454414</v>
      </c>
      <c r="Q18" s="34">
        <f t="shared" si="8"/>
        <v>0.18070407215904954</v>
      </c>
      <c r="R18" s="41">
        <f t="shared" si="9"/>
        <v>0.12127435542976124</v>
      </c>
      <c r="V18" s="3" t="s">
        <v>40</v>
      </c>
      <c r="W18" s="32">
        <f>W8+W15</f>
        <v>116189.92790032271</v>
      </c>
      <c r="X18" s="32">
        <f>'COLOMBIA USD'!Y21+'EL SALVADOR USD'!X21+'VENEZUELA USD'!X19+'PANAMA USD'!W21</f>
        <v>133016.90087447621</v>
      </c>
      <c r="Y18" s="32">
        <f t="shared" ref="Y18" si="14">Y8+Y15</f>
        <v>97957.4142618732</v>
      </c>
      <c r="Z18" s="32">
        <f>Z8+Z15</f>
        <v>501862.3158031854</v>
      </c>
      <c r="AA18" s="32" t="e">
        <f>AA8+AA15</f>
        <v>#VALUE!</v>
      </c>
      <c r="AB18" s="32">
        <f>AB8+AB15</f>
        <v>547011.78067521739</v>
      </c>
      <c r="AC18" s="63">
        <f>+AB18-Z18</f>
        <v>45149.464872031996</v>
      </c>
      <c r="AD18" s="68">
        <f t="shared" si="11"/>
        <v>1.0899638475540334</v>
      </c>
      <c r="AE18" s="68" t="e">
        <f t="shared" si="10"/>
        <v>#VALUE!</v>
      </c>
      <c r="AF18" s="55"/>
      <c r="AG18" s="55">
        <f>+'COLOMBIA USD'!Y21+'EL SALVADOR USD'!X21+'VENEZUELA USD'!X19+'PANAMA USD'!W21</f>
        <v>133016.90087447621</v>
      </c>
      <c r="AH18" s="55">
        <f>+'COLOMBIA USD'!X21+'EL SALVADOR USD'!W21+'VENEZUELA USD'!Y19+'PANAMA USD'!V21</f>
        <v>133215.15858382982</v>
      </c>
      <c r="AI18" s="55">
        <f>+'COLOMBIA USD'!AB21+'EL SALVADOR USD'!AA21+'VENEZUELA USD'!AC19+'PANAMA USD'!Z21</f>
        <v>53024.798528575477</v>
      </c>
      <c r="AK18" s="55">
        <f>+'COLOMBIA USD'!AA21+'EL SALVADOR USD'!Z21+'VENEZUELA USD'!AB19+'PANAMA USD'!Y21</f>
        <v>551792.59750271973</v>
      </c>
    </row>
    <row r="19" spans="2:37" x14ac:dyDescent="0.2">
      <c r="B19" s="3" t="s">
        <v>81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14447.11552976082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16620.37219330181</v>
      </c>
      <c r="X19" s="32">
        <f>'COLOMBIA USD'!Y23+'EL SALVADOR USD'!X23+'VENEZUELA USD'!X20+'PANAMA USD'!W23</f>
        <v>20405.811362985711</v>
      </c>
      <c r="Y19" s="32">
        <f>'COLOMBIA USD'!X23+'EL SALVADOR USD'!W23+'VENEZUELA USD'!Y20+'PANAMA USD'!V23</f>
        <v>17476.966125789197</v>
      </c>
      <c r="Z19" s="32">
        <f>'COLOMBIA USD'!Z23+'EL SALVADOR USD'!Y23+'VENEZUELA USD'!Z20+'PANAMA USD'!X23</f>
        <v>19069.285125832175</v>
      </c>
      <c r="AA19" s="32">
        <f>'COLOMBIA USD'!AD23+'EL SALVADOR USD'!AC23+'VENEZUELA USD'!AA20+'PANAMA USD'!AB23</f>
        <v>83873.775902454232</v>
      </c>
      <c r="AB19" s="32">
        <f>'COLOMBIA USD'!AA23+'EL SALVADOR USD'!Z23+'VENEZUELA USD'!AB20+'PANAMA USD'!Y23</f>
        <v>21377.093076561632</v>
      </c>
      <c r="AC19" s="63">
        <f t="shared" ref="AC19:AC22" si="15">+AB19-Z19</f>
        <v>2307.8079507294569</v>
      </c>
      <c r="AD19" s="68">
        <f t="shared" si="11"/>
        <v>1.1210222583332812</v>
      </c>
      <c r="AE19" s="68">
        <f t="shared" si="10"/>
        <v>-0.74512780846514726</v>
      </c>
      <c r="AF19" s="55"/>
      <c r="AG19" s="55">
        <f>+'COLOMBIA USD'!Y23+'EL SALVADOR USD'!X23+'VENEZUELA USD'!X20+'PANAMA USD'!W23</f>
        <v>20405.811362985711</v>
      </c>
      <c r="AH19" s="55">
        <f>+'COLOMBIA USD'!X23+'EL SALVADOR USD'!W23+'VENEZUELA USD'!Y20+'PANAMA USD'!V23</f>
        <v>17476.966125789197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21377.093076561632</v>
      </c>
    </row>
    <row r="20" spans="2:37" x14ac:dyDescent="0.2">
      <c r="B20" s="20" t="s">
        <v>39</v>
      </c>
      <c r="C20" s="69">
        <f>SUM(C10:C19)</f>
        <v>239734.59510280925</v>
      </c>
      <c r="D20" s="45">
        <f t="shared" si="13"/>
        <v>1</v>
      </c>
      <c r="E20" s="69">
        <f>SUM(E10:E19)</f>
        <v>244867.75349949251</v>
      </c>
      <c r="F20" s="45">
        <f t="shared" si="1"/>
        <v>1</v>
      </c>
      <c r="G20" s="45">
        <f t="shared" si="2"/>
        <v>1.0214118383476607</v>
      </c>
      <c r="H20" s="69">
        <f>SUM(H10:H19)</f>
        <v>252457.15359609143</v>
      </c>
      <c r="I20" s="45">
        <f>+H22/$H$22</f>
        <v>1</v>
      </c>
      <c r="J20" s="45">
        <f t="shared" si="4"/>
        <v>-3.0062131290370473E-2</v>
      </c>
      <c r="K20" s="69">
        <f>SUM(K10:K19)</f>
        <v>2104974.8026266545</v>
      </c>
      <c r="L20" s="45">
        <f t="shared" si="5"/>
        <v>1</v>
      </c>
      <c r="M20" s="69">
        <f>SUM(M10:M19)</f>
        <v>2104888.8971183281</v>
      </c>
      <c r="N20" s="45">
        <f t="shared" si="6"/>
        <v>1</v>
      </c>
      <c r="O20" s="45">
        <f>IF(K20=0,"",(M20-K20)/ABS(K20)+1)</f>
        <v>0.99995918929375349</v>
      </c>
      <c r="P20" s="69">
        <f>SUM(P10:P19)</f>
        <v>2304250.0638173455</v>
      </c>
      <c r="Q20" s="45">
        <f t="shared" si="8"/>
        <v>1</v>
      </c>
      <c r="R20" s="45">
        <f>IF(P20=0,"",(M20-P20)/ABS(P20))</f>
        <v>-8.6518893860306506E-2</v>
      </c>
      <c r="V20" s="3" t="s">
        <v>44</v>
      </c>
      <c r="W20" s="32">
        <f>'COLOMBIA USD'!W25+'EL SALVADOR USD'!V25+'VENEZUELA USD'!W21+'PANAMA USD'!U25</f>
        <v>81371.98721345891</v>
      </c>
      <c r="X20" s="32">
        <f>'COLOMBIA USD'!Y25+'EL SALVADOR USD'!X25+'VENEZUELA USD'!X21+'PANAMA USD'!W25</f>
        <v>78578.76278761946</v>
      </c>
      <c r="Y20" s="32">
        <f>'COLOMBIA USD'!X25+'EL SALVADOR USD'!W25+'VENEZUELA USD'!Y21+'PANAMA USD'!V25</f>
        <v>91695.601040743262</v>
      </c>
      <c r="Z20" s="32">
        <f>'COLOMBIA USD'!Z25+'EL SALVADOR USD'!Y25+'VENEZUELA USD'!Z21+'PANAMA USD'!X25</f>
        <v>432061.84721073264</v>
      </c>
      <c r="AA20" s="32">
        <f>'COLOMBIA USD'!AD25+'EL SALVADOR USD'!AC25+'VENEZUELA USD'!AA21+'PANAMA USD'!AB25</f>
        <v>472365.4888402886</v>
      </c>
      <c r="AB20" s="32">
        <f>'COLOMBIA USD'!AA25+'EL SALVADOR USD'!Z25+'VENEZUELA USD'!AB21+'PANAMA USD'!Y25</f>
        <v>461472.67388220347</v>
      </c>
      <c r="AC20" s="63">
        <f t="shared" si="15"/>
        <v>29410.82667147083</v>
      </c>
      <c r="AD20" s="68">
        <f t="shared" si="11"/>
        <v>1.0680708719396046</v>
      </c>
      <c r="AE20" s="68">
        <f t="shared" si="10"/>
        <v>-2.3060141385070787E-2</v>
      </c>
      <c r="AF20" s="55"/>
      <c r="AG20" s="55">
        <f>+'COLOMBIA USD'!Y25+'EL SALVADOR USD'!X25+'VENEZUELA USD'!X21+'PANAMA USD'!W25</f>
        <v>78578.76278761946</v>
      </c>
      <c r="AH20" s="55">
        <f>+'COLOMBIA USD'!X25+'EL SALVADOR USD'!W25+'VENEZUELA USD'!Y21+'PANAMA USD'!V25</f>
        <v>91695.601040743262</v>
      </c>
      <c r="AI20" s="55">
        <f>+'COLOMBIA USD'!AB25+'EL SALVADOR USD'!AA25+'VENEZUELA USD'!AC21+'PANAMA USD'!Z25</f>
        <v>28098.144192184827</v>
      </c>
      <c r="AK20" s="55">
        <f>+'COLOMBIA USD'!AA25+'EL SALVADOR USD'!Z25+'VENEZUELA USD'!AB21+'PANAMA USD'!Y25</f>
        <v>461472.67388220347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16561.618735894208</v>
      </c>
      <c r="X21" s="32">
        <f>'COLOMBIA USD'!Y27+'EL SALVADOR USD'!X27+'VENEZUELA USD'!X22+'PANAMA USD'!W27</f>
        <v>-52604.086208781198</v>
      </c>
      <c r="Y21" s="32">
        <f>'COLOMBIA USD'!X27+'EL SALVADOR USD'!W27+'VENEZUELA USD'!Y22+'PANAMA USD'!V27</f>
        <v>17415.184586065348</v>
      </c>
      <c r="Z21" s="32">
        <f>'COLOMBIA USD'!Z27+'EL SALVADOR USD'!Y27+'VENEZUELA USD'!Z22+'PANAMA USD'!X27</f>
        <v>51855.103036076805</v>
      </c>
      <c r="AA21" s="32">
        <f>'COLOMBIA USD'!AD27+'EL SALVADOR USD'!AC27+'VENEZUELA USD'!AA22+'PANAMA USD'!AB27</f>
        <v>-150072.6127579835</v>
      </c>
      <c r="AB21" s="32">
        <f>'COLOMBIA USD'!AA27+'EL SALVADOR USD'!Z27+'VENEZUELA USD'!AB22+'PANAMA USD'!Y27</f>
        <v>54527.652490000175</v>
      </c>
      <c r="AC21" s="63">
        <f t="shared" si="15"/>
        <v>2672.5494539233696</v>
      </c>
      <c r="AD21" s="68">
        <f t="shared" si="11"/>
        <v>1.0515387936277749</v>
      </c>
      <c r="AE21" s="68">
        <f t="shared" si="10"/>
        <v>1.3633417949345288</v>
      </c>
      <c r="AF21" s="55"/>
      <c r="AG21" s="55">
        <f>+'COLOMBIA USD'!Y27+'EL SALVADOR USD'!X27+'VENEZUELA USD'!X22+'PANAMA USD'!W27</f>
        <v>-52604.086208781198</v>
      </c>
      <c r="AH21" s="55">
        <f>+'COLOMBIA USD'!X27+'EL SALVADOR USD'!W27+'VENEZUELA USD'!Y22+'PANAMA USD'!V27</f>
        <v>17415.184586065348</v>
      </c>
      <c r="AI21" s="55">
        <f>+'COLOMBIA USD'!AB27+'EL SALVADOR USD'!AA27+'VENEZUELA USD'!AC22+'PANAMA USD'!Z27</f>
        <v>2672.5494539233696</v>
      </c>
      <c r="AK21" s="55">
        <f>+'COLOMBIA USD'!AA27+'EL SALVADOR USD'!Z27+'VENEZUELA USD'!AB22+'PANAMA USD'!Y27</f>
        <v>54527.652490000175</v>
      </c>
    </row>
    <row r="22" spans="2:37" x14ac:dyDescent="0.2">
      <c r="B22" s="3" t="s">
        <v>41</v>
      </c>
      <c r="C22" s="32">
        <f>+'COLOMBIA USD'!C22+'EL SALVADOR USD'!C22+'VENEZUELA USD'!C22+'PANAMA USD'!C22</f>
        <v>37894.493098794417</v>
      </c>
      <c r="D22" s="34">
        <f t="shared" si="13"/>
        <v>0.15806852191083856</v>
      </c>
      <c r="E22" s="32">
        <f>+'COLOMBIA USD'!E22+'EL SALVADOR USD'!E22+'VENEZUELA USD'!E22+'PANAMA USD'!E22</f>
        <v>37976.728152422023</v>
      </c>
      <c r="F22" s="34">
        <f>+E22/$E$20</f>
        <v>0.15509076883208606</v>
      </c>
      <c r="G22" s="34">
        <f>IF(C22=0,"",(E22-C22)/ABS(C22)+1)</f>
        <v>1.0021701056513201</v>
      </c>
      <c r="H22" s="32">
        <f>+'COLOMBIA USD'!H22+'EL SALVADOR USD'!H22+'VENEZUELA USD'!H22+'PANAMA USD'!H22</f>
        <v>27187.926884938708</v>
      </c>
      <c r="I22" s="34">
        <f t="shared" ref="I22:I46" si="16">+H22/$H$20</f>
        <v>0.10769323228779219</v>
      </c>
      <c r="J22" s="34">
        <f>IF(H22=0,"",(E22-H22)/ABS(H22))</f>
        <v>0.3968232411813637</v>
      </c>
      <c r="K22" s="32">
        <f>+'COLOMBIA USD'!K22+'EL SALVADOR USD'!K22+'VENEZUELA USD'!K22+'PANAMA USD'!K22</f>
        <v>289137.76044820982</v>
      </c>
      <c r="L22" s="34">
        <f t="shared" si="5"/>
        <v>0.13735925013801331</v>
      </c>
      <c r="M22" s="32">
        <f>+'COLOMBIA USD'!M22+'EL SALVADOR USD'!M22+'VENEZUELA USD'!M22+'PANAMA USD'!M22</f>
        <v>283585.55257937597</v>
      </c>
      <c r="N22" s="34">
        <f>+M22/$M$20</f>
        <v>0.13472708843094533</v>
      </c>
      <c r="O22" s="34">
        <f>IF(K22=0,"",(M22-K22)/ABS(K22)+1)</f>
        <v>0.98079736157523312</v>
      </c>
      <c r="P22" s="32">
        <f>+'COLOMBIA USD'!P22+'EL SALVADOR USD'!P22+'VENEZUELA USD'!P22+'PANAMA USD'!P22</f>
        <v>276281.53522317362</v>
      </c>
      <c r="Q22" s="34">
        <f t="shared" si="8"/>
        <v>0.11990084737828786</v>
      </c>
      <c r="R22" s="34">
        <f>IF(P22=0,"",(M22-P22)/ABS(P22))</f>
        <v>2.6436863941350062E-2</v>
      </c>
      <c r="V22" s="3" t="s">
        <v>49</v>
      </c>
      <c r="W22" s="32">
        <f>'COLOMBIA USD'!W28+'EL SALVADOR USD'!V28+'VENEZUELA USD'!W23+'PANAMA USD'!U28</f>
        <v>0</v>
      </c>
      <c r="X22" s="32">
        <f>'COLOMBIA USD'!Y28+'EL SALVADOR USD'!X28+'VENEZUELA USD'!X23+'PANAMA USD'!W28</f>
        <v>21204.689378757514</v>
      </c>
      <c r="Y22" s="32">
        <f>'COLOMBIA USD'!X28+'EL SALVADOR USD'!W28+'VENEZUELA USD'!Y23+'PANAMA USD'!V28</f>
        <v>0</v>
      </c>
      <c r="Z22" s="32">
        <f>'COLOMBIA USD'!Z28+'EL SALVADOR USD'!Y28+'VENEZUELA USD'!Z23+'PANAMA USD'!X28</f>
        <v>0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0</v>
      </c>
      <c r="AC22" s="63">
        <f t="shared" si="15"/>
        <v>0</v>
      </c>
      <c r="AD22" s="68" t="str">
        <f t="shared" si="11"/>
        <v/>
      </c>
      <c r="AE22" s="68" t="e">
        <f t="shared" si="10"/>
        <v>#VALUE!</v>
      </c>
      <c r="AF22" s="55"/>
      <c r="AG22" s="55">
        <f>+'COLOMBIA USD'!Y28+'EL SALVADOR USD'!X28+'VENEZUELA USD'!X23+'PANAMA USD'!W28</f>
        <v>21204.689378757514</v>
      </c>
      <c r="AH22" s="55">
        <f>+'COLOMBIA USD'!X28+'EL SALVADOR USD'!W28+'VENEZUELA USD'!Y23+'PANAMA USD'!V28</f>
        <v>0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0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1635.9497576677859</v>
      </c>
      <c r="X23" s="32">
        <f t="shared" ref="X23:AB23" si="17">X18-X19-X20-X21-X22</f>
        <v>65431.723553894728</v>
      </c>
      <c r="Y23" s="32">
        <f t="shared" si="17"/>
        <v>-28630.337490724611</v>
      </c>
      <c r="Z23" s="32">
        <f t="shared" si="17"/>
        <v>-1123.9195694562368</v>
      </c>
      <c r="AA23" s="32" t="e">
        <f t="shared" si="17"/>
        <v>#VALUE!</v>
      </c>
      <c r="AB23" s="32">
        <f t="shared" si="17"/>
        <v>9634.3612264521726</v>
      </c>
      <c r="AC23" s="63">
        <f t="shared" ref="AC23" si="18">Y23-W23</f>
        <v>-30266.287248392397</v>
      </c>
      <c r="AD23" s="68">
        <f t="shared" ref="AD23" si="19">IF(W23=0,"",(Y23-W23)/ABS(W23)+1)</f>
        <v>-17.500743746275003</v>
      </c>
      <c r="AE23" s="68">
        <f t="shared" ref="AE23" si="20">IF(X23=0,"",(Y23-X23)/ABS(X23))</f>
        <v>-1.4375604971973939</v>
      </c>
      <c r="AF23" s="55"/>
      <c r="AG23" s="55">
        <f>+'COLOMBIA USD'!Y30+'EL SALVADOR USD'!X30+'VENEZUELA USD'!X24+'PANAMA USD'!W30</f>
        <v>66764.118522759789</v>
      </c>
      <c r="AH23" s="55">
        <f>+'COLOMBIA USD'!X30+'EL SALVADOR USD'!W30+'VENEZUELA USD'!Y24+'PANAMA USD'!V30</f>
        <v>7972.2614035067163</v>
      </c>
      <c r="AI23" s="55">
        <f>+'COLOMBIA USD'!AB30+'EL SALVADOR USD'!AA30+'VENEZUELA USD'!AC24+'PANAMA USD'!Z30</f>
        <v>20685.585794388346</v>
      </c>
      <c r="AK23" s="55">
        <f>+'COLOMBIA USD'!AA30+'EL SALVADOR USD'!Z30+'VENEZUELA USD'!AB24+'PANAMA USD'!Y30</f>
        <v>15845.127269669592</v>
      </c>
    </row>
    <row r="24" spans="2:37" x14ac:dyDescent="0.2">
      <c r="B24" s="3" t="s">
        <v>43</v>
      </c>
      <c r="C24" s="32">
        <f>+C20-C22</f>
        <v>201840.10200401483</v>
      </c>
      <c r="D24" s="34">
        <f t="shared" si="13"/>
        <v>0.84193147808916136</v>
      </c>
      <c r="E24" s="32">
        <f>+E20-E22</f>
        <v>206891.02534707048</v>
      </c>
      <c r="F24" s="34">
        <f>+E24/$E$20</f>
        <v>0.84490923116791394</v>
      </c>
      <c r="G24" s="34">
        <f>IF(C24=0,"",(E24-C24)/ABS(C24)+1)</f>
        <v>1.0250243796594751</v>
      </c>
      <c r="H24" s="32">
        <f>+H20-H22</f>
        <v>225269.22671115273</v>
      </c>
      <c r="I24" s="34">
        <f t="shared" si="16"/>
        <v>0.89230676771220785</v>
      </c>
      <c r="J24" s="34">
        <f>IF(H24=0,"",(E24-H24)/ABS(H24))</f>
        <v>-8.158327540959405E-2</v>
      </c>
      <c r="K24" s="32">
        <f>+K20-K22</f>
        <v>1815837.0421784446</v>
      </c>
      <c r="L24" s="34">
        <f t="shared" si="5"/>
        <v>0.86264074986198669</v>
      </c>
      <c r="M24" s="32">
        <f>+M20-M22</f>
        <v>1821303.3445389522</v>
      </c>
      <c r="N24" s="34">
        <f>+M24/$M$20</f>
        <v>0.86527291156905473</v>
      </c>
      <c r="O24" s="34">
        <f>IF(K24=0,"",(M24-K24)/ABS(K24)+1)</f>
        <v>1.0030103485244193</v>
      </c>
      <c r="P24" s="32">
        <f>+P20-P22</f>
        <v>2027968.5285941719</v>
      </c>
      <c r="Q24" s="34">
        <f t="shared" si="8"/>
        <v>0.88009915262171212</v>
      </c>
      <c r="R24" s="34">
        <f>IF(P24=0,"",(M24-P24)/ABS(P24))</f>
        <v>-0.10190749074320402</v>
      </c>
      <c r="W24" s="55">
        <f>+'COLOMBIA USD'!W30+'EL SALVADOR USD'!V30+'VENEZUELA USD'!W24+'PANAMA USD'!U30</f>
        <v>2212.4263867624286</v>
      </c>
      <c r="X24" s="55">
        <f>+'COLOMBIA USD'!Y30+'EL SALVADOR USD'!X30+'VENEZUELA USD'!X24+'PANAMA USD'!W30</f>
        <v>66764.118522759789</v>
      </c>
      <c r="Y24" s="55">
        <f>+'COLOMBIA USD'!X30+'EL SALVADOR USD'!W30+'VENEZUELA USD'!Y24+'PANAMA USD'!V30</f>
        <v>7972.2614035067163</v>
      </c>
      <c r="Z24" s="55">
        <f>+'COLOMBIA USD'!Z30+'EL SALVADOR USD'!Y30+'VENEZUELA USD'!Z24+'PANAMA USD'!X30</f>
        <v>-3815.4585247187588</v>
      </c>
      <c r="AA24" s="55">
        <f>+'COLOMBIA USD'!AD30+'EL SALVADOR USD'!AC30+'VENEZUELA USD'!AA24+'PANAMA USD'!AB30</f>
        <v>66764.614141790284</v>
      </c>
      <c r="AB24" s="55">
        <f>+'COLOMBIA USD'!AA30+'EL SALVADOR USD'!Z30+'VENEZUELA USD'!AB24+'PANAMA USD'!Y30</f>
        <v>15845.127269669592</v>
      </c>
      <c r="AC24" s="55">
        <f>+'COLOMBIA USD'!AB30+'EL SALVADOR USD'!AA30+'VENEZUELA USD'!AC24+'PANAMA USD'!Z30</f>
        <v>20685.585794388346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55414.452326675972</v>
      </c>
      <c r="D26" s="34">
        <f t="shared" si="13"/>
        <v>0.23114916853327613</v>
      </c>
      <c r="E26" s="32">
        <f>+'COLOMBIA USD'!E26+'EL SALVADOR USD'!E26+'VENEZUELA USD'!E26+'PANAMA USD'!E26</f>
        <v>58778.994486597338</v>
      </c>
      <c r="F26" s="34">
        <f>+E26/$E$20</f>
        <v>0.24004383446397387</v>
      </c>
      <c r="G26" s="34">
        <f>IF(C26=0,"",(E26-C26)/ABS(C26)+1)</f>
        <v>1.0607159688250083</v>
      </c>
      <c r="H26" s="32">
        <f>+'COLOMBIA USD'!H26+'EL SALVADOR USD'!H26+'VENEZUELA USD'!H26+'PANAMA USD'!H26</f>
        <v>51141.461990670097</v>
      </c>
      <c r="I26" s="34">
        <f t="shared" si="16"/>
        <v>0.202574818190701</v>
      </c>
      <c r="J26" s="34">
        <f>IF(H26=0,"",(E26-H26)/ABS(H26))</f>
        <v>0.14934130153182912</v>
      </c>
      <c r="K26" s="32">
        <f>+'COLOMBIA USD'!K26+'EL SALVADOR USD'!K26+'VENEZUELA USD'!K26+'PANAMA USD'!K26</f>
        <v>469290.6430539962</v>
      </c>
      <c r="L26" s="34">
        <f t="shared" si="5"/>
        <v>0.22294359175625306</v>
      </c>
      <c r="M26" s="32">
        <f>+'COLOMBIA USD'!M26+'EL SALVADOR USD'!M26+'VENEZUELA USD'!M26+'PANAMA USD'!M26</f>
        <v>470339.76956541266</v>
      </c>
      <c r="N26" s="34">
        <f>+M26/$M$20</f>
        <v>0.22345111431264872</v>
      </c>
      <c r="O26" s="34">
        <f>IF(K26=0,"",(M26-K26)/ABS(K26)+1)</f>
        <v>1.0022355581278779</v>
      </c>
      <c r="P26" s="32">
        <f>+'COLOMBIA USD'!P26+'EL SALVADOR USD'!P26+'VENEZUELA USD'!P26+'PANAMA USD'!P26</f>
        <v>499313.75998758891</v>
      </c>
      <c r="Q26" s="34">
        <f t="shared" si="8"/>
        <v>0.21669252301566552</v>
      </c>
      <c r="R26" s="34">
        <f>IF(P26=0,"",(M26-P26)/ABS(P26))</f>
        <v>-5.8027622597255163E-2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74006.96879997279</v>
      </c>
      <c r="D27" s="34">
        <f t="shared" si="13"/>
        <v>0.30870375119717364</v>
      </c>
      <c r="E27" s="32">
        <f>+'COLOMBIA USD'!E27+'EL SALVADOR USD'!E27+'VENEZUELA USD'!E27+'PANAMA USD'!E27</f>
        <v>75980.493441105165</v>
      </c>
      <c r="F27" s="34">
        <f>+E27/$E$20</f>
        <v>0.31029195292250938</v>
      </c>
      <c r="G27" s="34">
        <f>IF(C27=0,"",(E27-C27)/ABS(C27)+1)</f>
        <v>1.0266667406209602</v>
      </c>
      <c r="H27" s="32">
        <f>+'COLOMBIA USD'!H27+'EL SALVADOR USD'!H27+'VENEZUELA USD'!H27+'PANAMA USD'!H27</f>
        <v>86726.815505632039</v>
      </c>
      <c r="I27" s="34">
        <f t="shared" si="16"/>
        <v>0.34353082996565465</v>
      </c>
      <c r="J27" s="34">
        <f>IF(H27=0,"",(E27-H27)/ABS(H27))</f>
        <v>-0.12391002715681412</v>
      </c>
      <c r="K27" s="32">
        <f>+'COLOMBIA USD'!K27+'EL SALVADOR USD'!K27+'VENEZUELA USD'!K27+'PANAMA USD'!K27</f>
        <v>711956.96945777058</v>
      </c>
      <c r="L27" s="34">
        <f t="shared" si="5"/>
        <v>0.33822588687017441</v>
      </c>
      <c r="M27" s="32">
        <f>+'COLOMBIA USD'!M27+'EL SALVADOR USD'!M27+'VENEZUELA USD'!M27+'PANAMA USD'!M27</f>
        <v>722396.21300528641</v>
      </c>
      <c r="N27" s="34">
        <f>+M27/$M$20</f>
        <v>0.34319921302937839</v>
      </c>
      <c r="O27" s="34">
        <f>IF(K27=0,"",(M27-K27)/ABS(K27)+1)</f>
        <v>1.0146627450749817</v>
      </c>
      <c r="P27" s="32">
        <f>+'COLOMBIA USD'!P27+'EL SALVADOR USD'!P27+'VENEZUELA USD'!P27+'PANAMA USD'!P27</f>
        <v>818530.54686052667</v>
      </c>
      <c r="Q27" s="34">
        <f t="shared" si="8"/>
        <v>0.35522643992228198</v>
      </c>
      <c r="R27" s="34">
        <f>IF(P27=0,"",(M27-P27)/ABS(P27))</f>
        <v>-0.11744746023708391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129421.42112664875</v>
      </c>
      <c r="D28" s="34">
        <f t="shared" si="13"/>
        <v>0.5398529197304498</v>
      </c>
      <c r="E28" s="32">
        <f>SUM(E26:E27)</f>
        <v>134759.48792770249</v>
      </c>
      <c r="F28" s="34">
        <f>+E28/$E$20</f>
        <v>0.55033578738648326</v>
      </c>
      <c r="G28" s="34">
        <f>IF(C28=0,"",(E28-C28)/ABS(C28)+1)</f>
        <v>1.0412456203508229</v>
      </c>
      <c r="H28" s="32">
        <f>SUM(H26:H27)</f>
        <v>137868.27749630215</v>
      </c>
      <c r="I28" s="34">
        <f t="shared" si="16"/>
        <v>0.54610564815635565</v>
      </c>
      <c r="J28" s="34">
        <f>IF(H28=0,"",(E28-H28)/ABS(H28))</f>
        <v>-2.2548983892854143E-2</v>
      </c>
      <c r="K28" s="32">
        <f>SUM(K26:K27)</f>
        <v>1181247.6125117668</v>
      </c>
      <c r="L28" s="34">
        <f t="shared" si="5"/>
        <v>0.56116947862642752</v>
      </c>
      <c r="M28" s="32">
        <f>SUM(M26:M27)</f>
        <v>1192735.982570699</v>
      </c>
      <c r="N28" s="34">
        <f>+M28/$M$20</f>
        <v>0.56665032734202703</v>
      </c>
      <c r="O28" s="34">
        <f>IF(K28=0,"",(M28-K28)/ABS(K28)+1)</f>
        <v>1.0097256239396781</v>
      </c>
      <c r="P28" s="32">
        <f>SUM(P26:P27)</f>
        <v>1317844.3068481155</v>
      </c>
      <c r="Q28" s="34">
        <f t="shared" si="8"/>
        <v>0.57191896293794742</v>
      </c>
      <c r="R28" s="34">
        <f>IF(P28=0,"",(M28-P28)/ABS(P28))</f>
        <v>-9.4934070456803646E-2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19727.355052000046</v>
      </c>
      <c r="D30" s="34">
        <f t="shared" si="13"/>
        <v>8.2288311553616392E-2</v>
      </c>
      <c r="E30" s="32">
        <f>+'COLOMBIA USD'!E30+'EL SALVADOR USD'!E30+'VENEZUELA USD'!E30+'PANAMA USD'!E30</f>
        <v>24367.722805967074</v>
      </c>
      <c r="F30" s="34">
        <f>+E30/$E$20</f>
        <v>9.9513808811978077E-2</v>
      </c>
      <c r="G30" s="34">
        <f>IF(C30=0,"",(E30-C30)/ABS(C30)+1)</f>
        <v>1.2352250335503829</v>
      </c>
      <c r="H30" s="32">
        <f>+'COLOMBIA USD'!H30+'EL SALVADOR USD'!H30+'VENEZUELA USD'!H30+'PANAMA USD'!H30</f>
        <v>25039.734737091625</v>
      </c>
      <c r="I30" s="34">
        <f t="shared" si="16"/>
        <v>9.9184096708754513E-2</v>
      </c>
      <c r="J30" s="34">
        <f>IF(H30=0,"",(E30-H30)/ABS(H30))</f>
        <v>-2.6837821493735408E-2</v>
      </c>
      <c r="K30" s="32">
        <f>+'COLOMBIA USD'!K30+'EL SALVADOR USD'!K30+'VENEZUELA USD'!K30+'PANAMA USD'!K30</f>
        <v>174259.11291438423</v>
      </c>
      <c r="L30" s="34">
        <f t="shared" si="5"/>
        <v>8.2784417512712344E-2</v>
      </c>
      <c r="M30" s="32">
        <f>+'COLOMBIA USD'!M30+'EL SALVADOR USD'!M30+'VENEZUELA USD'!M30+'PANAMA USD'!M30</f>
        <v>189297.17521608269</v>
      </c>
      <c r="N30" s="34">
        <f>+M30/$M$20</f>
        <v>8.993214581312943E-2</v>
      </c>
      <c r="O30" s="34">
        <f>IF(K30=0,"",(M30-K30)/ABS(K30)+1)</f>
        <v>1.0862971356286364</v>
      </c>
      <c r="P30" s="32">
        <f>+'COLOMBIA USD'!P30+'EL SALVADOR USD'!P30+'VENEZUELA USD'!P30+'PANAMA USD'!P30</f>
        <v>212183.56918355226</v>
      </c>
      <c r="Q30" s="34">
        <f t="shared" si="8"/>
        <v>9.2083568756438472E-2</v>
      </c>
      <c r="R30" s="34">
        <f>IF(P30=0,"",(M30-P30)/ABS(P30))</f>
        <v>-0.10786129225525182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0</v>
      </c>
      <c r="D31" s="34">
        <f t="shared" si="13"/>
        <v>0</v>
      </c>
      <c r="E31" s="32">
        <f>+'COLOMBIA USD'!E31+'EL SALVADOR USD'!E31+'VENEZUELA USD'!E31+'PANAMA USD'!E31</f>
        <v>1150.0019705653833</v>
      </c>
      <c r="F31" s="34">
        <f>+E31/$E$20</f>
        <v>4.6964206357525415E-3</v>
      </c>
      <c r="G31" s="34" t="str">
        <f>IF(C31=0,"",(E31-C31)/ABS(C31)+1)</f>
        <v/>
      </c>
      <c r="H31" s="32">
        <f>+'COLOMBIA USD'!H31+'EL SALVADOR USD'!H31+'VENEZUELA USD'!H31+'PANAMA USD'!H31</f>
        <v>975.76566125290014</v>
      </c>
      <c r="I31" s="34">
        <f t="shared" si="16"/>
        <v>3.8650743199538594E-3</v>
      </c>
      <c r="J31" s="34">
        <f>IF(H31=0,"",(E31-H31)/ABS(H31))</f>
        <v>0.17856368207173914</v>
      </c>
      <c r="K31" s="32">
        <f>+'COLOMBIA USD'!K31+'EL SALVADOR USD'!K31+'VENEZUELA USD'!K31+'PANAMA USD'!K31</f>
        <v>0</v>
      </c>
      <c r="L31" s="34">
        <f t="shared" si="5"/>
        <v>0</v>
      </c>
      <c r="M31" s="32">
        <f>+'COLOMBIA USD'!M31+'EL SALVADOR USD'!M31+'VENEZUELA USD'!M31+'PANAMA USD'!M31</f>
        <v>8849.6562770952733</v>
      </c>
      <c r="N31" s="34">
        <f>+M31/$M$20</f>
        <v>4.2043341523682245E-3</v>
      </c>
      <c r="O31" s="34" t="str">
        <f>IF(K31=0,"",(M31-K31)/ABS(K31)+1)</f>
        <v/>
      </c>
      <c r="P31" s="32">
        <f>+'COLOMBIA USD'!P31+'EL SALVADOR USD'!P31+'VENEZUELA USD'!P31+'PANAMA USD'!P31</f>
        <v>10859.087006960557</v>
      </c>
      <c r="Q31" s="34">
        <f t="shared" si="8"/>
        <v>4.7126339182869785E-3</v>
      </c>
      <c r="R31" s="34">
        <f>IF(P31=0,"",(M31-P31)/ABS(P31))</f>
        <v>-0.18504601064318396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19727.355052000046</v>
      </c>
      <c r="D32" s="34">
        <f t="shared" si="13"/>
        <v>8.2288311553616392E-2</v>
      </c>
      <c r="E32" s="32">
        <f>SUM(E30:E31)</f>
        <v>25517.724776532457</v>
      </c>
      <c r="F32" s="34">
        <f>+E32/$E$20</f>
        <v>0.10421022944773062</v>
      </c>
      <c r="G32" s="34">
        <f>IF(C32=0,"",(E32-C32)/ABS(C32)+1)</f>
        <v>1.2935198210438941</v>
      </c>
      <c r="H32" s="32">
        <f>SUM(H30:H31)</f>
        <v>26015.500398344524</v>
      </c>
      <c r="I32" s="34">
        <f t="shared" si="16"/>
        <v>0.10304917102870836</v>
      </c>
      <c r="J32" s="34">
        <f>IF(H32=0,"",(E32-H32)/ABS(H32))</f>
        <v>-1.9133809236425152E-2</v>
      </c>
      <c r="K32" s="32">
        <f>SUM(K30:K31)</f>
        <v>174259.11291438423</v>
      </c>
      <c r="L32" s="34">
        <f t="shared" si="5"/>
        <v>8.2784417512712344E-2</v>
      </c>
      <c r="M32" s="32">
        <f>SUM(M30:M31)</f>
        <v>198146.83149317798</v>
      </c>
      <c r="N32" s="34">
        <f>+M32/$M$20</f>
        <v>9.4136479965497663E-2</v>
      </c>
      <c r="O32" s="34">
        <f>IF(K32=0,"",(M32-K32)/ABS(K32)+1)</f>
        <v>1.1370816032475162</v>
      </c>
      <c r="P32" s="32">
        <f>SUM(P30:P31)</f>
        <v>223042.65619051282</v>
      </c>
      <c r="Q32" s="34">
        <f t="shared" si="8"/>
        <v>9.679620267472544E-2</v>
      </c>
      <c r="R32" s="34">
        <f>IF(P32=0,"",(M32-P32)/ABS(P32))</f>
        <v>-0.11161911861410927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149148.77617864881</v>
      </c>
      <c r="D34" s="34">
        <f t="shared" si="13"/>
        <v>0.62214123128406618</v>
      </c>
      <c r="E34" s="32">
        <f>E28+E32</f>
        <v>160277.21270423493</v>
      </c>
      <c r="F34" s="34">
        <f>+E34/$E$20</f>
        <v>0.65454601683421376</v>
      </c>
      <c r="G34" s="34">
        <f>IF(C34=0,"",(E34-C34)/ABS(C34)+1)</f>
        <v>1.0746129925481696</v>
      </c>
      <c r="H34" s="32">
        <f>H28+H32</f>
        <v>163883.77789464669</v>
      </c>
      <c r="I34" s="34">
        <f t="shared" si="16"/>
        <v>0.64915481918506412</v>
      </c>
      <c r="J34" s="34">
        <f>IF(H34=0,"",(E34-H34)/ABS(H34))</f>
        <v>-2.2006846783397007E-2</v>
      </c>
      <c r="K34" s="32">
        <f>K28+K32</f>
        <v>1355506.725426151</v>
      </c>
      <c r="L34" s="34">
        <f t="shared" si="5"/>
        <v>0.64395389613913978</v>
      </c>
      <c r="M34" s="32">
        <f>M28+M32</f>
        <v>1390882.8140638769</v>
      </c>
      <c r="N34" s="34">
        <f>+M34/$M$20</f>
        <v>0.6607868073075247</v>
      </c>
      <c r="O34" s="34">
        <f>IF(K34=0,"",(M34-K34)/ABS(K34)+1)</f>
        <v>1.0260980546788538</v>
      </c>
      <c r="P34" s="32">
        <f>P28+P32</f>
        <v>1540886.9630386285</v>
      </c>
      <c r="Q34" s="34">
        <f t="shared" si="8"/>
        <v>0.66871516561267297</v>
      </c>
      <c r="R34" s="34">
        <f>IF(P34=0,"",(M34-P34)/ABS(P34))</f>
        <v>-9.734922325447122E-2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52691.325825366017</v>
      </c>
      <c r="D36" s="45">
        <f t="shared" si="13"/>
        <v>0.21979024680509521</v>
      </c>
      <c r="E36" s="69">
        <f>E24-E34</f>
        <v>46613.812642835546</v>
      </c>
      <c r="F36" s="45">
        <f>+E36/$E$20</f>
        <v>0.19036321433370015</v>
      </c>
      <c r="G36" s="45">
        <f>IF(C36=0,"",(E36-C36)/ABS(C36)+1)</f>
        <v>0.88465818448613209</v>
      </c>
      <c r="H36" s="69">
        <f>H24-H34</f>
        <v>61385.448816506047</v>
      </c>
      <c r="I36" s="45">
        <f t="shared" si="16"/>
        <v>0.24315194852714375</v>
      </c>
      <c r="J36" s="45">
        <f>IF(H36=0,"",(E36-H36)/ABS(H36))</f>
        <v>-0.24063742236089228</v>
      </c>
      <c r="K36" s="69">
        <f>K24-K34</f>
        <v>460330.31675229361</v>
      </c>
      <c r="L36" s="45">
        <f t="shared" si="5"/>
        <v>0.21868685372284685</v>
      </c>
      <c r="M36" s="69">
        <f>+M24-M34</f>
        <v>430420.53047507536</v>
      </c>
      <c r="N36" s="45">
        <f>+M36/$M$20</f>
        <v>0.20448610426152999</v>
      </c>
      <c r="O36" s="45">
        <f>IF(K36=0,"",(M36-K36)/ABS(K36)+1)</f>
        <v>0.93502538245093925</v>
      </c>
      <c r="P36" s="69">
        <f>P24-P34</f>
        <v>487081.56555554341</v>
      </c>
      <c r="Q36" s="45">
        <f t="shared" si="8"/>
        <v>0.21138398700903915</v>
      </c>
      <c r="R36" s="45">
        <f>IF(P36=0,"",(M36-P36)/ABS(P36))</f>
        <v>-0.11632761140496667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330.94031052589793</v>
      </c>
      <c r="D38" s="34">
        <f t="shared" si="13"/>
        <v>1.3804445302688811E-3</v>
      </c>
      <c r="E38" s="32">
        <f>+'COLOMBIA USD'!E38+'EL SALVADOR USD'!E38+'VENEZUELA USD'!E38+'PANAMA USD'!E38</f>
        <v>3059.1393518431205</v>
      </c>
      <c r="F38" s="34">
        <f>+E38/$E$20</f>
        <v>1.249302657505477E-2</v>
      </c>
      <c r="G38" s="34">
        <f>IF(C38=0,"",(E38-C38)/ABS(C38)+1)</f>
        <v>9.243779783072771</v>
      </c>
      <c r="H38" s="32">
        <f>+'COLOMBIA USD'!H38+'EL SALVADOR USD'!H38+'VENEZUELA USD'!H38+'PANAMA USD'!H38</f>
        <v>5481.4997217292939</v>
      </c>
      <c r="I38" s="34">
        <f t="shared" si="16"/>
        <v>2.1712594171521066E-2</v>
      </c>
      <c r="J38" s="34">
        <f>IF(H38=0,"",(E38-H38)/ABS(H38))</f>
        <v>-0.44191562398218481</v>
      </c>
      <c r="K38" s="32">
        <f>+'COLOMBIA USD'!K38+'EL SALVADOR USD'!K38+'VENEZUELA USD'!K38+'PANAMA USD'!K38</f>
        <v>2978.4627947330819</v>
      </c>
      <c r="L38" s="34">
        <f t="shared" si="5"/>
        <v>1.4149636333016724E-3</v>
      </c>
      <c r="M38" s="32">
        <f>+'COLOMBIA USD'!M38+'EL SALVADOR USD'!M38+'VENEZUELA USD'!M38+'PANAMA USD'!M38</f>
        <v>13833.117330354304</v>
      </c>
      <c r="N38" s="34">
        <f>+M38/$M$20</f>
        <v>6.5718990438366418E-3</v>
      </c>
      <c r="O38" s="34">
        <f>IF(K38=0,"",(M38-K38)/ABS(K38)+1)</f>
        <v>4.6443814422714569</v>
      </c>
      <c r="P38" s="32">
        <f>+'COLOMBIA USD'!P38+'EL SALVADOR USD'!P38+'VENEZUELA USD'!P38+'PANAMA USD'!P38</f>
        <v>9388.4786046344652</v>
      </c>
      <c r="Q38" s="34">
        <f t="shared" si="8"/>
        <v>4.0744182899494002E-3</v>
      </c>
      <c r="R38" s="34">
        <f>IF(P38=0,"",(M38-P38)/ABS(P38))</f>
        <v>0.47341416143035325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9433.0245766844728</v>
      </c>
      <c r="D39" s="34">
        <f t="shared" si="13"/>
        <v>3.934778196129414E-2</v>
      </c>
      <c r="E39" s="32">
        <f>+'COLOMBIA USD'!E39+'EL SALVADOR USD'!E39+'VENEZUELA USD'!E39+'PANAMA USD'!E39</f>
        <v>11036.625068503765</v>
      </c>
      <c r="F39" s="34">
        <f>+E39/$E$20</f>
        <v>4.5071778177303526E-2</v>
      </c>
      <c r="G39" s="34">
        <f>IF(C39=0,"",(E39-C39)/ABS(C39)+1)</f>
        <v>1.1699985491167804</v>
      </c>
      <c r="H39" s="32">
        <f>+'COLOMBIA USD'!H39+'EL SALVADOR USD'!H39+'VENEZUELA USD'!H39+'PANAMA USD'!H39</f>
        <v>8532.1244824297701</v>
      </c>
      <c r="I39" s="34">
        <f t="shared" si="16"/>
        <v>3.3796326865351563E-2</v>
      </c>
      <c r="J39" s="34">
        <f>IF(H39=0,"",(E39-H39)/ABS(H39))</f>
        <v>0.29353774563785612</v>
      </c>
      <c r="K39" s="32">
        <f>+'COLOMBIA USD'!K39+'EL SALVADOR USD'!K39+'VENEZUELA USD'!K39+'PANAMA USD'!K39</f>
        <v>77663.033853900866</v>
      </c>
      <c r="L39" s="34">
        <f t="shared" si="5"/>
        <v>3.6894994541972884E-2</v>
      </c>
      <c r="M39" s="32">
        <f>+'COLOMBIA USD'!M39+'EL SALVADOR USD'!M39+'VENEZUELA USD'!M39+'PANAMA USD'!M39</f>
        <v>80847.574385129279</v>
      </c>
      <c r="N39" s="34">
        <f>+M39/$M$20</f>
        <v>3.8409426025199069E-2</v>
      </c>
      <c r="O39" s="34">
        <f>IF(K39=0,"",(M39-K39)/ABS(K39)+1)</f>
        <v>1.0410045857494976</v>
      </c>
      <c r="P39" s="32">
        <f>+'COLOMBIA USD'!P39+'EL SALVADOR USD'!P39+'VENEZUELA USD'!P39+'PANAMA USD'!P39</f>
        <v>75165.578429173402</v>
      </c>
      <c r="Q39" s="34">
        <f t="shared" si="8"/>
        <v>3.2620408526603244E-2</v>
      </c>
      <c r="R39" s="34">
        <f>IF(P39=0,"",(M39-P39)/ABS(P39))</f>
        <v>7.5593058347976083E-2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43589.241559207439</v>
      </c>
      <c r="D41" s="34">
        <f t="shared" si="13"/>
        <v>0.18182290937406995</v>
      </c>
      <c r="E41" s="32">
        <f>E36+E38-E39</f>
        <v>38636.326926174901</v>
      </c>
      <c r="F41" s="34">
        <f>+E41/$E$20</f>
        <v>0.15778446273145139</v>
      </c>
      <c r="G41" s="34">
        <f>IF(C41=0,"",(E41-C41)/ABS(C41)+1)</f>
        <v>0.88637300269826957</v>
      </c>
      <c r="H41" s="32">
        <f>H36+H38-H39</f>
        <v>58334.824055805577</v>
      </c>
      <c r="I41" s="34">
        <f t="shared" si="16"/>
        <v>0.23106821583331327</v>
      </c>
      <c r="J41" s="34">
        <f>IF(H41=0,"",(E41-H41)/ABS(H41))</f>
        <v>-0.33767989273073412</v>
      </c>
      <c r="K41" s="32">
        <f>K36+K38-K39</f>
        <v>385645.74569312582</v>
      </c>
      <c r="L41" s="34">
        <f t="shared" si="5"/>
        <v>0.18320682281417563</v>
      </c>
      <c r="M41" s="32">
        <f>+'COLOMBIA USD'!M41+'EL SALVADOR USD'!M41+'VENEZUELA USD'!M41+'PANAMA USD'!M41</f>
        <v>-51010.257527065965</v>
      </c>
      <c r="N41" s="34">
        <f>+M41/$M$20</f>
        <v>-2.4234180529386098E-2</v>
      </c>
      <c r="O41" s="34">
        <f>IF(K41=0,"",(M41-K41)/ABS(K41)+1)</f>
        <v>-0.13227232011955592</v>
      </c>
      <c r="P41" s="32">
        <f>+'COLOMBIA USD'!P41+'EL SALVADOR USD'!P41+'VENEZUELA USD'!P41+'PANAMA USD'!P41</f>
        <v>-443812.80080466409</v>
      </c>
      <c r="Q41" s="34">
        <f t="shared" si="8"/>
        <v>-0.19260617923968709</v>
      </c>
      <c r="R41" s="34">
        <f>IF(P41=0,"",(M41-P41)/ABS(P41))</f>
        <v>0.88506357312231465</v>
      </c>
    </row>
    <row r="42" spans="2:29" x14ac:dyDescent="0.2">
      <c r="B42" s="3" t="s">
        <v>44</v>
      </c>
      <c r="C42" s="32">
        <f>+'COLOMBIA USD'!C42+'EL SALVADOR USD'!C42+'VENEZUELA USD'!C42+'PANAMA USD'!C42</f>
        <v>-7204.1154548444547</v>
      </c>
      <c r="D42" s="34">
        <f t="shared" si="13"/>
        <v>-3.0050379052530978E-2</v>
      </c>
      <c r="E42" s="32">
        <f>+'COLOMBIA USD'!E42+'EL SALVADOR USD'!E42+'VENEZUELA USD'!E42+'PANAMA USD'!E42</f>
        <v>-594.94844451016911</v>
      </c>
      <c r="F42" s="34">
        <f>+E42/$E$20</f>
        <v>-2.4296724905895056E-3</v>
      </c>
      <c r="G42" s="34">
        <f>IF(C42=0,"",(E42-C42)/ABS(C42)+1)</f>
        <v>1.9174154761622968</v>
      </c>
      <c r="H42" s="32">
        <f>+'COLOMBIA USD'!H42+'EL SALVADOR USD'!H42+'VENEZUELA USD'!H42+'PANAMA USD'!H42</f>
        <v>1547.5111261484008</v>
      </c>
      <c r="I42" s="34">
        <f t="shared" si="16"/>
        <v>6.1297970927149019E-3</v>
      </c>
      <c r="J42" s="34">
        <f>IF(H42=0,"",(E42-H42)/ABS(H42))</f>
        <v>-1.3844550352222253</v>
      </c>
      <c r="K42" s="32">
        <f>+'COLOMBIA USD'!K42+'EL SALVADOR USD'!K42+'VENEZUELA USD'!K42+'PANAMA USD'!K42</f>
        <v>20492.783051501028</v>
      </c>
      <c r="L42" s="34">
        <f t="shared" si="5"/>
        <v>9.7354053957935654E-3</v>
      </c>
      <c r="M42" s="32">
        <f>+'COLOMBIA USD'!M42+'EL SALVADOR USD'!M42+'VENEZUELA USD'!M42+'PANAMA USD'!M42</f>
        <v>16178.878641310701</v>
      </c>
      <c r="N42" s="34">
        <f>+M42/$M$20</f>
        <v>7.6863337839161924E-3</v>
      </c>
      <c r="O42" s="34">
        <f>IF(K42=0,"",(M42-K42)/ABS(K42)+1)</f>
        <v>0.78949152980593584</v>
      </c>
      <c r="P42" s="32">
        <f>+'COLOMBIA USD'!P42+'EL SALVADOR USD'!P42+'VENEZUELA USD'!P42+'PANAMA USD'!P42</f>
        <v>36897.82933919788</v>
      </c>
      <c r="Q42" s="34">
        <f t="shared" si="8"/>
        <v>1.6012944913657044E-2</v>
      </c>
      <c r="R42" s="34">
        <f>IF(P42=0,"",(M42-P42)/ABS(P42))</f>
        <v>-0.56152221062708152</v>
      </c>
    </row>
    <row r="43" spans="2:29" x14ac:dyDescent="0.2">
      <c r="B43" s="20" t="s">
        <v>59</v>
      </c>
      <c r="C43" s="69">
        <f>+C41-C42</f>
        <v>50793.357014051893</v>
      </c>
      <c r="D43" s="45">
        <f t="shared" si="13"/>
        <v>0.21187328842660091</v>
      </c>
      <c r="E43" s="69">
        <f>E41-E42</f>
        <v>39231.275370685071</v>
      </c>
      <c r="F43" s="45">
        <f>+E43/$E$20</f>
        <v>0.16021413522204089</v>
      </c>
      <c r="G43" s="45">
        <f>IF(C43=0,"",(E43-C43)/ABS(C43)+1)</f>
        <v>0.77237020108420495</v>
      </c>
      <c r="H43" s="69">
        <f>+H41-H42</f>
        <v>56787.312929657179</v>
      </c>
      <c r="I43" s="45">
        <f t="shared" si="16"/>
        <v>0.22493841874059839</v>
      </c>
      <c r="J43" s="45">
        <f>IF(H43=0,"",(E43-H43)/ABS(H43))</f>
        <v>-0.30915422218901056</v>
      </c>
      <c r="K43" s="69">
        <f>+K41-K42</f>
        <v>365152.96264162479</v>
      </c>
      <c r="L43" s="45">
        <f t="shared" si="5"/>
        <v>0.17347141741838207</v>
      </c>
      <c r="M43" s="69">
        <f>+M41-M42</f>
        <v>-67189.136168376659</v>
      </c>
      <c r="N43" s="45">
        <f>+M43/$M$20</f>
        <v>-3.1920514313302284E-2</v>
      </c>
      <c r="O43" s="45">
        <f>IF(K43=0,"",(M43-K43)/ABS(K43)+1)</f>
        <v>-0.18400271404704083</v>
      </c>
      <c r="P43" s="69">
        <f>P41-P42</f>
        <v>-480710.63014386198</v>
      </c>
      <c r="Q43" s="45">
        <f t="shared" si="8"/>
        <v>-0.20861912415334416</v>
      </c>
      <c r="R43" s="45">
        <f>IF(P43=0,"",(M43-P43)/ABS(P43))</f>
        <v>0.86022956024860731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85</v>
      </c>
      <c r="C45" s="32">
        <f>+'COLOMBIA USD'!C45+'EL SALVADOR USD'!C45+'VENEZUELA USD'!C45+'PANAMA USD'!C45</f>
        <v>22116.173454458847</v>
      </c>
      <c r="D45" s="34">
        <f t="shared" si="13"/>
        <v>9.2252740765154953E-2</v>
      </c>
      <c r="E45" s="32">
        <f>+'COLOMBIA USD'!E45+'EL SALVADOR USD'!E45+'VENEZUELA USD'!E45+'PANAMA USD'!E45</f>
        <v>21507.524004735031</v>
      </c>
      <c r="F45" s="34">
        <f>+E45/$E$20</f>
        <v>8.7833223024932128E-2</v>
      </c>
      <c r="G45" s="34">
        <f>IF(C45=0,"",(E45-C45)/ABS(C45)+1)</f>
        <v>0.97247944130221553</v>
      </c>
      <c r="H45" s="32">
        <f>+'COLOMBIA USD'!H45+'EL SALVADOR USD'!H45+'VENEZUELA USD'!H45+'PANAMA USD'!H45</f>
        <v>23437.518239437857</v>
      </c>
      <c r="I45" s="34">
        <f t="shared" si="16"/>
        <v>9.2837607909244516E-2</v>
      </c>
      <c r="J45" s="34">
        <f>IF(H45=0,"",(E45-H45)/ABS(H45))</f>
        <v>-8.234635659740043E-2</v>
      </c>
      <c r="K45" s="32">
        <f>+'COLOMBIA USD'!K45+'EL SALVADOR USD'!K45+'VENEZUELA USD'!K45+'PANAMA USD'!K45</f>
        <v>222202.24818255025</v>
      </c>
      <c r="L45" s="34">
        <f t="shared" si="5"/>
        <v>0.10556052638030594</v>
      </c>
      <c r="M45" s="32">
        <f>+'COLOMBIA USD'!M45+'EL SALVADOR USD'!M45+'VENEZUELA USD'!M45+'PANAMA USD'!M45</f>
        <v>234773.02249756441</v>
      </c>
      <c r="N45" s="34">
        <f>+M45/$M$20</f>
        <v>0.11153701405284501</v>
      </c>
      <c r="O45" s="34">
        <f>IF(K45=0,"",(M45-K45)/ABS(K45)+1)</f>
        <v>1.0565735694298044</v>
      </c>
      <c r="P45" s="32">
        <f>+'COLOMBIA USD'!P45+'EL SALVADOR USD'!P45+'VENEZUELA USD'!P45+'PANAMA USD'!P45</f>
        <v>283220.2473530767</v>
      </c>
      <c r="Q45" s="34">
        <f t="shared" si="8"/>
        <v>0.12291211435788296</v>
      </c>
      <c r="R45" s="34">
        <f>IF(P45=0,"",(M45-P45)/ABS(P45))</f>
        <v>-0.17105847942825758</v>
      </c>
    </row>
    <row r="46" spans="2:29" x14ac:dyDescent="0.2">
      <c r="B46" s="3" t="s">
        <v>35</v>
      </c>
      <c r="C46" s="32">
        <f>+'COLOMBIA USD'!C46+'EL SALVADOR USD'!C46+'VENEZUELA USD'!C46+'PANAMA USD'!C46</f>
        <v>105880.19913125335</v>
      </c>
      <c r="D46" s="34">
        <f t="shared" si="13"/>
        <v>0.44165590321182907</v>
      </c>
      <c r="E46" s="32">
        <f>+'COLOMBIA USD'!E46+'EL SALVADOR USD'!E46+'VENEZUELA USD'!E46+'PANAMA USD'!E46</f>
        <v>116902.51484001793</v>
      </c>
      <c r="F46" s="34">
        <f>+E46/$E$20</f>
        <v>0.47741081938851621</v>
      </c>
      <c r="G46" s="34">
        <f>IF(C46=0,"",(E46-C46)/ABS(C46)+1)</f>
        <v>1.1041017659505994</v>
      </c>
      <c r="H46" s="32">
        <f>+'COLOMBIA USD'!H46+'EL SALVADOR USD'!H46+'VENEZUELA USD'!H46+'PANAMA USD'!H46</f>
        <v>111675.64724081845</v>
      </c>
      <c r="I46" s="34">
        <f t="shared" si="16"/>
        <v>0.44235485368534799</v>
      </c>
      <c r="J46" s="34">
        <f>IF(H46=0,"",(E46-H46)/ABS(H46))</f>
        <v>4.6804005424103019E-2</v>
      </c>
      <c r="K46" s="32">
        <f>+'COLOMBIA USD'!K46+'EL SALVADOR USD'!K46+'VENEZUELA USD'!K46+'PANAMA USD'!K46</f>
        <v>971005.62203849258</v>
      </c>
      <c r="L46" s="34">
        <f t="shared" si="5"/>
        <v>0.46129085290087124</v>
      </c>
      <c r="M46" s="32">
        <f>+'COLOMBIA USD'!M46+'EL SALVADOR USD'!M46+'VENEZUELA USD'!M46+'PANAMA USD'!M46</f>
        <v>1032362.8562914524</v>
      </c>
      <c r="N46" s="34">
        <f>+M46/$M$20</f>
        <v>0.49045954762970906</v>
      </c>
      <c r="O46" s="34">
        <f>IF(K46=0,"",(M46-K46)/ABS(K46)+1)</f>
        <v>1.063189370751684</v>
      </c>
      <c r="P46" s="32">
        <f>+'COLOMBIA USD'!P46+'EL SALVADOR USD'!P46+'VENEZUELA USD'!P46+'PANAMA USD'!P46</f>
        <v>1068270.1927012496</v>
      </c>
      <c r="Q46" s="34">
        <f t="shared" si="8"/>
        <v>0.46360862020830124</v>
      </c>
      <c r="R46" s="34">
        <f>IF(P46=0,"",(M46-P46)/ABS(P46))</f>
        <v>-3.3612597875637786E-2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0679F-F1B9-4698-A7F7-9967C28D44A5}">
  <dimension ref="A6:V595"/>
  <sheetViews>
    <sheetView topLeftCell="A504" workbookViewId="0">
      <selection activeCell="B549" sqref="B549"/>
    </sheetView>
  </sheetViews>
  <sheetFormatPr baseColWidth="10" defaultColWidth="11.42578125" defaultRowHeight="12" x14ac:dyDescent="0.2"/>
  <cols>
    <col min="1" max="1" width="40.85546875" style="124" customWidth="1"/>
    <col min="2" max="2" width="44.42578125" style="124" customWidth="1"/>
    <col min="3" max="3" width="29.140625" style="124" customWidth="1"/>
    <col min="4" max="4" width="8" style="124" customWidth="1"/>
    <col min="5" max="5" width="22.85546875" style="124" bestFit="1" customWidth="1"/>
    <col min="6" max="6" width="36.42578125" style="124" bestFit="1" customWidth="1"/>
    <col min="7" max="7" width="13.42578125" style="126" bestFit="1" customWidth="1"/>
    <col min="8" max="18" width="30.5703125" style="126" bestFit="1" customWidth="1"/>
    <col min="19" max="19" width="14.140625" style="126" bestFit="1" customWidth="1"/>
    <col min="20" max="22" width="11.42578125" style="126"/>
    <col min="23" max="16384" width="11.42578125" style="124"/>
  </cols>
  <sheetData>
    <row r="6" spans="1:2" x14ac:dyDescent="0.2">
      <c r="A6" s="122" t="s">
        <v>157</v>
      </c>
      <c r="B6" s="123" t="s">
        <v>158</v>
      </c>
    </row>
    <row r="7" spans="1:2" x14ac:dyDescent="0.2">
      <c r="A7" s="122" t="s">
        <v>66</v>
      </c>
      <c r="B7" s="123" t="s">
        <v>159</v>
      </c>
    </row>
    <row r="8" spans="1:2" x14ac:dyDescent="0.2">
      <c r="A8" s="122" t="s">
        <v>68</v>
      </c>
      <c r="B8" s="123" t="s">
        <v>160</v>
      </c>
    </row>
    <row r="9" spans="1:2" x14ac:dyDescent="0.2">
      <c r="A9" s="122" t="s">
        <v>78</v>
      </c>
      <c r="B9" s="123" t="s">
        <v>161</v>
      </c>
    </row>
    <row r="10" spans="1:2" x14ac:dyDescent="0.2">
      <c r="A10" s="122" t="s">
        <v>162</v>
      </c>
      <c r="B10" s="123" t="s">
        <v>163</v>
      </c>
    </row>
    <row r="11" spans="1:2" x14ac:dyDescent="0.2">
      <c r="A11" s="122">
        <v>4170250500</v>
      </c>
      <c r="B11" s="123" t="s">
        <v>164</v>
      </c>
    </row>
    <row r="12" spans="1:2" x14ac:dyDescent="0.2">
      <c r="A12" s="122" t="s">
        <v>80</v>
      </c>
      <c r="B12" s="123" t="s">
        <v>165</v>
      </c>
    </row>
    <row r="13" spans="1:2" x14ac:dyDescent="0.2">
      <c r="A13" s="122" t="s">
        <v>166</v>
      </c>
      <c r="B13" s="123" t="s">
        <v>167</v>
      </c>
    </row>
    <row r="14" spans="1:2" x14ac:dyDescent="0.2">
      <c r="A14" s="122" t="s">
        <v>73</v>
      </c>
      <c r="B14" s="123" t="s">
        <v>168</v>
      </c>
    </row>
    <row r="15" spans="1:2" x14ac:dyDescent="0.2">
      <c r="A15" s="122">
        <v>4155951000</v>
      </c>
      <c r="B15" s="123" t="s">
        <v>169</v>
      </c>
    </row>
    <row r="16" spans="1:2" x14ac:dyDescent="0.2">
      <c r="A16" s="122" t="s">
        <v>76</v>
      </c>
      <c r="B16" s="123" t="s">
        <v>170</v>
      </c>
    </row>
    <row r="33" spans="1:19" x14ac:dyDescent="0.2">
      <c r="B33" s="125" t="s">
        <v>171</v>
      </c>
      <c r="D33" s="124" t="s">
        <v>172</v>
      </c>
    </row>
    <row r="34" spans="1:19" x14ac:dyDescent="0.2">
      <c r="A34" s="124" t="s">
        <v>173</v>
      </c>
      <c r="B34" s="125" t="s">
        <v>174</v>
      </c>
    </row>
    <row r="35" spans="1:19" x14ac:dyDescent="0.2">
      <c r="A35" s="124" t="s">
        <v>175</v>
      </c>
      <c r="B35" s="125" t="s">
        <v>176</v>
      </c>
    </row>
    <row r="36" spans="1:19" x14ac:dyDescent="0.2">
      <c r="A36" s="124" t="s">
        <v>177</v>
      </c>
      <c r="B36" s="125" t="s">
        <v>178</v>
      </c>
    </row>
    <row r="37" spans="1:19" x14ac:dyDescent="0.2">
      <c r="A37" s="124" t="s">
        <v>179</v>
      </c>
      <c r="B37" s="125" t="s">
        <v>180</v>
      </c>
    </row>
    <row r="38" spans="1:19" x14ac:dyDescent="0.2">
      <c r="B38" s="125"/>
    </row>
    <row r="39" spans="1:19" x14ac:dyDescent="0.2">
      <c r="B39" s="125"/>
    </row>
    <row r="40" spans="1:19" x14ac:dyDescent="0.2">
      <c r="B40" s="125"/>
    </row>
    <row r="41" spans="1:19" x14ac:dyDescent="0.2">
      <c r="B41" s="125" t="s">
        <v>181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</row>
    <row r="42" spans="1:19" x14ac:dyDescent="0.2">
      <c r="A42" s="127"/>
      <c r="B42" s="124" t="s">
        <v>182</v>
      </c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</row>
    <row r="43" spans="1:19" x14ac:dyDescent="0.2">
      <c r="A43" s="127" t="s">
        <v>183</v>
      </c>
      <c r="B43" s="123" t="s">
        <v>184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</row>
    <row r="44" spans="1:19" x14ac:dyDescent="0.2">
      <c r="A44" s="124" t="s">
        <v>185</v>
      </c>
      <c r="B44" s="123" t="s">
        <v>186</v>
      </c>
      <c r="G44" s="124"/>
    </row>
    <row r="45" spans="1:19" x14ac:dyDescent="0.2">
      <c r="A45" s="127" t="s">
        <v>187</v>
      </c>
      <c r="B45" s="123" t="s">
        <v>188</v>
      </c>
      <c r="G45" s="124"/>
    </row>
    <row r="46" spans="1:19" x14ac:dyDescent="0.2">
      <c r="A46" s="122">
        <v>5295400000</v>
      </c>
      <c r="B46" s="123" t="s">
        <v>189</v>
      </c>
      <c r="G46" s="124"/>
    </row>
    <row r="47" spans="1:19" x14ac:dyDescent="0.2">
      <c r="A47" s="122">
        <v>5235500000</v>
      </c>
      <c r="B47" s="123" t="s">
        <v>190</v>
      </c>
    </row>
    <row r="48" spans="1:19" x14ac:dyDescent="0.2">
      <c r="A48" s="127" t="s">
        <v>191</v>
      </c>
      <c r="B48" s="123" t="s">
        <v>192</v>
      </c>
    </row>
    <row r="49" spans="1:5" x14ac:dyDescent="0.2">
      <c r="A49" s="127" t="s">
        <v>193</v>
      </c>
      <c r="B49" s="123" t="s">
        <v>194</v>
      </c>
    </row>
    <row r="50" spans="1:5" x14ac:dyDescent="0.2">
      <c r="A50" s="127" t="s">
        <v>195</v>
      </c>
      <c r="B50" s="123" t="s">
        <v>196</v>
      </c>
    </row>
    <row r="51" spans="1:5" x14ac:dyDescent="0.2">
      <c r="A51" s="128">
        <v>5295950300</v>
      </c>
      <c r="B51" s="123" t="s">
        <v>197</v>
      </c>
    </row>
    <row r="52" spans="1:5" x14ac:dyDescent="0.2">
      <c r="A52" s="127" t="s">
        <v>198</v>
      </c>
      <c r="B52" s="123" t="s">
        <v>199</v>
      </c>
    </row>
    <row r="53" spans="1:5" x14ac:dyDescent="0.2">
      <c r="A53" s="122">
        <v>5240200100</v>
      </c>
      <c r="B53" s="123" t="s">
        <v>200</v>
      </c>
    </row>
    <row r="54" spans="1:5" x14ac:dyDescent="0.2">
      <c r="A54" s="122">
        <v>5235150000</v>
      </c>
      <c r="B54" s="123" t="s">
        <v>201</v>
      </c>
    </row>
    <row r="55" spans="1:5" x14ac:dyDescent="0.2">
      <c r="A55" s="122">
        <v>5235100000</v>
      </c>
      <c r="B55" s="123" t="s">
        <v>202</v>
      </c>
    </row>
    <row r="56" spans="1:5" x14ac:dyDescent="0.2">
      <c r="A56" s="127" t="s">
        <v>203</v>
      </c>
      <c r="B56" s="123" t="s">
        <v>204</v>
      </c>
    </row>
    <row r="57" spans="1:5" x14ac:dyDescent="0.2">
      <c r="A57" s="122">
        <v>5299100000</v>
      </c>
      <c r="B57" s="123" t="s">
        <v>205</v>
      </c>
    </row>
    <row r="58" spans="1:5" x14ac:dyDescent="0.2">
      <c r="A58" s="128" t="s">
        <v>206</v>
      </c>
      <c r="B58" s="129" t="s">
        <v>207</v>
      </c>
    </row>
    <row r="59" spans="1:5" x14ac:dyDescent="0.2">
      <c r="A59" s="127"/>
      <c r="B59" s="129" t="s">
        <v>208</v>
      </c>
      <c r="C59" s="124" t="str">
        <f>+Paramet!B4</f>
        <v>202509</v>
      </c>
    </row>
    <row r="60" spans="1:5" x14ac:dyDescent="0.2">
      <c r="A60" s="127" t="s">
        <v>209</v>
      </c>
      <c r="B60" s="123" t="s">
        <v>210</v>
      </c>
      <c r="C60" s="130"/>
      <c r="D60" s="130"/>
      <c r="E60" s="131"/>
    </row>
    <row r="61" spans="1:5" x14ac:dyDescent="0.2">
      <c r="A61" s="124" t="s">
        <v>211</v>
      </c>
      <c r="B61" s="123" t="s">
        <v>212</v>
      </c>
      <c r="C61" s="130"/>
      <c r="D61" s="130"/>
      <c r="E61" s="131"/>
    </row>
    <row r="62" spans="1:5" x14ac:dyDescent="0.2">
      <c r="A62" s="127" t="s">
        <v>213</v>
      </c>
      <c r="B62" s="123" t="s">
        <v>214</v>
      </c>
      <c r="C62" s="130"/>
      <c r="D62" s="130"/>
      <c r="E62" s="131"/>
    </row>
    <row r="63" spans="1:5" x14ac:dyDescent="0.2">
      <c r="A63" s="127" t="s">
        <v>215</v>
      </c>
      <c r="B63" s="123" t="s">
        <v>216</v>
      </c>
      <c r="C63" s="130"/>
      <c r="D63" s="130"/>
      <c r="E63" s="131"/>
    </row>
    <row r="64" spans="1:5" x14ac:dyDescent="0.2">
      <c r="A64" s="127" t="s">
        <v>217</v>
      </c>
      <c r="B64" s="123" t="s">
        <v>218</v>
      </c>
      <c r="C64" s="130"/>
      <c r="D64" s="130"/>
      <c r="E64" s="131"/>
    </row>
    <row r="65" spans="1:5" x14ac:dyDescent="0.2">
      <c r="A65" s="127" t="s">
        <v>219</v>
      </c>
      <c r="B65" s="123" t="s">
        <v>220</v>
      </c>
      <c r="C65" s="130"/>
      <c r="D65" s="130"/>
      <c r="E65" s="131"/>
    </row>
    <row r="66" spans="1:5" x14ac:dyDescent="0.2">
      <c r="A66" s="127" t="s">
        <v>221</v>
      </c>
      <c r="B66" s="123" t="s">
        <v>222</v>
      </c>
      <c r="C66" s="130"/>
      <c r="D66" s="130"/>
      <c r="E66" s="131"/>
    </row>
    <row r="67" spans="1:5" x14ac:dyDescent="0.2">
      <c r="A67" s="127" t="s">
        <v>223</v>
      </c>
      <c r="B67" s="123" t="s">
        <v>224</v>
      </c>
      <c r="C67" s="130"/>
      <c r="D67" s="130"/>
      <c r="E67" s="131"/>
    </row>
    <row r="68" spans="1:5" x14ac:dyDescent="0.2">
      <c r="A68" s="122">
        <v>5265100000</v>
      </c>
      <c r="B68" s="123" t="s">
        <v>225</v>
      </c>
      <c r="C68" s="130"/>
      <c r="D68" s="130"/>
      <c r="E68" s="131"/>
    </row>
    <row r="69" spans="1:5" x14ac:dyDescent="0.2">
      <c r="A69" s="127" t="s">
        <v>226</v>
      </c>
      <c r="B69" s="123" t="s">
        <v>227</v>
      </c>
      <c r="C69" s="130"/>
      <c r="D69" s="130"/>
      <c r="E69" s="131"/>
    </row>
    <row r="70" spans="1:5" x14ac:dyDescent="0.2">
      <c r="A70" s="127" t="s">
        <v>228</v>
      </c>
      <c r="B70" s="123" t="s">
        <v>229</v>
      </c>
      <c r="C70" s="130"/>
      <c r="D70" s="130"/>
      <c r="E70" s="131"/>
    </row>
    <row r="71" spans="1:5" x14ac:dyDescent="0.2">
      <c r="A71" s="127" t="s">
        <v>230</v>
      </c>
      <c r="B71" s="123" t="s">
        <v>231</v>
      </c>
      <c r="C71" s="130"/>
      <c r="D71" s="130"/>
      <c r="E71" s="131"/>
    </row>
    <row r="72" spans="1:5" x14ac:dyDescent="0.2">
      <c r="A72" s="127" t="s">
        <v>232</v>
      </c>
      <c r="B72" s="123" t="s">
        <v>233</v>
      </c>
      <c r="C72" s="130"/>
      <c r="D72" s="130"/>
      <c r="E72" s="131"/>
    </row>
    <row r="73" spans="1:5" x14ac:dyDescent="0.2">
      <c r="A73" s="122" t="s">
        <v>234</v>
      </c>
      <c r="B73" s="123" t="s">
        <v>235</v>
      </c>
      <c r="C73" s="130"/>
      <c r="D73" s="130"/>
      <c r="E73" s="131"/>
    </row>
    <row r="74" spans="1:5" x14ac:dyDescent="0.2">
      <c r="A74" s="127" t="s">
        <v>236</v>
      </c>
      <c r="B74" s="123" t="s">
        <v>237</v>
      </c>
      <c r="C74" s="130"/>
      <c r="D74" s="130"/>
      <c r="E74" s="131"/>
    </row>
    <row r="75" spans="1:5" x14ac:dyDescent="0.2">
      <c r="A75" s="122">
        <v>5265150000</v>
      </c>
      <c r="B75" s="123" t="s">
        <v>238</v>
      </c>
      <c r="C75" s="130"/>
      <c r="D75" s="130"/>
      <c r="E75" s="131"/>
    </row>
    <row r="76" spans="1:5" x14ac:dyDescent="0.2">
      <c r="A76" s="127" t="s">
        <v>239</v>
      </c>
      <c r="B76" s="123" t="s">
        <v>240</v>
      </c>
      <c r="C76" s="130"/>
      <c r="D76" s="130"/>
      <c r="E76" s="131"/>
    </row>
    <row r="77" spans="1:5" x14ac:dyDescent="0.2">
      <c r="A77" s="127" t="s">
        <v>241</v>
      </c>
      <c r="B77" s="123" t="s">
        <v>242</v>
      </c>
      <c r="C77" s="130"/>
      <c r="D77" s="130"/>
      <c r="E77" s="131"/>
    </row>
    <row r="78" spans="1:5" x14ac:dyDescent="0.2">
      <c r="A78" s="127" t="s">
        <v>243</v>
      </c>
      <c r="B78" s="123" t="s">
        <v>244</v>
      </c>
      <c r="C78" s="130"/>
      <c r="D78" s="130"/>
      <c r="E78" s="131"/>
    </row>
    <row r="79" spans="1:5" x14ac:dyDescent="0.2">
      <c r="A79" s="127" t="s">
        <v>245</v>
      </c>
      <c r="B79" s="123" t="s">
        <v>246</v>
      </c>
      <c r="C79" s="130"/>
      <c r="D79" s="130"/>
      <c r="E79" s="131"/>
    </row>
    <row r="80" spans="1:5" x14ac:dyDescent="0.2">
      <c r="A80" s="127" t="s">
        <v>247</v>
      </c>
      <c r="B80" s="123" t="s">
        <v>248</v>
      </c>
      <c r="C80" s="130"/>
      <c r="D80" s="130"/>
      <c r="E80" s="131"/>
    </row>
    <row r="81" spans="1:5" x14ac:dyDescent="0.2">
      <c r="A81" s="127" t="s">
        <v>249</v>
      </c>
      <c r="B81" s="123" t="s">
        <v>250</v>
      </c>
      <c r="C81" s="130"/>
      <c r="D81" s="130"/>
      <c r="E81" s="131"/>
    </row>
    <row r="82" spans="1:5" x14ac:dyDescent="0.2">
      <c r="A82" s="122" t="s">
        <v>251</v>
      </c>
      <c r="B82" s="123" t="s">
        <v>252</v>
      </c>
      <c r="C82" s="130"/>
      <c r="D82" s="130"/>
      <c r="E82" s="131"/>
    </row>
    <row r="83" spans="1:5" x14ac:dyDescent="0.2">
      <c r="A83" s="127" t="s">
        <v>253</v>
      </c>
      <c r="B83" s="123" t="s">
        <v>254</v>
      </c>
      <c r="C83" s="130"/>
      <c r="D83" s="130"/>
      <c r="E83" s="131"/>
    </row>
    <row r="84" spans="1:5" x14ac:dyDescent="0.2">
      <c r="A84" s="127" t="s">
        <v>255</v>
      </c>
      <c r="B84" s="123" t="s">
        <v>256</v>
      </c>
      <c r="C84" s="130"/>
      <c r="D84" s="130"/>
      <c r="E84" s="131"/>
    </row>
    <row r="85" spans="1:5" x14ac:dyDescent="0.2">
      <c r="A85" s="127" t="s">
        <v>257</v>
      </c>
      <c r="B85" s="123" t="s">
        <v>258</v>
      </c>
      <c r="C85" s="130"/>
      <c r="D85" s="130"/>
      <c r="E85" s="131"/>
    </row>
    <row r="86" spans="1:5" x14ac:dyDescent="0.2">
      <c r="A86" s="132" t="s">
        <v>259</v>
      </c>
      <c r="B86" s="123" t="s">
        <v>260</v>
      </c>
      <c r="C86" s="130"/>
      <c r="D86" s="130"/>
      <c r="E86" s="131"/>
    </row>
    <row r="87" spans="1:5" x14ac:dyDescent="0.2">
      <c r="A87" s="127" t="s">
        <v>261</v>
      </c>
      <c r="B87" s="123" t="s">
        <v>262</v>
      </c>
      <c r="C87" s="130"/>
      <c r="D87" s="130"/>
      <c r="E87" s="131"/>
    </row>
    <row r="88" spans="1:5" x14ac:dyDescent="0.2">
      <c r="A88" s="127"/>
      <c r="B88" s="129" t="s">
        <v>263</v>
      </c>
      <c r="C88" s="131"/>
      <c r="D88" s="133"/>
      <c r="E88" s="134"/>
    </row>
    <row r="89" spans="1:5" x14ac:dyDescent="0.2">
      <c r="A89" s="127" t="s">
        <v>264</v>
      </c>
      <c r="B89" s="123" t="s">
        <v>265</v>
      </c>
    </row>
    <row r="90" spans="1:5" x14ac:dyDescent="0.2">
      <c r="A90" s="122">
        <v>5105180100</v>
      </c>
      <c r="B90" s="123" t="s">
        <v>266</v>
      </c>
    </row>
    <row r="91" spans="1:5" x14ac:dyDescent="0.2">
      <c r="A91" s="124" t="s">
        <v>267</v>
      </c>
      <c r="B91" s="123" t="s">
        <v>268</v>
      </c>
    </row>
    <row r="92" spans="1:5" x14ac:dyDescent="0.2">
      <c r="A92" s="122">
        <v>5105480100</v>
      </c>
      <c r="B92" s="123" t="s">
        <v>269</v>
      </c>
    </row>
    <row r="93" spans="1:5" x14ac:dyDescent="0.2">
      <c r="A93" s="127" t="s">
        <v>270</v>
      </c>
      <c r="B93" s="123" t="s">
        <v>271</v>
      </c>
    </row>
    <row r="94" spans="1:5" x14ac:dyDescent="0.2">
      <c r="A94" s="127" t="s">
        <v>272</v>
      </c>
      <c r="B94" s="123" t="s">
        <v>273</v>
      </c>
    </row>
    <row r="95" spans="1:5" x14ac:dyDescent="0.2">
      <c r="A95" s="127"/>
      <c r="B95" s="129" t="s">
        <v>274</v>
      </c>
    </row>
    <row r="96" spans="1:5" x14ac:dyDescent="0.2">
      <c r="A96" s="122">
        <v>5105180000</v>
      </c>
      <c r="B96" s="123" t="s">
        <v>275</v>
      </c>
      <c r="C96" s="130"/>
      <c r="E96" s="131"/>
    </row>
    <row r="97" spans="1:5" x14ac:dyDescent="0.2">
      <c r="A97" s="127" t="s">
        <v>276</v>
      </c>
      <c r="B97" s="123" t="s">
        <v>277</v>
      </c>
      <c r="C97" s="130"/>
      <c r="E97" s="131"/>
    </row>
    <row r="98" spans="1:5" x14ac:dyDescent="0.2">
      <c r="A98" s="127" t="s">
        <v>278</v>
      </c>
      <c r="B98" s="123" t="s">
        <v>279</v>
      </c>
      <c r="C98" s="130"/>
      <c r="E98" s="131"/>
    </row>
    <row r="99" spans="1:5" x14ac:dyDescent="0.2">
      <c r="A99" s="127" t="s">
        <v>280</v>
      </c>
      <c r="B99" s="123" t="s">
        <v>281</v>
      </c>
      <c r="C99" s="130"/>
      <c r="E99" s="131"/>
    </row>
    <row r="100" spans="1:5" x14ac:dyDescent="0.2">
      <c r="A100" s="122" t="s">
        <v>282</v>
      </c>
      <c r="B100" s="123" t="s">
        <v>283</v>
      </c>
      <c r="C100" s="130"/>
      <c r="E100" s="131"/>
    </row>
    <row r="101" spans="1:5" x14ac:dyDescent="0.2">
      <c r="A101" s="127" t="s">
        <v>284</v>
      </c>
      <c r="B101" s="123" t="s">
        <v>285</v>
      </c>
      <c r="C101" s="130"/>
      <c r="E101" s="131"/>
    </row>
    <row r="102" spans="1:5" x14ac:dyDescent="0.2">
      <c r="A102" s="127" t="s">
        <v>286</v>
      </c>
      <c r="B102" s="123" t="s">
        <v>287</v>
      </c>
      <c r="C102" s="130"/>
      <c r="E102" s="131"/>
    </row>
    <row r="103" spans="1:5" x14ac:dyDescent="0.2">
      <c r="A103" s="122" t="s">
        <v>288</v>
      </c>
      <c r="B103" s="123" t="s">
        <v>289</v>
      </c>
      <c r="C103" s="130"/>
      <c r="E103" s="131"/>
    </row>
    <row r="104" spans="1:5" x14ac:dyDescent="0.2">
      <c r="A104" s="122" t="s">
        <v>290</v>
      </c>
      <c r="B104" s="123" t="s">
        <v>291</v>
      </c>
      <c r="C104" s="130"/>
      <c r="E104" s="131"/>
    </row>
    <row r="105" spans="1:5" x14ac:dyDescent="0.2">
      <c r="A105" s="122">
        <v>5120100000</v>
      </c>
      <c r="B105" s="123" t="s">
        <v>292</v>
      </c>
      <c r="C105" s="130"/>
      <c r="E105" s="131"/>
    </row>
    <row r="106" spans="1:5" x14ac:dyDescent="0.2">
      <c r="A106" s="127" t="s">
        <v>293</v>
      </c>
      <c r="B106" s="123" t="s">
        <v>294</v>
      </c>
      <c r="C106" s="130"/>
      <c r="E106" s="131"/>
    </row>
    <row r="107" spans="1:5" x14ac:dyDescent="0.2">
      <c r="A107" s="127" t="s">
        <v>295</v>
      </c>
      <c r="B107" s="123" t="s">
        <v>296</v>
      </c>
      <c r="C107" s="130"/>
      <c r="E107" s="131"/>
    </row>
    <row r="108" spans="1:5" x14ac:dyDescent="0.2">
      <c r="A108" s="127" t="s">
        <v>297</v>
      </c>
      <c r="B108" s="123" t="s">
        <v>298</v>
      </c>
      <c r="C108" s="130"/>
      <c r="E108" s="131"/>
    </row>
    <row r="109" spans="1:5" x14ac:dyDescent="0.2">
      <c r="A109" s="127" t="s">
        <v>299</v>
      </c>
      <c r="B109" s="123" t="s">
        <v>300</v>
      </c>
      <c r="C109" s="130"/>
      <c r="E109" s="131"/>
    </row>
    <row r="110" spans="1:5" x14ac:dyDescent="0.2">
      <c r="A110" s="127" t="s">
        <v>301</v>
      </c>
      <c r="B110" s="123" t="s">
        <v>302</v>
      </c>
      <c r="C110" s="130"/>
      <c r="E110" s="131"/>
    </row>
    <row r="111" spans="1:5" x14ac:dyDescent="0.2">
      <c r="A111" s="127" t="s">
        <v>303</v>
      </c>
      <c r="B111" s="123" t="s">
        <v>304</v>
      </c>
      <c r="C111" s="130"/>
      <c r="E111" s="131"/>
    </row>
    <row r="112" spans="1:5" x14ac:dyDescent="0.2">
      <c r="A112" s="127" t="s">
        <v>305</v>
      </c>
      <c r="B112" s="123" t="s">
        <v>306</v>
      </c>
      <c r="C112" s="130"/>
      <c r="E112" s="131"/>
    </row>
    <row r="113" spans="1:11" x14ac:dyDescent="0.2">
      <c r="A113" s="127" t="s">
        <v>307</v>
      </c>
      <c r="B113" s="123" t="s">
        <v>308</v>
      </c>
      <c r="C113" s="130"/>
      <c r="E113" s="131"/>
    </row>
    <row r="114" spans="1:11" x14ac:dyDescent="0.2">
      <c r="A114" s="127" t="s">
        <v>309</v>
      </c>
      <c r="B114" s="123" t="s">
        <v>310</v>
      </c>
      <c r="C114" s="130"/>
      <c r="E114" s="131"/>
    </row>
    <row r="115" spans="1:11" x14ac:dyDescent="0.2">
      <c r="A115" s="127" t="s">
        <v>311</v>
      </c>
      <c r="B115" s="123" t="s">
        <v>312</v>
      </c>
      <c r="C115" s="130"/>
      <c r="E115" s="131"/>
    </row>
    <row r="116" spans="1:11" x14ac:dyDescent="0.2">
      <c r="A116" s="122" t="s">
        <v>313</v>
      </c>
      <c r="B116" s="123" t="s">
        <v>314</v>
      </c>
      <c r="C116" s="130"/>
      <c r="E116" s="131"/>
    </row>
    <row r="117" spans="1:11" x14ac:dyDescent="0.2">
      <c r="A117" s="127" t="s">
        <v>315</v>
      </c>
      <c r="B117" s="123" t="s">
        <v>316</v>
      </c>
      <c r="C117" s="130"/>
      <c r="E117" s="131"/>
    </row>
    <row r="118" spans="1:11" x14ac:dyDescent="0.2">
      <c r="A118" s="127" t="s">
        <v>317</v>
      </c>
      <c r="B118" s="123" t="s">
        <v>318</v>
      </c>
      <c r="C118" s="130"/>
      <c r="E118" s="131"/>
    </row>
    <row r="119" spans="1:11" x14ac:dyDescent="0.2">
      <c r="A119" s="127" t="s">
        <v>319</v>
      </c>
      <c r="B119" s="123" t="s">
        <v>320</v>
      </c>
      <c r="C119" s="130"/>
      <c r="E119" s="131"/>
    </row>
    <row r="120" spans="1:11" x14ac:dyDescent="0.2">
      <c r="A120" s="127" t="s">
        <v>321</v>
      </c>
      <c r="B120" s="123" t="s">
        <v>322</v>
      </c>
      <c r="C120" s="130"/>
      <c r="E120" s="131"/>
    </row>
    <row r="121" spans="1:11" x14ac:dyDescent="0.2">
      <c r="A121" s="122" t="s">
        <v>323</v>
      </c>
      <c r="B121" s="123" t="s">
        <v>324</v>
      </c>
      <c r="C121" s="130"/>
      <c r="E121" s="131"/>
    </row>
    <row r="122" spans="1:11" x14ac:dyDescent="0.2">
      <c r="A122" s="127" t="s">
        <v>325</v>
      </c>
      <c r="B122" s="123" t="s">
        <v>326</v>
      </c>
      <c r="C122" s="130"/>
      <c r="E122" s="131"/>
    </row>
    <row r="123" spans="1:11" x14ac:dyDescent="0.2">
      <c r="A123" s="127" t="s">
        <v>327</v>
      </c>
      <c r="B123" s="123" t="s">
        <v>328</v>
      </c>
      <c r="C123" s="130"/>
      <c r="E123" s="131"/>
    </row>
    <row r="124" spans="1:11" x14ac:dyDescent="0.2">
      <c r="A124" s="127" t="s">
        <v>329</v>
      </c>
      <c r="B124" s="123" t="s">
        <v>330</v>
      </c>
      <c r="C124" s="130"/>
      <c r="E124" s="131"/>
    </row>
    <row r="125" spans="1:11" x14ac:dyDescent="0.2">
      <c r="A125" s="127" t="s">
        <v>331</v>
      </c>
      <c r="B125" s="123" t="s">
        <v>332</v>
      </c>
      <c r="C125" s="130"/>
      <c r="E125" s="131"/>
    </row>
    <row r="126" spans="1:11" x14ac:dyDescent="0.2">
      <c r="A126" s="127" t="s">
        <v>333</v>
      </c>
      <c r="B126" s="123" t="s">
        <v>334</v>
      </c>
      <c r="C126" s="130"/>
      <c r="E126" s="124" t="s">
        <v>335</v>
      </c>
      <c r="G126" s="124"/>
      <c r="H126" s="124"/>
      <c r="I126" s="124"/>
      <c r="J126" s="124"/>
      <c r="K126" s="124"/>
    </row>
    <row r="127" spans="1:11" x14ac:dyDescent="0.2">
      <c r="A127" s="127"/>
      <c r="B127" s="129" t="s">
        <v>336</v>
      </c>
      <c r="C127" s="131"/>
      <c r="D127" s="131"/>
      <c r="E127" s="124" t="s">
        <v>337</v>
      </c>
      <c r="F127" s="124" t="s">
        <v>338</v>
      </c>
      <c r="G127" s="124" t="s">
        <v>114</v>
      </c>
      <c r="H127" s="124"/>
      <c r="I127" s="124"/>
      <c r="J127" s="124"/>
      <c r="K127" s="124"/>
    </row>
    <row r="128" spans="1:11" x14ac:dyDescent="0.2">
      <c r="A128" s="127" t="s">
        <v>339</v>
      </c>
      <c r="B128" s="123" t="s">
        <v>340</v>
      </c>
      <c r="E128" s="124" t="s">
        <v>341</v>
      </c>
      <c r="F128" s="124" t="s">
        <v>342</v>
      </c>
      <c r="G128" s="135">
        <v>-2083333</v>
      </c>
      <c r="H128" s="124"/>
      <c r="I128" s="124"/>
      <c r="J128" s="124"/>
      <c r="K128" s="124"/>
    </row>
    <row r="129" spans="1:11" x14ac:dyDescent="0.2">
      <c r="A129" s="127" t="s">
        <v>343</v>
      </c>
      <c r="B129" s="123" t="s">
        <v>344</v>
      </c>
      <c r="E129" s="124" t="s">
        <v>345</v>
      </c>
      <c r="G129" s="135">
        <v>-2083333</v>
      </c>
      <c r="H129" s="124"/>
      <c r="I129" s="124"/>
      <c r="J129" s="124"/>
      <c r="K129" s="124"/>
    </row>
    <row r="130" spans="1:11" x14ac:dyDescent="0.2">
      <c r="A130" s="122">
        <v>5110358000</v>
      </c>
      <c r="B130" s="123" t="s">
        <v>346</v>
      </c>
      <c r="G130" s="124"/>
      <c r="H130" s="124"/>
      <c r="I130" s="124"/>
      <c r="J130" s="124"/>
      <c r="K130" s="124"/>
    </row>
    <row r="131" spans="1:11" x14ac:dyDescent="0.2">
      <c r="A131" s="127"/>
      <c r="B131" s="129" t="s">
        <v>347</v>
      </c>
      <c r="G131" s="124"/>
      <c r="H131" s="124"/>
      <c r="I131" s="124"/>
      <c r="J131" s="124"/>
      <c r="K131" s="124"/>
    </row>
    <row r="132" spans="1:11" x14ac:dyDescent="0.2">
      <c r="A132" s="127" t="s">
        <v>348</v>
      </c>
      <c r="B132" s="123" t="s">
        <v>349</v>
      </c>
      <c r="G132" s="124"/>
      <c r="H132" s="124"/>
      <c r="I132" s="124"/>
      <c r="J132" s="124"/>
      <c r="K132" s="124"/>
    </row>
    <row r="133" spans="1:11" x14ac:dyDescent="0.2">
      <c r="A133" s="127" t="s">
        <v>350</v>
      </c>
      <c r="B133" s="123" t="s">
        <v>351</v>
      </c>
      <c r="G133" s="124"/>
      <c r="H133" s="124"/>
      <c r="I133" s="124"/>
      <c r="J133" s="124"/>
      <c r="K133" s="124"/>
    </row>
    <row r="134" spans="1:11" x14ac:dyDescent="0.2">
      <c r="A134" s="127" t="s">
        <v>352</v>
      </c>
      <c r="B134" s="123" t="s">
        <v>353</v>
      </c>
      <c r="G134" s="124"/>
      <c r="H134" s="124"/>
      <c r="I134" s="124"/>
      <c r="J134" s="124"/>
      <c r="K134" s="124"/>
    </row>
    <row r="135" spans="1:11" x14ac:dyDescent="0.2">
      <c r="A135" s="127" t="s">
        <v>354</v>
      </c>
      <c r="B135" s="123" t="s">
        <v>355</v>
      </c>
      <c r="G135" s="124"/>
      <c r="H135" s="124"/>
      <c r="I135" s="124"/>
      <c r="J135" s="124"/>
      <c r="K135" s="124"/>
    </row>
    <row r="136" spans="1:11" x14ac:dyDescent="0.2">
      <c r="G136" s="124"/>
      <c r="H136" s="124"/>
      <c r="I136" s="124"/>
      <c r="J136" s="124"/>
      <c r="K136" s="124"/>
    </row>
    <row r="137" spans="1:11" x14ac:dyDescent="0.2">
      <c r="A137" s="127"/>
      <c r="B137" s="129" t="s">
        <v>356</v>
      </c>
      <c r="G137" s="124"/>
      <c r="H137" s="124"/>
      <c r="I137" s="124"/>
      <c r="J137" s="124"/>
      <c r="K137" s="124"/>
    </row>
    <row r="138" spans="1:11" x14ac:dyDescent="0.2">
      <c r="A138" s="127" t="s">
        <v>357</v>
      </c>
      <c r="B138" s="123" t="s">
        <v>358</v>
      </c>
      <c r="G138" s="124"/>
      <c r="H138" s="124"/>
      <c r="I138" s="124"/>
      <c r="J138" s="124"/>
      <c r="K138" s="124"/>
    </row>
    <row r="139" spans="1:11" x14ac:dyDescent="0.2">
      <c r="A139" s="127" t="s">
        <v>359</v>
      </c>
      <c r="B139" s="123" t="s">
        <v>360</v>
      </c>
      <c r="G139" s="124"/>
      <c r="H139" s="124"/>
      <c r="I139" s="124"/>
      <c r="J139" s="124"/>
      <c r="K139" s="124"/>
    </row>
    <row r="140" spans="1:11" x14ac:dyDescent="0.2">
      <c r="A140" s="127" t="s">
        <v>361</v>
      </c>
      <c r="B140" s="123" t="s">
        <v>362</v>
      </c>
      <c r="G140" s="124"/>
      <c r="H140" s="124"/>
      <c r="I140" s="124"/>
      <c r="J140" s="124"/>
      <c r="K140" s="124"/>
    </row>
    <row r="141" spans="1:11" x14ac:dyDescent="0.2">
      <c r="A141" s="136" t="s">
        <v>363</v>
      </c>
      <c r="B141" s="123" t="s">
        <v>364</v>
      </c>
      <c r="G141" s="124"/>
    </row>
    <row r="142" spans="1:11" x14ac:dyDescent="0.2">
      <c r="A142" s="136"/>
      <c r="B142" s="129" t="s">
        <v>365</v>
      </c>
      <c r="G142" s="124"/>
    </row>
    <row r="143" spans="1:11" x14ac:dyDescent="0.2">
      <c r="A143" s="127" t="s">
        <v>366</v>
      </c>
      <c r="B143" s="123" t="s">
        <v>367</v>
      </c>
      <c r="G143" s="124"/>
    </row>
    <row r="144" spans="1:11" x14ac:dyDescent="0.2">
      <c r="A144" s="127"/>
      <c r="B144" s="129" t="s">
        <v>368</v>
      </c>
      <c r="G144" s="124"/>
    </row>
    <row r="145" spans="1:7" x14ac:dyDescent="0.2">
      <c r="A145" s="127"/>
      <c r="B145" s="129" t="s">
        <v>369</v>
      </c>
      <c r="G145" s="124"/>
    </row>
    <row r="146" spans="1:7" x14ac:dyDescent="0.2">
      <c r="A146" s="127"/>
      <c r="B146" s="129" t="s">
        <v>370</v>
      </c>
      <c r="G146" s="124"/>
    </row>
    <row r="147" spans="1:7" x14ac:dyDescent="0.2">
      <c r="A147" s="127" t="s">
        <v>371</v>
      </c>
      <c r="B147" s="123" t="s">
        <v>372</v>
      </c>
      <c r="G147" s="124"/>
    </row>
    <row r="148" spans="1:7" x14ac:dyDescent="0.2">
      <c r="G148" s="124"/>
    </row>
    <row r="149" spans="1:7" x14ac:dyDescent="0.2">
      <c r="G149" s="124"/>
    </row>
    <row r="150" spans="1:7" x14ac:dyDescent="0.2">
      <c r="B150" s="124" t="s">
        <v>373</v>
      </c>
    </row>
    <row r="151" spans="1:7" x14ac:dyDescent="0.2">
      <c r="A151" s="127" t="s">
        <v>183</v>
      </c>
      <c r="B151" s="123" t="s">
        <v>184</v>
      </c>
    </row>
    <row r="152" spans="1:7" x14ac:dyDescent="0.2">
      <c r="A152" s="124" t="s">
        <v>185</v>
      </c>
      <c r="B152" s="123" t="s">
        <v>186</v>
      </c>
    </row>
    <row r="153" spans="1:7" x14ac:dyDescent="0.2">
      <c r="A153" s="127" t="s">
        <v>209</v>
      </c>
      <c r="B153" s="123" t="s">
        <v>210</v>
      </c>
    </row>
    <row r="154" spans="1:7" x14ac:dyDescent="0.2">
      <c r="A154" s="124" t="s">
        <v>211</v>
      </c>
      <c r="B154" s="123" t="s">
        <v>212</v>
      </c>
    </row>
    <row r="155" spans="1:7" x14ac:dyDescent="0.2">
      <c r="A155" s="127" t="s">
        <v>264</v>
      </c>
      <c r="B155" s="123" t="s">
        <v>265</v>
      </c>
    </row>
    <row r="156" spans="1:7" x14ac:dyDescent="0.2">
      <c r="A156" s="122">
        <v>5105180100</v>
      </c>
      <c r="B156" s="123" t="s">
        <v>266</v>
      </c>
    </row>
    <row r="157" spans="1:7" x14ac:dyDescent="0.2">
      <c r="A157" s="124" t="s">
        <v>267</v>
      </c>
      <c r="B157" s="123" t="s">
        <v>268</v>
      </c>
    </row>
    <row r="158" spans="1:7" x14ac:dyDescent="0.2">
      <c r="A158" s="122">
        <v>5105180000</v>
      </c>
      <c r="B158" s="123" t="s">
        <v>275</v>
      </c>
    </row>
    <row r="159" spans="1:7" x14ac:dyDescent="0.2">
      <c r="A159" s="127" t="s">
        <v>276</v>
      </c>
      <c r="B159" s="123" t="s">
        <v>277</v>
      </c>
    </row>
    <row r="160" spans="1:7" x14ac:dyDescent="0.2">
      <c r="A160" s="127" t="s">
        <v>278</v>
      </c>
      <c r="B160" s="123" t="s">
        <v>279</v>
      </c>
    </row>
    <row r="161" spans="1:5" x14ac:dyDescent="0.2">
      <c r="A161" s="127" t="s">
        <v>280</v>
      </c>
      <c r="B161" s="123" t="s">
        <v>281</v>
      </c>
    </row>
    <row r="164" spans="1:5" x14ac:dyDescent="0.2">
      <c r="B164" s="124" t="s">
        <v>374</v>
      </c>
    </row>
    <row r="165" spans="1:5" x14ac:dyDescent="0.2">
      <c r="A165" s="124" t="s">
        <v>191</v>
      </c>
      <c r="B165" s="124" t="s">
        <v>192</v>
      </c>
    </row>
    <row r="166" spans="1:5" x14ac:dyDescent="0.2">
      <c r="A166" s="124" t="s">
        <v>270</v>
      </c>
      <c r="B166" s="124" t="s">
        <v>271</v>
      </c>
    </row>
    <row r="167" spans="1:5" x14ac:dyDescent="0.2">
      <c r="A167" s="124" t="s">
        <v>272</v>
      </c>
      <c r="B167" s="124" t="s">
        <v>273</v>
      </c>
    </row>
    <row r="173" spans="1:5" x14ac:dyDescent="0.2">
      <c r="A173" s="137" t="s">
        <v>375</v>
      </c>
    </row>
    <row r="174" spans="1:5" x14ac:dyDescent="0.2">
      <c r="A174" s="125" t="s">
        <v>376</v>
      </c>
      <c r="E174" s="124" t="s">
        <v>377</v>
      </c>
    </row>
    <row r="175" spans="1:5" x14ac:dyDescent="0.2">
      <c r="A175" s="124" t="s">
        <v>378</v>
      </c>
      <c r="B175" s="124" t="s">
        <v>379</v>
      </c>
    </row>
    <row r="176" spans="1:5" x14ac:dyDescent="0.2">
      <c r="A176" s="124">
        <v>4155950000</v>
      </c>
      <c r="B176" s="124" t="s">
        <v>380</v>
      </c>
    </row>
    <row r="177" spans="1:5" x14ac:dyDescent="0.2">
      <c r="A177" s="124">
        <v>4155950100</v>
      </c>
      <c r="B177" s="124" t="s">
        <v>381</v>
      </c>
    </row>
    <row r="178" spans="1:5" x14ac:dyDescent="0.2">
      <c r="A178" s="124">
        <v>4155951500</v>
      </c>
      <c r="B178" s="124" t="s">
        <v>382</v>
      </c>
    </row>
    <row r="179" spans="1:5" x14ac:dyDescent="0.2">
      <c r="A179" s="124">
        <v>4135950900</v>
      </c>
      <c r="B179" s="124" t="s">
        <v>383</v>
      </c>
    </row>
    <row r="180" spans="1:5" x14ac:dyDescent="0.2">
      <c r="A180" s="124">
        <v>4135950000</v>
      </c>
      <c r="B180" s="124" t="s">
        <v>384</v>
      </c>
      <c r="E180" s="124">
        <v>4135950000</v>
      </c>
    </row>
    <row r="181" spans="1:5" x14ac:dyDescent="0.2">
      <c r="A181" s="124">
        <v>4155950500</v>
      </c>
      <c r="B181" s="124" t="s">
        <v>384</v>
      </c>
    </row>
    <row r="182" spans="1:5" x14ac:dyDescent="0.2">
      <c r="A182" s="124">
        <v>4170250300</v>
      </c>
      <c r="B182" s="124" t="s">
        <v>384</v>
      </c>
    </row>
    <row r="183" spans="1:5" x14ac:dyDescent="0.2">
      <c r="A183" s="124" t="s">
        <v>385</v>
      </c>
      <c r="B183" s="124" t="s">
        <v>386</v>
      </c>
    </row>
    <row r="184" spans="1:5" x14ac:dyDescent="0.2">
      <c r="A184" s="124">
        <v>6135950000</v>
      </c>
      <c r="B184" s="124" t="s">
        <v>387</v>
      </c>
    </row>
    <row r="186" spans="1:5" x14ac:dyDescent="0.2">
      <c r="B186" s="124" t="s">
        <v>388</v>
      </c>
    </row>
    <row r="187" spans="1:5" x14ac:dyDescent="0.2">
      <c r="A187" s="124">
        <v>5205180100</v>
      </c>
      <c r="B187" s="124" t="s">
        <v>389</v>
      </c>
      <c r="C187" s="124" t="s">
        <v>390</v>
      </c>
    </row>
    <row r="188" spans="1:5" x14ac:dyDescent="0.2">
      <c r="A188" s="124">
        <v>5205361000</v>
      </c>
      <c r="B188" s="124" t="s">
        <v>391</v>
      </c>
      <c r="C188" s="124" t="s">
        <v>392</v>
      </c>
      <c r="D188" s="124" t="s">
        <v>114</v>
      </c>
    </row>
    <row r="189" spans="1:5" x14ac:dyDescent="0.2">
      <c r="A189" s="124">
        <v>5205391000</v>
      </c>
      <c r="B189" s="124" t="s">
        <v>391</v>
      </c>
      <c r="C189" s="124" t="s">
        <v>393</v>
      </c>
      <c r="D189" s="124">
        <v>4638.9799999999996</v>
      </c>
    </row>
    <row r="190" spans="1:5" x14ac:dyDescent="0.2">
      <c r="A190" s="124">
        <v>5205422000</v>
      </c>
      <c r="B190" s="124" t="s">
        <v>391</v>
      </c>
      <c r="C190" s="124" t="s">
        <v>394</v>
      </c>
      <c r="D190" s="124">
        <v>1230.26</v>
      </c>
    </row>
    <row r="191" spans="1:5" x14ac:dyDescent="0.2">
      <c r="A191" s="124">
        <v>5205691000</v>
      </c>
      <c r="B191" s="124" t="s">
        <v>391</v>
      </c>
      <c r="C191" s="124" t="s">
        <v>395</v>
      </c>
      <c r="D191" s="124">
        <v>307.56</v>
      </c>
    </row>
    <row r="192" spans="1:5" x14ac:dyDescent="0.2">
      <c r="A192" s="124">
        <v>5205701000</v>
      </c>
      <c r="B192" s="124" t="s">
        <v>391</v>
      </c>
      <c r="C192" s="124" t="s">
        <v>396</v>
      </c>
      <c r="D192" s="124">
        <v>896.8</v>
      </c>
    </row>
    <row r="193" spans="1:4" x14ac:dyDescent="0.2">
      <c r="A193" s="124">
        <v>5160200000</v>
      </c>
      <c r="B193" s="124" t="s">
        <v>397</v>
      </c>
      <c r="C193" s="124" t="s">
        <v>398</v>
      </c>
      <c r="D193" s="124">
        <v>604.20000000000005</v>
      </c>
    </row>
    <row r="194" spans="1:4" x14ac:dyDescent="0.2">
      <c r="A194" s="124">
        <v>5260100000</v>
      </c>
      <c r="B194" s="124" t="s">
        <v>397</v>
      </c>
      <c r="C194" s="124" t="s">
        <v>399</v>
      </c>
      <c r="D194" s="124">
        <v>27.16</v>
      </c>
    </row>
    <row r="195" spans="1:4" x14ac:dyDescent="0.2">
      <c r="A195" s="124">
        <v>5260200000</v>
      </c>
      <c r="B195" s="124" t="s">
        <v>397</v>
      </c>
      <c r="C195" s="124" t="s">
        <v>345</v>
      </c>
      <c r="D195" s="124">
        <v>7704.96</v>
      </c>
    </row>
    <row r="196" spans="1:4" x14ac:dyDescent="0.2">
      <c r="A196" s="124">
        <v>5260150000</v>
      </c>
      <c r="B196" s="124" t="s">
        <v>397</v>
      </c>
    </row>
    <row r="197" spans="1:4" x14ac:dyDescent="0.2">
      <c r="A197" s="124">
        <v>5260350000</v>
      </c>
      <c r="B197" s="124" t="s">
        <v>397</v>
      </c>
    </row>
    <row r="198" spans="1:4" x14ac:dyDescent="0.2">
      <c r="A198" s="124">
        <v>5160150000</v>
      </c>
      <c r="B198" s="124" t="s">
        <v>400</v>
      </c>
    </row>
    <row r="199" spans="1:4" x14ac:dyDescent="0.2">
      <c r="A199" s="124">
        <v>5145150100</v>
      </c>
      <c r="B199" s="124" t="s">
        <v>401</v>
      </c>
    </row>
    <row r="200" spans="1:4" x14ac:dyDescent="0.2">
      <c r="A200" s="124">
        <v>5235300000</v>
      </c>
      <c r="B200" s="124" t="s">
        <v>401</v>
      </c>
    </row>
    <row r="201" spans="1:4" x14ac:dyDescent="0.2">
      <c r="A201" s="124">
        <v>5245100000</v>
      </c>
      <c r="B201" s="124" t="s">
        <v>401</v>
      </c>
    </row>
    <row r="202" spans="1:4" x14ac:dyDescent="0.2">
      <c r="A202" s="124">
        <v>5245150000</v>
      </c>
      <c r="B202" s="124" t="s">
        <v>401</v>
      </c>
    </row>
    <row r="203" spans="1:4" x14ac:dyDescent="0.2">
      <c r="A203" s="124">
        <v>5245150100</v>
      </c>
      <c r="B203" s="124" t="s">
        <v>401</v>
      </c>
    </row>
    <row r="204" spans="1:4" x14ac:dyDescent="0.2">
      <c r="A204" s="124">
        <v>5245200000</v>
      </c>
      <c r="B204" s="124" t="s">
        <v>401</v>
      </c>
    </row>
    <row r="205" spans="1:4" x14ac:dyDescent="0.2">
      <c r="A205" s="124">
        <v>5245250000</v>
      </c>
      <c r="B205" s="124" t="s">
        <v>401</v>
      </c>
    </row>
    <row r="206" spans="1:4" x14ac:dyDescent="0.2">
      <c r="A206" s="124">
        <v>5250050000</v>
      </c>
      <c r="B206" s="124" t="s">
        <v>401</v>
      </c>
    </row>
    <row r="207" spans="1:4" x14ac:dyDescent="0.2">
      <c r="A207" s="124">
        <v>5250100000</v>
      </c>
      <c r="B207" s="124" t="s">
        <v>401</v>
      </c>
    </row>
    <row r="208" spans="1:4" x14ac:dyDescent="0.2">
      <c r="A208" s="124">
        <v>5250950000</v>
      </c>
      <c r="B208" s="124" t="s">
        <v>401</v>
      </c>
    </row>
    <row r="209" spans="1:2" x14ac:dyDescent="0.2">
      <c r="A209" s="124">
        <v>5295250000</v>
      </c>
      <c r="B209" s="124" t="s">
        <v>401</v>
      </c>
    </row>
    <row r="210" spans="1:2" x14ac:dyDescent="0.2">
      <c r="A210" s="124">
        <v>5295950300</v>
      </c>
      <c r="B210" s="124" t="s">
        <v>401</v>
      </c>
    </row>
    <row r="211" spans="1:2" x14ac:dyDescent="0.2">
      <c r="A211" s="124">
        <v>5235050000</v>
      </c>
      <c r="B211" s="124" t="s">
        <v>402</v>
      </c>
    </row>
    <row r="212" spans="1:2" x14ac:dyDescent="0.2">
      <c r="A212" s="124">
        <v>5235200000</v>
      </c>
      <c r="B212" s="124" t="s">
        <v>402</v>
      </c>
    </row>
    <row r="213" spans="1:2" x14ac:dyDescent="0.2">
      <c r="A213" s="124">
        <v>5235950100</v>
      </c>
      <c r="B213" s="124" t="s">
        <v>402</v>
      </c>
    </row>
    <row r="214" spans="1:2" x14ac:dyDescent="0.2">
      <c r="A214" s="124">
        <v>5235950400</v>
      </c>
      <c r="B214" s="124" t="s">
        <v>402</v>
      </c>
    </row>
    <row r="215" spans="1:2" x14ac:dyDescent="0.2">
      <c r="A215" s="124">
        <v>5235950500</v>
      </c>
      <c r="B215" s="124" t="s">
        <v>402</v>
      </c>
    </row>
    <row r="216" spans="1:2" x14ac:dyDescent="0.2">
      <c r="A216" s="124">
        <v>5235950600</v>
      </c>
      <c r="B216" s="124" t="s">
        <v>402</v>
      </c>
    </row>
    <row r="217" spans="1:2" x14ac:dyDescent="0.2">
      <c r="A217" s="124">
        <v>5235950600</v>
      </c>
      <c r="B217" s="124" t="s">
        <v>402</v>
      </c>
    </row>
    <row r="218" spans="1:2" x14ac:dyDescent="0.2">
      <c r="A218" s="124">
        <v>5235950600</v>
      </c>
      <c r="B218" s="124" t="s">
        <v>402</v>
      </c>
    </row>
    <row r="219" spans="1:2" x14ac:dyDescent="0.2">
      <c r="A219" s="124">
        <v>5295950500</v>
      </c>
      <c r="B219" s="124" t="s">
        <v>402</v>
      </c>
    </row>
    <row r="220" spans="1:2" x14ac:dyDescent="0.2">
      <c r="A220" s="124">
        <v>5295950100</v>
      </c>
      <c r="B220" s="124" t="s">
        <v>403</v>
      </c>
    </row>
    <row r="221" spans="1:2" x14ac:dyDescent="0.2">
      <c r="A221" s="124">
        <v>5299100000</v>
      </c>
      <c r="B221" s="124" t="s">
        <v>404</v>
      </c>
    </row>
    <row r="222" spans="1:2" x14ac:dyDescent="0.2">
      <c r="A222" s="124">
        <v>5160100000</v>
      </c>
      <c r="B222" s="124" t="s">
        <v>405</v>
      </c>
    </row>
    <row r="223" spans="1:2" x14ac:dyDescent="0.2">
      <c r="B223" s="124" t="s">
        <v>406</v>
      </c>
    </row>
    <row r="224" spans="1:2" x14ac:dyDescent="0.2">
      <c r="A224" s="124">
        <v>5205630100</v>
      </c>
      <c r="B224" s="124" t="s">
        <v>407</v>
      </c>
    </row>
    <row r="225" spans="1:2" x14ac:dyDescent="0.2">
      <c r="A225" s="124">
        <v>5205630200</v>
      </c>
      <c r="B225" s="124" t="s">
        <v>407</v>
      </c>
    </row>
    <row r="226" spans="1:2" x14ac:dyDescent="0.2">
      <c r="A226" s="124">
        <v>5205060100</v>
      </c>
      <c r="B226" s="124" t="s">
        <v>408</v>
      </c>
    </row>
    <row r="227" spans="1:2" x14ac:dyDescent="0.2">
      <c r="A227" s="124">
        <v>5205150100</v>
      </c>
      <c r="B227" s="124" t="s">
        <v>408</v>
      </c>
    </row>
    <row r="228" spans="1:2" x14ac:dyDescent="0.2">
      <c r="A228" s="124">
        <v>5205360100</v>
      </c>
      <c r="B228" s="124" t="s">
        <v>409</v>
      </c>
    </row>
    <row r="229" spans="1:2" x14ac:dyDescent="0.2">
      <c r="A229" s="124">
        <v>5205390100</v>
      </c>
      <c r="B229" s="124" t="s">
        <v>409</v>
      </c>
    </row>
    <row r="230" spans="1:2" x14ac:dyDescent="0.2">
      <c r="A230" s="124">
        <v>5205600100</v>
      </c>
      <c r="B230" s="124" t="s">
        <v>409</v>
      </c>
    </row>
    <row r="231" spans="1:2" x14ac:dyDescent="0.2">
      <c r="A231" s="124">
        <v>5205690100</v>
      </c>
      <c r="B231" s="124" t="s">
        <v>409</v>
      </c>
    </row>
    <row r="232" spans="1:2" x14ac:dyDescent="0.2">
      <c r="A232" s="124">
        <v>5205700100</v>
      </c>
      <c r="B232" s="124" t="s">
        <v>409</v>
      </c>
    </row>
    <row r="233" spans="1:2" x14ac:dyDescent="0.2">
      <c r="A233" s="124">
        <v>5205700100</v>
      </c>
      <c r="B233" s="124" t="s">
        <v>409</v>
      </c>
    </row>
    <row r="234" spans="1:2" x14ac:dyDescent="0.2">
      <c r="A234" s="124">
        <v>5205700200</v>
      </c>
      <c r="B234" s="124" t="s">
        <v>409</v>
      </c>
    </row>
    <row r="235" spans="1:2" x14ac:dyDescent="0.2">
      <c r="A235" s="124">
        <v>5205780100</v>
      </c>
      <c r="B235" s="124" t="s">
        <v>409</v>
      </c>
    </row>
    <row r="236" spans="1:2" x14ac:dyDescent="0.2">
      <c r="A236" s="124">
        <v>5205660100</v>
      </c>
      <c r="B236" s="124" t="s">
        <v>410</v>
      </c>
    </row>
    <row r="237" spans="1:2" x14ac:dyDescent="0.2">
      <c r="A237" s="124">
        <v>5210250000</v>
      </c>
      <c r="B237" s="124" t="s">
        <v>411</v>
      </c>
    </row>
    <row r="238" spans="1:2" x14ac:dyDescent="0.2">
      <c r="A238" s="124">
        <v>5210350000</v>
      </c>
      <c r="B238" s="124" t="s">
        <v>411</v>
      </c>
    </row>
    <row r="239" spans="1:2" x14ac:dyDescent="0.2">
      <c r="A239" s="124">
        <v>5210950000</v>
      </c>
      <c r="B239" s="124" t="s">
        <v>411</v>
      </c>
    </row>
    <row r="240" spans="1:2" x14ac:dyDescent="0.2">
      <c r="A240" s="124">
        <v>5115950000</v>
      </c>
      <c r="B240" s="124" t="s">
        <v>412</v>
      </c>
    </row>
    <row r="241" spans="1:2" x14ac:dyDescent="0.2">
      <c r="A241" s="124">
        <v>5215100000</v>
      </c>
      <c r="B241" s="124" t="s">
        <v>412</v>
      </c>
    </row>
    <row r="242" spans="1:2" x14ac:dyDescent="0.2">
      <c r="A242" s="124">
        <v>5215950000</v>
      </c>
      <c r="B242" s="124" t="s">
        <v>412</v>
      </c>
    </row>
    <row r="243" spans="1:2" x14ac:dyDescent="0.2">
      <c r="A243" s="124">
        <v>5240100000</v>
      </c>
      <c r="B243" s="124" t="s">
        <v>412</v>
      </c>
    </row>
    <row r="244" spans="1:2" x14ac:dyDescent="0.2">
      <c r="A244" s="124">
        <v>5240150000</v>
      </c>
      <c r="B244" s="124" t="s">
        <v>412</v>
      </c>
    </row>
    <row r="245" spans="1:2" x14ac:dyDescent="0.2">
      <c r="A245" s="124">
        <v>5245400000</v>
      </c>
      <c r="B245" s="124" t="s">
        <v>413</v>
      </c>
    </row>
    <row r="246" spans="1:2" x14ac:dyDescent="0.2">
      <c r="A246" s="124">
        <v>5295350000</v>
      </c>
      <c r="B246" s="124" t="s">
        <v>413</v>
      </c>
    </row>
    <row r="247" spans="1:2" x14ac:dyDescent="0.2">
      <c r="A247" s="124">
        <v>5295100000</v>
      </c>
      <c r="B247" s="124" t="s">
        <v>414</v>
      </c>
    </row>
    <row r="248" spans="1:2" x14ac:dyDescent="0.2">
      <c r="A248" s="124">
        <v>5295300000</v>
      </c>
      <c r="B248" s="124" t="s">
        <v>414</v>
      </c>
    </row>
    <row r="249" spans="1:2" x14ac:dyDescent="0.2">
      <c r="A249" s="124">
        <v>5235600000</v>
      </c>
      <c r="B249" s="124" t="s">
        <v>415</v>
      </c>
    </row>
    <row r="250" spans="1:2" x14ac:dyDescent="0.2">
      <c r="A250" s="124">
        <v>5235350000</v>
      </c>
      <c r="B250" s="124" t="s">
        <v>416</v>
      </c>
    </row>
    <row r="251" spans="1:2" x14ac:dyDescent="0.2">
      <c r="A251" s="124">
        <v>5235400100</v>
      </c>
      <c r="B251" s="124" t="s">
        <v>416</v>
      </c>
    </row>
    <row r="252" spans="1:2" x14ac:dyDescent="0.2">
      <c r="A252" s="124">
        <v>5235400200</v>
      </c>
      <c r="B252" s="124" t="s">
        <v>416</v>
      </c>
    </row>
    <row r="253" spans="1:2" x14ac:dyDescent="0.2">
      <c r="A253" s="124">
        <v>5235450000</v>
      </c>
      <c r="B253" s="124" t="s">
        <v>416</v>
      </c>
    </row>
    <row r="254" spans="1:2" x14ac:dyDescent="0.2">
      <c r="A254" s="124">
        <v>5230250000</v>
      </c>
      <c r="B254" s="124" t="s">
        <v>417</v>
      </c>
    </row>
    <row r="255" spans="1:2" x14ac:dyDescent="0.2">
      <c r="A255" s="124">
        <v>5230950000</v>
      </c>
      <c r="B255" s="124" t="s">
        <v>417</v>
      </c>
    </row>
    <row r="256" spans="1:2" x14ac:dyDescent="0.2">
      <c r="A256" s="124">
        <v>5295700000</v>
      </c>
      <c r="B256" s="124" t="s">
        <v>417</v>
      </c>
    </row>
    <row r="257" spans="1:2" x14ac:dyDescent="0.2">
      <c r="A257" s="124">
        <v>5225100000</v>
      </c>
      <c r="B257" s="124" t="s">
        <v>418</v>
      </c>
    </row>
    <row r="258" spans="1:2" x14ac:dyDescent="0.2">
      <c r="A258" s="124">
        <v>5205480100</v>
      </c>
      <c r="B258" s="124" t="s">
        <v>419</v>
      </c>
    </row>
    <row r="259" spans="1:2" x14ac:dyDescent="0.2">
      <c r="A259" s="124">
        <v>5205480200</v>
      </c>
      <c r="B259" s="124" t="s">
        <v>419</v>
      </c>
    </row>
    <row r="260" spans="1:2" x14ac:dyDescent="0.2">
      <c r="A260" s="124">
        <v>5205481000</v>
      </c>
      <c r="B260" s="124" t="s">
        <v>419</v>
      </c>
    </row>
    <row r="261" spans="1:2" x14ac:dyDescent="0.2">
      <c r="A261" s="124">
        <v>5205481100</v>
      </c>
      <c r="B261" s="124" t="s">
        <v>419</v>
      </c>
    </row>
    <row r="262" spans="1:2" x14ac:dyDescent="0.2">
      <c r="A262" s="124">
        <v>5205210100</v>
      </c>
      <c r="B262" s="124" t="s">
        <v>420</v>
      </c>
    </row>
    <row r="263" spans="1:2" x14ac:dyDescent="0.2">
      <c r="A263" s="124">
        <v>5205210200</v>
      </c>
      <c r="B263" s="124" t="s">
        <v>420</v>
      </c>
    </row>
    <row r="264" spans="1:2" x14ac:dyDescent="0.2">
      <c r="A264" s="124">
        <v>5255050100</v>
      </c>
      <c r="B264" s="124" t="s">
        <v>420</v>
      </c>
    </row>
    <row r="265" spans="1:2" x14ac:dyDescent="0.2">
      <c r="A265" s="124">
        <v>5255060100</v>
      </c>
      <c r="B265" s="124" t="s">
        <v>420</v>
      </c>
    </row>
    <row r="266" spans="1:2" x14ac:dyDescent="0.2">
      <c r="A266" s="124">
        <v>5255150100</v>
      </c>
      <c r="B266" s="124" t="s">
        <v>420</v>
      </c>
    </row>
    <row r="267" spans="1:2" x14ac:dyDescent="0.2">
      <c r="A267" s="124">
        <v>5255200100</v>
      </c>
      <c r="B267" s="124" t="s">
        <v>420</v>
      </c>
    </row>
    <row r="268" spans="1:2" x14ac:dyDescent="0.2">
      <c r="A268" s="124">
        <v>5255200200</v>
      </c>
      <c r="B268" s="124" t="s">
        <v>420</v>
      </c>
    </row>
    <row r="269" spans="1:2" x14ac:dyDescent="0.2">
      <c r="A269" s="124">
        <v>5255950100</v>
      </c>
      <c r="B269" s="124" t="s">
        <v>420</v>
      </c>
    </row>
    <row r="270" spans="1:2" x14ac:dyDescent="0.2">
      <c r="A270" s="124">
        <v>5240050000</v>
      </c>
      <c r="B270" s="124" t="s">
        <v>421</v>
      </c>
    </row>
    <row r="271" spans="1:2" x14ac:dyDescent="0.2">
      <c r="A271" s="124">
        <v>5240200400</v>
      </c>
      <c r="B271" s="124" t="s">
        <v>421</v>
      </c>
    </row>
    <row r="272" spans="1:2" x14ac:dyDescent="0.2">
      <c r="A272" s="124">
        <v>5220050000</v>
      </c>
      <c r="B272" s="124" t="s">
        <v>422</v>
      </c>
    </row>
    <row r="273" spans="1:2" x14ac:dyDescent="0.2">
      <c r="A273" s="124">
        <v>5220100000</v>
      </c>
      <c r="B273" s="124" t="s">
        <v>422</v>
      </c>
    </row>
    <row r="274" spans="1:2" x14ac:dyDescent="0.2">
      <c r="A274" s="124">
        <v>5220100100</v>
      </c>
      <c r="B274" s="124" t="s">
        <v>422</v>
      </c>
    </row>
    <row r="275" spans="1:2" x14ac:dyDescent="0.2">
      <c r="A275" s="124">
        <v>5220950000</v>
      </c>
      <c r="B275" s="124" t="s">
        <v>422</v>
      </c>
    </row>
    <row r="278" spans="1:2" x14ac:dyDescent="0.2">
      <c r="B278" s="124" t="s">
        <v>423</v>
      </c>
    </row>
    <row r="279" spans="1:2" x14ac:dyDescent="0.2">
      <c r="A279" s="124">
        <v>5105060000</v>
      </c>
      <c r="B279" s="124" t="s">
        <v>424</v>
      </c>
    </row>
    <row r="280" spans="1:2" x14ac:dyDescent="0.2">
      <c r="A280" s="124">
        <v>5105150000</v>
      </c>
      <c r="B280" s="124" t="s">
        <v>424</v>
      </c>
    </row>
    <row r="281" spans="1:2" x14ac:dyDescent="0.2">
      <c r="A281" s="124">
        <v>5105360000</v>
      </c>
      <c r="B281" s="124" t="s">
        <v>425</v>
      </c>
    </row>
    <row r="282" spans="1:2" x14ac:dyDescent="0.2">
      <c r="A282" s="124">
        <v>5105390000</v>
      </c>
      <c r="B282" s="124" t="s">
        <v>425</v>
      </c>
    </row>
    <row r="283" spans="1:2" x14ac:dyDescent="0.2">
      <c r="A283" s="124">
        <v>5105600000</v>
      </c>
      <c r="B283" s="124" t="s">
        <v>425</v>
      </c>
    </row>
    <row r="284" spans="1:2" x14ac:dyDescent="0.2">
      <c r="A284" s="124">
        <v>5105690000</v>
      </c>
      <c r="B284" s="124" t="s">
        <v>425</v>
      </c>
    </row>
    <row r="285" spans="1:2" x14ac:dyDescent="0.2">
      <c r="A285" s="124">
        <v>5105700000</v>
      </c>
      <c r="B285" s="124" t="s">
        <v>425</v>
      </c>
    </row>
    <row r="286" spans="1:2" x14ac:dyDescent="0.2">
      <c r="A286" s="124">
        <v>5105780000</v>
      </c>
      <c r="B286" s="124" t="s">
        <v>425</v>
      </c>
    </row>
    <row r="287" spans="1:2" x14ac:dyDescent="0.2">
      <c r="A287" s="124">
        <v>5105950000</v>
      </c>
      <c r="B287" s="124" t="s">
        <v>425</v>
      </c>
    </row>
    <row r="288" spans="1:2" x14ac:dyDescent="0.2">
      <c r="A288" s="124">
        <v>5105180000</v>
      </c>
      <c r="B288" s="124" t="s">
        <v>426</v>
      </c>
    </row>
    <row r="289" spans="1:2" x14ac:dyDescent="0.2">
      <c r="A289" s="124">
        <v>5105630000</v>
      </c>
      <c r="B289" s="124" t="s">
        <v>427</v>
      </c>
    </row>
    <row r="290" spans="1:2" x14ac:dyDescent="0.2">
      <c r="A290" s="124">
        <v>5105391000</v>
      </c>
      <c r="B290" s="124" t="s">
        <v>428</v>
      </c>
    </row>
    <row r="291" spans="1:2" x14ac:dyDescent="0.2">
      <c r="A291" s="124">
        <v>5105691000</v>
      </c>
      <c r="B291" s="124" t="s">
        <v>428</v>
      </c>
    </row>
    <row r="292" spans="1:2" x14ac:dyDescent="0.2">
      <c r="A292" s="124">
        <v>5105701000</v>
      </c>
      <c r="B292" s="124" t="s">
        <v>428</v>
      </c>
    </row>
    <row r="293" spans="1:2" x14ac:dyDescent="0.2">
      <c r="A293" s="124">
        <v>5135050000</v>
      </c>
      <c r="B293" s="124" t="s">
        <v>402</v>
      </c>
    </row>
    <row r="294" spans="1:2" x14ac:dyDescent="0.2">
      <c r="A294" s="124">
        <v>5135150000</v>
      </c>
      <c r="B294" s="124" t="s">
        <v>402</v>
      </c>
    </row>
    <row r="295" spans="1:2" x14ac:dyDescent="0.2">
      <c r="A295" s="124">
        <v>5135200000</v>
      </c>
      <c r="B295" s="124" t="s">
        <v>402</v>
      </c>
    </row>
    <row r="296" spans="1:2" x14ac:dyDescent="0.2">
      <c r="A296" s="124">
        <v>5135950500</v>
      </c>
      <c r="B296" s="124" t="s">
        <v>402</v>
      </c>
    </row>
    <row r="297" spans="1:2" x14ac:dyDescent="0.2">
      <c r="A297" s="124">
        <v>5120100000</v>
      </c>
      <c r="B297" s="124" t="s">
        <v>429</v>
      </c>
    </row>
    <row r="298" spans="1:2" x14ac:dyDescent="0.2">
      <c r="A298" s="124">
        <v>5105660000</v>
      </c>
      <c r="B298" s="124" t="s">
        <v>430</v>
      </c>
    </row>
    <row r="299" spans="1:2" x14ac:dyDescent="0.2">
      <c r="A299" s="124">
        <v>5155960000</v>
      </c>
      <c r="B299" s="124" t="s">
        <v>430</v>
      </c>
    </row>
    <row r="300" spans="1:2" x14ac:dyDescent="0.2">
      <c r="A300" s="124">
        <v>5195950300</v>
      </c>
      <c r="B300" s="124" t="s">
        <v>431</v>
      </c>
    </row>
    <row r="301" spans="1:2" x14ac:dyDescent="0.2">
      <c r="A301" s="124">
        <v>5110100000</v>
      </c>
      <c r="B301" s="124" t="s">
        <v>432</v>
      </c>
    </row>
    <row r="302" spans="1:2" x14ac:dyDescent="0.2">
      <c r="A302" s="124">
        <v>5110200000</v>
      </c>
      <c r="B302" s="124" t="s">
        <v>432</v>
      </c>
    </row>
    <row r="303" spans="1:2" x14ac:dyDescent="0.2">
      <c r="A303" s="124">
        <v>5110250000</v>
      </c>
      <c r="B303" s="124" t="s">
        <v>432</v>
      </c>
    </row>
    <row r="304" spans="1:2" x14ac:dyDescent="0.2">
      <c r="A304" s="124">
        <v>5110300000</v>
      </c>
      <c r="B304" s="124" t="s">
        <v>432</v>
      </c>
    </row>
    <row r="305" spans="1:2" x14ac:dyDescent="0.2">
      <c r="A305" s="124">
        <v>5110350000</v>
      </c>
      <c r="B305" s="124" t="s">
        <v>432</v>
      </c>
    </row>
    <row r="306" spans="1:2" x14ac:dyDescent="0.2">
      <c r="A306" s="124">
        <v>5110950000</v>
      </c>
      <c r="B306" s="124" t="s">
        <v>432</v>
      </c>
    </row>
    <row r="307" spans="1:2" x14ac:dyDescent="0.2">
      <c r="A307" s="124">
        <v>5130</v>
      </c>
      <c r="B307" s="124" t="s">
        <v>433</v>
      </c>
    </row>
    <row r="308" spans="1:2" x14ac:dyDescent="0.2">
      <c r="A308" s="124">
        <v>5145400000</v>
      </c>
      <c r="B308" s="124" t="s">
        <v>434</v>
      </c>
    </row>
    <row r="309" spans="1:2" x14ac:dyDescent="0.2">
      <c r="A309" s="124">
        <v>5195350000</v>
      </c>
      <c r="B309" s="124" t="s">
        <v>434</v>
      </c>
    </row>
    <row r="310" spans="1:2" x14ac:dyDescent="0.2">
      <c r="A310" s="124">
        <v>5195300000</v>
      </c>
      <c r="B310" s="124" t="s">
        <v>414</v>
      </c>
    </row>
    <row r="311" spans="1:2" x14ac:dyDescent="0.2">
      <c r="A311" s="124">
        <v>5135350000</v>
      </c>
      <c r="B311" s="124" t="s">
        <v>435</v>
      </c>
    </row>
    <row r="312" spans="1:2" x14ac:dyDescent="0.2">
      <c r="A312" s="124">
        <v>5145050000</v>
      </c>
      <c r="B312" s="124" t="s">
        <v>436</v>
      </c>
    </row>
    <row r="313" spans="1:2" x14ac:dyDescent="0.2">
      <c r="A313" s="124">
        <v>5145100000</v>
      </c>
      <c r="B313" s="124" t="s">
        <v>436</v>
      </c>
    </row>
    <row r="314" spans="1:2" x14ac:dyDescent="0.2">
      <c r="A314" s="124">
        <v>5145200000</v>
      </c>
      <c r="B314" s="124" t="s">
        <v>436</v>
      </c>
    </row>
    <row r="315" spans="1:2" x14ac:dyDescent="0.2">
      <c r="A315" s="124">
        <v>5145250000</v>
      </c>
      <c r="B315" s="124" t="s">
        <v>436</v>
      </c>
    </row>
    <row r="316" spans="1:2" x14ac:dyDescent="0.2">
      <c r="A316" s="124">
        <v>5150050000</v>
      </c>
      <c r="B316" s="124" t="s">
        <v>436</v>
      </c>
    </row>
    <row r="317" spans="1:2" x14ac:dyDescent="0.2">
      <c r="A317" s="124">
        <v>5150100000</v>
      </c>
      <c r="B317" s="124" t="s">
        <v>436</v>
      </c>
    </row>
    <row r="318" spans="1:2" x14ac:dyDescent="0.2">
      <c r="A318" s="124">
        <v>5150150000</v>
      </c>
      <c r="B318" s="124" t="s">
        <v>436</v>
      </c>
    </row>
    <row r="319" spans="1:2" x14ac:dyDescent="0.2">
      <c r="A319" s="124">
        <v>5150950000</v>
      </c>
      <c r="B319" s="124" t="s">
        <v>436</v>
      </c>
    </row>
    <row r="320" spans="1:2" x14ac:dyDescent="0.2">
      <c r="A320" s="124">
        <v>5195150000</v>
      </c>
      <c r="B320" s="124" t="s">
        <v>436</v>
      </c>
    </row>
    <row r="321" spans="1:2" x14ac:dyDescent="0.2">
      <c r="A321" s="124">
        <v>5195250000</v>
      </c>
      <c r="B321" s="124" t="s">
        <v>436</v>
      </c>
    </row>
    <row r="322" spans="1:2" x14ac:dyDescent="0.2">
      <c r="A322" s="124">
        <v>5195400000</v>
      </c>
      <c r="B322" s="124" t="s">
        <v>436</v>
      </c>
    </row>
    <row r="323" spans="1:2" x14ac:dyDescent="0.2">
      <c r="A323" s="138">
        <v>5140050000</v>
      </c>
      <c r="B323" s="124" t="s">
        <v>437</v>
      </c>
    </row>
    <row r="324" spans="1:2" x14ac:dyDescent="0.2">
      <c r="A324" s="138">
        <v>5140100000</v>
      </c>
      <c r="B324" s="124" t="s">
        <v>438</v>
      </c>
    </row>
    <row r="325" spans="1:2" x14ac:dyDescent="0.2">
      <c r="A325" s="124">
        <v>5105210000</v>
      </c>
      <c r="B325" s="124" t="s">
        <v>439</v>
      </c>
    </row>
    <row r="326" spans="1:2" x14ac:dyDescent="0.2">
      <c r="A326" s="124">
        <v>5155050000</v>
      </c>
      <c r="B326" s="124" t="s">
        <v>439</v>
      </c>
    </row>
    <row r="327" spans="1:2" x14ac:dyDescent="0.2">
      <c r="A327" s="124">
        <v>5155060000</v>
      </c>
      <c r="B327" s="124" t="s">
        <v>439</v>
      </c>
    </row>
    <row r="328" spans="1:2" x14ac:dyDescent="0.2">
      <c r="A328" s="124">
        <v>5155150000</v>
      </c>
      <c r="B328" s="124" t="s">
        <v>439</v>
      </c>
    </row>
    <row r="329" spans="1:2" x14ac:dyDescent="0.2">
      <c r="A329" s="124">
        <v>5155200000</v>
      </c>
      <c r="B329" s="124" t="s">
        <v>439</v>
      </c>
    </row>
    <row r="330" spans="1:2" x14ac:dyDescent="0.2">
      <c r="A330" s="124">
        <v>5155950000</v>
      </c>
      <c r="B330" s="124" t="s">
        <v>439</v>
      </c>
    </row>
    <row r="332" spans="1:2" x14ac:dyDescent="0.2">
      <c r="B332" s="124" t="s">
        <v>440</v>
      </c>
    </row>
    <row r="333" spans="1:2" x14ac:dyDescent="0.2">
      <c r="A333" s="124">
        <v>5135950300</v>
      </c>
      <c r="B333" s="124" t="s">
        <v>441</v>
      </c>
    </row>
    <row r="334" spans="1:2" x14ac:dyDescent="0.2">
      <c r="A334" s="124">
        <v>5198530000</v>
      </c>
      <c r="B334" s="124" t="s">
        <v>441</v>
      </c>
    </row>
    <row r="335" spans="1:2" x14ac:dyDescent="0.2">
      <c r="A335" s="124">
        <v>5398050000</v>
      </c>
      <c r="B335" s="124" t="s">
        <v>441</v>
      </c>
    </row>
    <row r="336" spans="1:2" x14ac:dyDescent="0.2">
      <c r="A336" s="124">
        <v>5398210000</v>
      </c>
      <c r="B336" s="124" t="s">
        <v>442</v>
      </c>
    </row>
    <row r="337" spans="1:2" x14ac:dyDescent="0.2">
      <c r="A337" s="124">
        <v>5110358000</v>
      </c>
      <c r="B337" s="124" t="s">
        <v>443</v>
      </c>
    </row>
    <row r="338" spans="1:2" x14ac:dyDescent="0.2">
      <c r="A338" s="124">
        <v>5210358000</v>
      </c>
      <c r="B338" s="124" t="s">
        <v>443</v>
      </c>
    </row>
    <row r="340" spans="1:2" x14ac:dyDescent="0.2">
      <c r="B340" s="124" t="s">
        <v>444</v>
      </c>
    </row>
    <row r="341" spans="1:2" x14ac:dyDescent="0.2">
      <c r="A341" s="124">
        <v>4210200100</v>
      </c>
      <c r="B341" s="124" t="s">
        <v>445</v>
      </c>
    </row>
    <row r="342" spans="1:2" x14ac:dyDescent="0.2">
      <c r="A342" s="124">
        <v>4210200200</v>
      </c>
      <c r="B342" s="124" t="s">
        <v>445</v>
      </c>
    </row>
    <row r="343" spans="1:2" x14ac:dyDescent="0.2">
      <c r="A343" s="124">
        <v>4210200400</v>
      </c>
      <c r="B343" s="124" t="s">
        <v>446</v>
      </c>
    </row>
    <row r="344" spans="1:2" x14ac:dyDescent="0.2">
      <c r="A344" s="124">
        <v>4210200500</v>
      </c>
      <c r="B344" s="124" t="s">
        <v>446</v>
      </c>
    </row>
    <row r="345" spans="1:2" x14ac:dyDescent="0.2">
      <c r="A345" s="124">
        <v>4210200501</v>
      </c>
      <c r="B345" s="124" t="s">
        <v>446</v>
      </c>
    </row>
    <row r="346" spans="1:2" x14ac:dyDescent="0.2">
      <c r="A346" s="124">
        <v>4210201000</v>
      </c>
      <c r="B346" s="124" t="s">
        <v>446</v>
      </c>
    </row>
    <row r="347" spans="1:2" x14ac:dyDescent="0.2">
      <c r="A347" s="124">
        <v>4210201001</v>
      </c>
      <c r="B347" s="124" t="s">
        <v>446</v>
      </c>
    </row>
    <row r="348" spans="1:2" x14ac:dyDescent="0.2">
      <c r="A348" s="124">
        <v>4210201100</v>
      </c>
      <c r="B348" s="124" t="s">
        <v>446</v>
      </c>
    </row>
    <row r="349" spans="1:2" x14ac:dyDescent="0.2">
      <c r="A349" s="124">
        <v>4210051000</v>
      </c>
      <c r="B349" s="124" t="s">
        <v>447</v>
      </c>
    </row>
    <row r="350" spans="1:2" x14ac:dyDescent="0.2">
      <c r="A350" s="124">
        <v>4210201000</v>
      </c>
      <c r="B350" s="124" t="s">
        <v>447</v>
      </c>
    </row>
    <row r="351" spans="1:2" x14ac:dyDescent="0.2">
      <c r="A351" s="124">
        <v>4210400000</v>
      </c>
      <c r="B351" s="124" t="s">
        <v>447</v>
      </c>
    </row>
    <row r="352" spans="1:2" x14ac:dyDescent="0.2">
      <c r="A352" s="124">
        <v>4245010000</v>
      </c>
      <c r="B352" s="124" t="s">
        <v>447</v>
      </c>
    </row>
    <row r="353" spans="1:2" x14ac:dyDescent="0.2">
      <c r="A353" s="124">
        <v>4250500100</v>
      </c>
      <c r="B353" s="124" t="s">
        <v>447</v>
      </c>
    </row>
    <row r="354" spans="1:2" x14ac:dyDescent="0.2">
      <c r="A354" s="124">
        <v>4250500200</v>
      </c>
      <c r="B354" s="124" t="s">
        <v>447</v>
      </c>
    </row>
    <row r="355" spans="1:2" x14ac:dyDescent="0.2">
      <c r="A355" s="124">
        <v>4250500300</v>
      </c>
      <c r="B355" s="124" t="s">
        <v>447</v>
      </c>
    </row>
    <row r="356" spans="1:2" x14ac:dyDescent="0.2">
      <c r="A356" s="124">
        <v>4250506600</v>
      </c>
      <c r="B356" s="124" t="s">
        <v>447</v>
      </c>
    </row>
    <row r="357" spans="1:2" x14ac:dyDescent="0.2">
      <c r="A357" s="124">
        <v>4255200000</v>
      </c>
      <c r="B357" s="124" t="s">
        <v>447</v>
      </c>
    </row>
    <row r="358" spans="1:2" x14ac:dyDescent="0.2">
      <c r="A358" s="124">
        <v>4295050000</v>
      </c>
      <c r="B358" s="124" t="s">
        <v>447</v>
      </c>
    </row>
    <row r="359" spans="1:2" x14ac:dyDescent="0.2">
      <c r="A359" s="124">
        <v>4295810000</v>
      </c>
      <c r="B359" s="124" t="s">
        <v>447</v>
      </c>
    </row>
    <row r="361" spans="1:2" x14ac:dyDescent="0.2">
      <c r="B361" s="124" t="s">
        <v>448</v>
      </c>
    </row>
    <row r="362" spans="1:2" x14ac:dyDescent="0.2">
      <c r="A362" s="124">
        <v>5305350000</v>
      </c>
      <c r="B362" s="124" t="s">
        <v>449</v>
      </c>
    </row>
    <row r="363" spans="1:2" x14ac:dyDescent="0.2">
      <c r="A363" s="124">
        <v>5310150000</v>
      </c>
      <c r="B363" s="124" t="s">
        <v>449</v>
      </c>
    </row>
    <row r="364" spans="1:2" x14ac:dyDescent="0.2">
      <c r="A364" s="124">
        <v>5310300000</v>
      </c>
      <c r="B364" s="124" t="s">
        <v>449</v>
      </c>
    </row>
    <row r="365" spans="1:2" x14ac:dyDescent="0.2">
      <c r="A365" s="124">
        <v>5310350000</v>
      </c>
      <c r="B365" s="124" t="s">
        <v>449</v>
      </c>
    </row>
    <row r="366" spans="1:2" x14ac:dyDescent="0.2">
      <c r="A366" s="124">
        <v>5313050000</v>
      </c>
      <c r="B366" s="124" t="s">
        <v>449</v>
      </c>
    </row>
    <row r="367" spans="1:2" x14ac:dyDescent="0.2">
      <c r="A367" s="124">
        <v>5315150200</v>
      </c>
      <c r="B367" s="124" t="s">
        <v>449</v>
      </c>
    </row>
    <row r="368" spans="1:2" x14ac:dyDescent="0.2">
      <c r="A368" s="124">
        <v>5315160000</v>
      </c>
      <c r="B368" s="124" t="s">
        <v>449</v>
      </c>
    </row>
    <row r="369" spans="1:3" x14ac:dyDescent="0.2">
      <c r="A369" s="124">
        <v>5315200000</v>
      </c>
      <c r="B369" s="124" t="s">
        <v>449</v>
      </c>
    </row>
    <row r="370" spans="1:3" x14ac:dyDescent="0.2">
      <c r="A370" s="124">
        <v>5315200100</v>
      </c>
      <c r="B370" s="124" t="s">
        <v>449</v>
      </c>
    </row>
    <row r="371" spans="1:3" x14ac:dyDescent="0.2">
      <c r="A371" s="124">
        <v>5315950000</v>
      </c>
      <c r="B371" s="124" t="s">
        <v>449</v>
      </c>
    </row>
    <row r="372" spans="1:3" x14ac:dyDescent="0.2">
      <c r="A372" s="124">
        <v>5395200000</v>
      </c>
      <c r="B372" s="124" t="s">
        <v>449</v>
      </c>
    </row>
    <row r="373" spans="1:3" x14ac:dyDescent="0.2">
      <c r="A373" s="124">
        <v>5395300000</v>
      </c>
      <c r="B373" s="124" t="s">
        <v>449</v>
      </c>
    </row>
    <row r="374" spans="1:3" x14ac:dyDescent="0.2">
      <c r="A374" s="124">
        <v>5395950000</v>
      </c>
      <c r="B374" s="124" t="s">
        <v>449</v>
      </c>
    </row>
    <row r="375" spans="1:3" x14ac:dyDescent="0.2">
      <c r="A375" s="124">
        <v>5305250500</v>
      </c>
      <c r="B375" s="124" t="s">
        <v>450</v>
      </c>
    </row>
    <row r="376" spans="1:3" x14ac:dyDescent="0.2">
      <c r="A376" s="124">
        <v>5305050000</v>
      </c>
      <c r="B376" s="124" t="s">
        <v>451</v>
      </c>
      <c r="C376" s="124">
        <v>5305050000</v>
      </c>
    </row>
    <row r="377" spans="1:3" x14ac:dyDescent="0.2">
      <c r="A377" s="124">
        <v>5305150000</v>
      </c>
      <c r="B377" s="124" t="s">
        <v>451</v>
      </c>
      <c r="C377" s="124">
        <v>5305200100</v>
      </c>
    </row>
    <row r="378" spans="1:3" x14ac:dyDescent="0.2">
      <c r="A378" s="124">
        <v>5305200100</v>
      </c>
      <c r="B378" s="124" t="s">
        <v>451</v>
      </c>
      <c r="C378" s="124">
        <v>5305202200</v>
      </c>
    </row>
    <row r="379" spans="1:3" x14ac:dyDescent="0.2">
      <c r="A379" s="124">
        <v>5305200200</v>
      </c>
      <c r="B379" s="124" t="s">
        <v>451</v>
      </c>
      <c r="C379" s="124">
        <v>5305150000</v>
      </c>
    </row>
    <row r="380" spans="1:3" x14ac:dyDescent="0.2">
      <c r="A380" s="124">
        <v>5305200300</v>
      </c>
      <c r="B380" s="124" t="s">
        <v>451</v>
      </c>
      <c r="C380" s="124">
        <v>5305200101</v>
      </c>
    </row>
    <row r="381" spans="1:3" x14ac:dyDescent="0.2">
      <c r="A381" s="124">
        <v>5305200400</v>
      </c>
      <c r="B381" s="124" t="s">
        <v>451</v>
      </c>
    </row>
    <row r="382" spans="1:3" x14ac:dyDescent="0.2">
      <c r="A382" s="124">
        <v>5305950000</v>
      </c>
      <c r="B382" s="124" t="s">
        <v>451</v>
      </c>
    </row>
    <row r="383" spans="1:3" x14ac:dyDescent="0.2">
      <c r="A383" s="124">
        <v>5315150000</v>
      </c>
      <c r="B383" s="124" t="s">
        <v>451</v>
      </c>
    </row>
    <row r="385" spans="1:2" x14ac:dyDescent="0.2">
      <c r="A385" s="124">
        <v>5405050100</v>
      </c>
      <c r="B385" s="124" t="s">
        <v>452</v>
      </c>
    </row>
    <row r="389" spans="1:2" x14ac:dyDescent="0.2">
      <c r="B389" s="124" t="s">
        <v>373</v>
      </c>
    </row>
    <row r="390" spans="1:2" x14ac:dyDescent="0.2">
      <c r="A390" s="124">
        <v>5205180100</v>
      </c>
      <c r="B390" s="124" t="s">
        <v>389</v>
      </c>
    </row>
    <row r="391" spans="1:2" x14ac:dyDescent="0.2">
      <c r="A391" s="124">
        <v>5205361000</v>
      </c>
      <c r="B391" s="124" t="s">
        <v>391</v>
      </c>
    </row>
    <row r="392" spans="1:2" x14ac:dyDescent="0.2">
      <c r="A392" s="124">
        <v>5205391000</v>
      </c>
      <c r="B392" s="124" t="s">
        <v>391</v>
      </c>
    </row>
    <row r="393" spans="1:2" x14ac:dyDescent="0.2">
      <c r="A393" s="124">
        <v>5205422000</v>
      </c>
      <c r="B393" s="124" t="s">
        <v>391</v>
      </c>
    </row>
    <row r="394" spans="1:2" x14ac:dyDescent="0.2">
      <c r="A394" s="124">
        <v>5205691000</v>
      </c>
      <c r="B394" s="124" t="s">
        <v>391</v>
      </c>
    </row>
    <row r="395" spans="1:2" x14ac:dyDescent="0.2">
      <c r="A395" s="124">
        <v>5205701000</v>
      </c>
      <c r="B395" s="124" t="s">
        <v>391</v>
      </c>
    </row>
    <row r="396" spans="1:2" x14ac:dyDescent="0.2">
      <c r="A396" s="124">
        <v>5205060100</v>
      </c>
      <c r="B396" s="124" t="s">
        <v>408</v>
      </c>
    </row>
    <row r="397" spans="1:2" x14ac:dyDescent="0.2">
      <c r="A397" s="124">
        <v>5205150100</v>
      </c>
      <c r="B397" s="124" t="s">
        <v>408</v>
      </c>
    </row>
    <row r="398" spans="1:2" x14ac:dyDescent="0.2">
      <c r="A398" s="124">
        <v>5205360100</v>
      </c>
      <c r="B398" s="124" t="s">
        <v>409</v>
      </c>
    </row>
    <row r="399" spans="1:2" x14ac:dyDescent="0.2">
      <c r="A399" s="124">
        <v>5205390100</v>
      </c>
      <c r="B399" s="124" t="s">
        <v>409</v>
      </c>
    </row>
    <row r="400" spans="1:2" x14ac:dyDescent="0.2">
      <c r="A400" s="124">
        <v>5205600100</v>
      </c>
      <c r="B400" s="124" t="s">
        <v>409</v>
      </c>
    </row>
    <row r="401" spans="1:2" x14ac:dyDescent="0.2">
      <c r="A401" s="124">
        <v>5205690100</v>
      </c>
      <c r="B401" s="124" t="s">
        <v>409</v>
      </c>
    </row>
    <row r="402" spans="1:2" x14ac:dyDescent="0.2">
      <c r="A402" s="124">
        <v>5205700100</v>
      </c>
      <c r="B402" s="124" t="s">
        <v>409</v>
      </c>
    </row>
    <row r="403" spans="1:2" x14ac:dyDescent="0.2">
      <c r="A403" s="124">
        <v>5205700100</v>
      </c>
      <c r="B403" s="124" t="s">
        <v>409</v>
      </c>
    </row>
    <row r="404" spans="1:2" x14ac:dyDescent="0.2">
      <c r="A404" s="124">
        <v>5205700200</v>
      </c>
      <c r="B404" s="124" t="s">
        <v>409</v>
      </c>
    </row>
    <row r="405" spans="1:2" x14ac:dyDescent="0.2">
      <c r="A405" s="124">
        <v>5205780100</v>
      </c>
      <c r="B405" s="124" t="s">
        <v>409</v>
      </c>
    </row>
    <row r="406" spans="1:2" x14ac:dyDescent="0.2">
      <c r="A406" s="124">
        <v>5105060000</v>
      </c>
      <c r="B406" s="124" t="s">
        <v>424</v>
      </c>
    </row>
    <row r="407" spans="1:2" x14ac:dyDescent="0.2">
      <c r="A407" s="124">
        <v>5105150000</v>
      </c>
      <c r="B407" s="124" t="s">
        <v>424</v>
      </c>
    </row>
    <row r="408" spans="1:2" x14ac:dyDescent="0.2">
      <c r="A408" s="124">
        <v>5105360000</v>
      </c>
      <c r="B408" s="124" t="s">
        <v>425</v>
      </c>
    </row>
    <row r="409" spans="1:2" x14ac:dyDescent="0.2">
      <c r="A409" s="124">
        <v>5105390000</v>
      </c>
      <c r="B409" s="124" t="s">
        <v>425</v>
      </c>
    </row>
    <row r="410" spans="1:2" x14ac:dyDescent="0.2">
      <c r="A410" s="124">
        <v>5105600000</v>
      </c>
      <c r="B410" s="124" t="s">
        <v>425</v>
      </c>
    </row>
    <row r="411" spans="1:2" x14ac:dyDescent="0.2">
      <c r="A411" s="124">
        <v>5105690000</v>
      </c>
      <c r="B411" s="124" t="s">
        <v>425</v>
      </c>
    </row>
    <row r="412" spans="1:2" x14ac:dyDescent="0.2">
      <c r="A412" s="124">
        <v>5105700000</v>
      </c>
      <c r="B412" s="124" t="s">
        <v>425</v>
      </c>
    </row>
    <row r="413" spans="1:2" x14ac:dyDescent="0.2">
      <c r="A413" s="124">
        <v>5105780000</v>
      </c>
      <c r="B413" s="124" t="s">
        <v>425</v>
      </c>
    </row>
    <row r="414" spans="1:2" x14ac:dyDescent="0.2">
      <c r="A414" s="124">
        <v>5105950000</v>
      </c>
      <c r="B414" s="124" t="s">
        <v>425</v>
      </c>
    </row>
    <row r="415" spans="1:2" x14ac:dyDescent="0.2">
      <c r="A415" s="124">
        <v>5105180000</v>
      </c>
      <c r="B415" s="124" t="s">
        <v>426</v>
      </c>
    </row>
    <row r="416" spans="1:2" x14ac:dyDescent="0.2">
      <c r="A416" s="124">
        <v>5105391000</v>
      </c>
      <c r="B416" s="124" t="s">
        <v>428</v>
      </c>
    </row>
    <row r="417" spans="1:3" x14ac:dyDescent="0.2">
      <c r="A417" s="124">
        <v>5105691000</v>
      </c>
      <c r="B417" s="124" t="s">
        <v>428</v>
      </c>
    </row>
    <row r="418" spans="1:3" x14ac:dyDescent="0.2">
      <c r="A418" s="124">
        <v>5105701000</v>
      </c>
      <c r="B418" s="124" t="s">
        <v>428</v>
      </c>
    </row>
    <row r="421" spans="1:3" x14ac:dyDescent="0.2">
      <c r="A421" s="124">
        <v>5160100000</v>
      </c>
      <c r="B421" s="124" t="s">
        <v>453</v>
      </c>
      <c r="C421" s="124" t="s">
        <v>454</v>
      </c>
    </row>
    <row r="427" spans="1:3" x14ac:dyDescent="0.2">
      <c r="A427" s="125" t="s">
        <v>455</v>
      </c>
    </row>
    <row r="428" spans="1:3" x14ac:dyDescent="0.2">
      <c r="A428" s="124">
        <v>1105050100</v>
      </c>
      <c r="B428" s="124" t="s">
        <v>456</v>
      </c>
      <c r="C428" s="126" t="e">
        <f ca="1">[1]!Consulta(4,"Saldos por cuenta","Saldo Inicial","Periodo","=",Paramet!$B$4,"Cuenta","IN",ctas!A428,"Plan_cuenta","=","NIF")</f>
        <v>#NAME?</v>
      </c>
    </row>
    <row r="429" spans="1:3" x14ac:dyDescent="0.2">
      <c r="A429" s="124">
        <v>1105100200</v>
      </c>
      <c r="B429" s="124" t="s">
        <v>457</v>
      </c>
      <c r="C429" s="126" t="e">
        <f ca="1">[1]!Consulta(4,"Saldos por cuenta","Saldo Inicial","Periodo","=",201908,"Cuenta","IN",ctas!A429,"Plan_cuenta","=","NIF")</f>
        <v>#NAME?</v>
      </c>
    </row>
    <row r="430" spans="1:3" x14ac:dyDescent="0.2">
      <c r="A430" s="124">
        <v>1110050101</v>
      </c>
      <c r="B430" s="124" t="s">
        <v>458</v>
      </c>
      <c r="C430" s="126" t="e">
        <f ca="1">[1]!Consulta(4,"Saldos por cuenta","Saldo Inicial","Periodo","=",201908,"Cuenta","IN",ctas!A430,"Plan_cuenta","=","NIF")</f>
        <v>#NAME?</v>
      </c>
    </row>
    <row r="431" spans="1:3" x14ac:dyDescent="0.2">
      <c r="A431" s="124">
        <v>1110050106</v>
      </c>
      <c r="B431" s="124" t="s">
        <v>459</v>
      </c>
      <c r="C431" s="126" t="e">
        <f ca="1">[1]!Consulta(4,"Saldos por cuenta","Saldo Inicial","Periodo","=",201908,"Cuenta","IN",ctas!A431,"Plan_cuenta","=","NIF")</f>
        <v>#NAME?</v>
      </c>
    </row>
    <row r="432" spans="1:3" x14ac:dyDescent="0.2">
      <c r="A432" s="124">
        <v>1110050108</v>
      </c>
      <c r="B432" s="124" t="s">
        <v>460</v>
      </c>
      <c r="C432" s="126" t="e">
        <f ca="1">[1]!Consulta(4,"Saldos por cuenta","Saldo Inicial","Periodo","=",201908,"Cuenta","IN",ctas!A432,"Plan_cuenta","=","NIF")</f>
        <v>#NAME?</v>
      </c>
    </row>
    <row r="433" spans="1:3" x14ac:dyDescent="0.2">
      <c r="A433" s="124">
        <v>1110050110</v>
      </c>
      <c r="B433" s="124" t="s">
        <v>461</v>
      </c>
      <c r="C433" s="126" t="e">
        <f ca="1">[1]!Consulta(4,"Saldos por cuenta","Saldo Inicial","Periodo","=",201908,"Cuenta","IN",ctas!A433,"Plan_cuenta","=","NIF")</f>
        <v>#NAME?</v>
      </c>
    </row>
    <row r="434" spans="1:3" x14ac:dyDescent="0.2">
      <c r="A434" s="124">
        <v>1110050111</v>
      </c>
      <c r="B434" s="124" t="s">
        <v>462</v>
      </c>
      <c r="C434" s="126" t="e">
        <f ca="1">[1]!Consulta(4,"Saldos por cuenta","Saldo Inicial","Periodo","=",201908,"Cuenta","IN",ctas!A434,"Plan_cuenta","=","NIF")</f>
        <v>#NAME?</v>
      </c>
    </row>
    <row r="435" spans="1:3" x14ac:dyDescent="0.2">
      <c r="A435" s="124">
        <v>1110100101</v>
      </c>
      <c r="B435" s="124" t="s">
        <v>463</v>
      </c>
      <c r="C435" s="126" t="e">
        <f ca="1">[1]!Consulta(4,"Saldos por cuenta","Saldo Inicial","Periodo","=",201908,"Cuenta","IN",ctas!A435,"Plan_cuenta","=","NIF")</f>
        <v>#NAME?</v>
      </c>
    </row>
    <row r="436" spans="1:3" x14ac:dyDescent="0.2">
      <c r="A436" s="124">
        <v>1125100200</v>
      </c>
      <c r="B436" s="124" t="s">
        <v>464</v>
      </c>
      <c r="C436" s="126" t="e">
        <f ca="1">[1]!Consulta(4,"Saldos por cuenta","Saldo Inicial","Periodo","=",201908,"Cuenta","IN",ctas!A436,"Plan_cuenta","=","NIF")</f>
        <v>#NAME?</v>
      </c>
    </row>
    <row r="437" spans="1:3" x14ac:dyDescent="0.2">
      <c r="A437" s="124">
        <v>1130050100</v>
      </c>
      <c r="B437" s="124" t="s">
        <v>465</v>
      </c>
      <c r="C437" s="126" t="e">
        <f ca="1">[1]!Consulta(4,"Saldos por cuenta","Saldo Inicial","Periodo","=",201908,"Cuenta","IN",ctas!A437,"Plan_cuenta","=","NIF")</f>
        <v>#NAME?</v>
      </c>
    </row>
    <row r="438" spans="1:3" x14ac:dyDescent="0.2">
      <c r="A438" s="125"/>
      <c r="C438" s="126" t="e">
        <f ca="1">SUM(C428:C437)</f>
        <v>#NAME?</v>
      </c>
    </row>
    <row r="439" spans="1:3" x14ac:dyDescent="0.2">
      <c r="A439" s="125"/>
    </row>
    <row r="440" spans="1:3" x14ac:dyDescent="0.2">
      <c r="A440" s="124">
        <v>1101</v>
      </c>
      <c r="B440" s="124" t="s">
        <v>466</v>
      </c>
    </row>
    <row r="441" spans="1:3" x14ac:dyDescent="0.2">
      <c r="A441" s="124">
        <v>1102</v>
      </c>
      <c r="B441" s="124" t="s">
        <v>467</v>
      </c>
    </row>
    <row r="442" spans="1:3" x14ac:dyDescent="0.2">
      <c r="A442" s="124">
        <v>1103</v>
      </c>
      <c r="B442" s="124" t="s">
        <v>468</v>
      </c>
    </row>
    <row r="443" spans="1:3" x14ac:dyDescent="0.2">
      <c r="A443" s="124">
        <v>1104</v>
      </c>
      <c r="B443" s="124" t="s">
        <v>469</v>
      </c>
    </row>
    <row r="444" spans="1:3" x14ac:dyDescent="0.2">
      <c r="A444" s="124" t="s">
        <v>470</v>
      </c>
      <c r="B444" s="124" t="s">
        <v>471</v>
      </c>
    </row>
    <row r="445" spans="1:3" x14ac:dyDescent="0.2">
      <c r="A445" s="124">
        <v>1106</v>
      </c>
      <c r="B445" s="124" t="s">
        <v>472</v>
      </c>
    </row>
    <row r="446" spans="1:3" x14ac:dyDescent="0.2">
      <c r="B446" s="124" t="s">
        <v>473</v>
      </c>
    </row>
    <row r="448" spans="1:3" x14ac:dyDescent="0.2">
      <c r="B448" s="124" t="s">
        <v>474</v>
      </c>
    </row>
    <row r="450" spans="1:2" x14ac:dyDescent="0.2">
      <c r="B450" s="124" t="s">
        <v>97</v>
      </c>
    </row>
    <row r="451" spans="1:2" x14ac:dyDescent="0.2">
      <c r="A451" s="124">
        <v>1201</v>
      </c>
      <c r="B451" s="124" t="s">
        <v>475</v>
      </c>
    </row>
    <row r="452" spans="1:2" x14ac:dyDescent="0.2">
      <c r="A452" s="124">
        <v>1202</v>
      </c>
      <c r="B452" s="124" t="s">
        <v>476</v>
      </c>
    </row>
    <row r="453" spans="1:2" x14ac:dyDescent="0.2">
      <c r="A453" s="124">
        <v>1203</v>
      </c>
      <c r="B453" s="124" t="s">
        <v>477</v>
      </c>
    </row>
    <row r="454" spans="1:2" x14ac:dyDescent="0.2">
      <c r="A454" s="124">
        <v>1204</v>
      </c>
      <c r="B454" s="124" t="s">
        <v>478</v>
      </c>
    </row>
    <row r="455" spans="1:2" x14ac:dyDescent="0.2">
      <c r="A455" s="124">
        <v>1205</v>
      </c>
      <c r="B455" s="124" t="s">
        <v>479</v>
      </c>
    </row>
    <row r="456" spans="1:2" x14ac:dyDescent="0.2">
      <c r="A456" s="124">
        <v>1206</v>
      </c>
      <c r="B456" s="124" t="s">
        <v>480</v>
      </c>
    </row>
    <row r="458" spans="1:2" x14ac:dyDescent="0.2">
      <c r="B458" s="124" t="s">
        <v>481</v>
      </c>
    </row>
    <row r="460" spans="1:2" x14ac:dyDescent="0.2">
      <c r="B460" s="124" t="s">
        <v>482</v>
      </c>
    </row>
    <row r="461" spans="1:2" x14ac:dyDescent="0.2">
      <c r="A461" s="124">
        <v>1208</v>
      </c>
      <c r="B461" s="124" t="s">
        <v>483</v>
      </c>
    </row>
    <row r="463" spans="1:2" x14ac:dyDescent="0.2">
      <c r="B463" s="124" t="s">
        <v>98</v>
      </c>
    </row>
    <row r="464" spans="1:2" x14ac:dyDescent="0.2">
      <c r="A464" s="124" t="s">
        <v>484</v>
      </c>
      <c r="B464" s="124" t="s">
        <v>485</v>
      </c>
    </row>
    <row r="465" spans="1:2" x14ac:dyDescent="0.2">
      <c r="A465" s="124">
        <v>1210</v>
      </c>
      <c r="B465" s="124" t="s">
        <v>486</v>
      </c>
    </row>
    <row r="466" spans="1:2" x14ac:dyDescent="0.2">
      <c r="A466" s="124">
        <v>1211</v>
      </c>
      <c r="B466" s="124" t="s">
        <v>487</v>
      </c>
    </row>
    <row r="467" spans="1:2" x14ac:dyDescent="0.2">
      <c r="A467" s="124">
        <v>1212</v>
      </c>
      <c r="B467" s="124" t="s">
        <v>488</v>
      </c>
    </row>
    <row r="468" spans="1:2" x14ac:dyDescent="0.2">
      <c r="B468" s="124" t="s">
        <v>489</v>
      </c>
    </row>
    <row r="470" spans="1:2" x14ac:dyDescent="0.2">
      <c r="B470" s="124" t="s">
        <v>99</v>
      </c>
    </row>
    <row r="471" spans="1:2" x14ac:dyDescent="0.2">
      <c r="A471" s="124">
        <v>1214</v>
      </c>
      <c r="B471" s="124" t="s">
        <v>490</v>
      </c>
    </row>
    <row r="472" spans="1:2" x14ac:dyDescent="0.2">
      <c r="A472" s="124">
        <v>1242</v>
      </c>
      <c r="B472" s="124" t="s">
        <v>491</v>
      </c>
    </row>
    <row r="473" spans="1:2" x14ac:dyDescent="0.2">
      <c r="A473" s="124">
        <v>1243</v>
      </c>
      <c r="B473" s="124" t="s">
        <v>492</v>
      </c>
    </row>
    <row r="474" spans="1:2" x14ac:dyDescent="0.2">
      <c r="A474" s="124">
        <v>1244</v>
      </c>
      <c r="B474" s="124" t="s">
        <v>493</v>
      </c>
    </row>
    <row r="475" spans="1:2" x14ac:dyDescent="0.2">
      <c r="A475" s="124">
        <v>1245</v>
      </c>
      <c r="B475" s="124" t="s">
        <v>494</v>
      </c>
    </row>
    <row r="476" spans="1:2" x14ac:dyDescent="0.2">
      <c r="A476" s="124">
        <v>1246</v>
      </c>
      <c r="B476" s="124" t="s">
        <v>495</v>
      </c>
    </row>
    <row r="477" spans="1:2" x14ac:dyDescent="0.2">
      <c r="A477" s="124">
        <v>1215</v>
      </c>
      <c r="B477" s="124" t="s">
        <v>496</v>
      </c>
    </row>
    <row r="478" spans="1:2" x14ac:dyDescent="0.2">
      <c r="A478" s="124">
        <v>1216</v>
      </c>
      <c r="B478" s="124" t="s">
        <v>497</v>
      </c>
    </row>
    <row r="479" spans="1:2" x14ac:dyDescent="0.2">
      <c r="A479" s="124">
        <v>1217</v>
      </c>
      <c r="B479" s="124" t="s">
        <v>498</v>
      </c>
    </row>
    <row r="480" spans="1:2" x14ac:dyDescent="0.2">
      <c r="A480" s="124">
        <v>1218</v>
      </c>
      <c r="B480" s="124" t="s">
        <v>499</v>
      </c>
    </row>
    <row r="481" spans="1:2" x14ac:dyDescent="0.2">
      <c r="A481" s="124">
        <v>1219</v>
      </c>
      <c r="B481" s="124" t="s">
        <v>500</v>
      </c>
    </row>
    <row r="482" spans="1:2" x14ac:dyDescent="0.2">
      <c r="A482" s="124">
        <v>1220</v>
      </c>
      <c r="B482" s="124" t="s">
        <v>501</v>
      </c>
    </row>
    <row r="483" spans="1:2" x14ac:dyDescent="0.2">
      <c r="A483" s="124">
        <v>1221</v>
      </c>
      <c r="B483" s="124" t="s">
        <v>502</v>
      </c>
    </row>
    <row r="484" spans="1:2" x14ac:dyDescent="0.2">
      <c r="A484" s="124">
        <v>1222</v>
      </c>
      <c r="B484" s="124" t="s">
        <v>503</v>
      </c>
    </row>
    <row r="485" spans="1:2" x14ac:dyDescent="0.2">
      <c r="A485" s="124">
        <v>1223</v>
      </c>
      <c r="B485" s="124" t="s">
        <v>504</v>
      </c>
    </row>
    <row r="486" spans="1:2" x14ac:dyDescent="0.2">
      <c r="A486" s="124">
        <v>1224</v>
      </c>
      <c r="B486" s="124" t="s">
        <v>505</v>
      </c>
    </row>
    <row r="487" spans="1:2" x14ac:dyDescent="0.2">
      <c r="A487" s="124">
        <v>1225</v>
      </c>
      <c r="B487" s="124" t="s">
        <v>506</v>
      </c>
    </row>
    <row r="488" spans="1:2" x14ac:dyDescent="0.2">
      <c r="A488" s="124">
        <v>1226</v>
      </c>
      <c r="B488" s="124" t="s">
        <v>507</v>
      </c>
    </row>
    <row r="489" spans="1:2" x14ac:dyDescent="0.2">
      <c r="A489" s="124">
        <v>1227</v>
      </c>
      <c r="B489" s="124" t="s">
        <v>508</v>
      </c>
    </row>
    <row r="490" spans="1:2" x14ac:dyDescent="0.2">
      <c r="A490" s="124">
        <v>1228</v>
      </c>
      <c r="B490" s="124" t="s">
        <v>509</v>
      </c>
    </row>
    <row r="491" spans="1:2" x14ac:dyDescent="0.2">
      <c r="A491" s="124">
        <v>1229</v>
      </c>
      <c r="B491" s="124" t="s">
        <v>510</v>
      </c>
    </row>
    <row r="492" spans="1:2" x14ac:dyDescent="0.2">
      <c r="A492" s="124">
        <v>1230</v>
      </c>
      <c r="B492" s="124" t="s">
        <v>511</v>
      </c>
    </row>
    <row r="493" spans="1:2" x14ac:dyDescent="0.2">
      <c r="A493" s="124">
        <v>1231</v>
      </c>
      <c r="B493" s="124" t="s">
        <v>512</v>
      </c>
    </row>
    <row r="494" spans="1:2" x14ac:dyDescent="0.2">
      <c r="A494" s="124">
        <v>1232</v>
      </c>
      <c r="B494" s="124" t="s">
        <v>513</v>
      </c>
    </row>
    <row r="495" spans="1:2" x14ac:dyDescent="0.2">
      <c r="A495" s="124">
        <v>1233</v>
      </c>
      <c r="B495" s="124" t="s">
        <v>514</v>
      </c>
    </row>
    <row r="496" spans="1:2" x14ac:dyDescent="0.2">
      <c r="A496" s="124">
        <v>1234</v>
      </c>
      <c r="B496" s="124" t="s">
        <v>515</v>
      </c>
    </row>
    <row r="497" spans="1:2" x14ac:dyDescent="0.2">
      <c r="A497" s="124">
        <v>1235</v>
      </c>
      <c r="B497" s="124" t="s">
        <v>516</v>
      </c>
    </row>
    <row r="498" spans="1:2" x14ac:dyDescent="0.2">
      <c r="A498" s="124">
        <v>1236</v>
      </c>
      <c r="B498" s="124" t="s">
        <v>517</v>
      </c>
    </row>
    <row r="499" spans="1:2" x14ac:dyDescent="0.2">
      <c r="A499" s="124">
        <v>1237</v>
      </c>
      <c r="B499" s="124" t="s">
        <v>518</v>
      </c>
    </row>
    <row r="500" spans="1:2" x14ac:dyDescent="0.2">
      <c r="A500" s="124">
        <v>1238</v>
      </c>
      <c r="B500" s="124" t="s">
        <v>519</v>
      </c>
    </row>
    <row r="501" spans="1:2" x14ac:dyDescent="0.2">
      <c r="A501" s="124">
        <v>1239</v>
      </c>
      <c r="B501" s="124" t="s">
        <v>520</v>
      </c>
    </row>
    <row r="502" spans="1:2" x14ac:dyDescent="0.2">
      <c r="A502" s="124">
        <v>1240</v>
      </c>
      <c r="B502" s="124" t="s">
        <v>521</v>
      </c>
    </row>
    <row r="503" spans="1:2" x14ac:dyDescent="0.2">
      <c r="A503" s="124">
        <v>1241</v>
      </c>
      <c r="B503" s="124" t="s">
        <v>522</v>
      </c>
    </row>
    <row r="504" spans="1:2" x14ac:dyDescent="0.2">
      <c r="B504" s="124" t="s">
        <v>523</v>
      </c>
    </row>
    <row r="506" spans="1:2" x14ac:dyDescent="0.2">
      <c r="B506" s="124" t="s">
        <v>524</v>
      </c>
    </row>
    <row r="508" spans="1:2" x14ac:dyDescent="0.2">
      <c r="B508" s="124" t="s">
        <v>525</v>
      </c>
    </row>
    <row r="510" spans="1:2" x14ac:dyDescent="0.2">
      <c r="B510" s="124" t="s">
        <v>526</v>
      </c>
    </row>
    <row r="512" spans="1:2" x14ac:dyDescent="0.2">
      <c r="B512" s="124" t="s">
        <v>527</v>
      </c>
    </row>
    <row r="513" spans="1:2" x14ac:dyDescent="0.2">
      <c r="A513" s="124">
        <v>2101</v>
      </c>
      <c r="B513" s="124" t="s">
        <v>528</v>
      </c>
    </row>
    <row r="514" spans="1:2" x14ac:dyDescent="0.2">
      <c r="A514" s="124">
        <v>2102</v>
      </c>
      <c r="B514" s="124" t="s">
        <v>529</v>
      </c>
    </row>
    <row r="515" spans="1:2" x14ac:dyDescent="0.2">
      <c r="A515" s="124">
        <v>2103</v>
      </c>
      <c r="B515" s="124" t="s">
        <v>530</v>
      </c>
    </row>
    <row r="516" spans="1:2" x14ac:dyDescent="0.2">
      <c r="A516" s="124">
        <v>1207</v>
      </c>
      <c r="B516" s="124" t="s">
        <v>531</v>
      </c>
    </row>
    <row r="517" spans="1:2" x14ac:dyDescent="0.2">
      <c r="B517" s="124" t="s">
        <v>532</v>
      </c>
    </row>
    <row r="519" spans="1:2" x14ac:dyDescent="0.2">
      <c r="B519" s="124" t="s">
        <v>100</v>
      </c>
    </row>
    <row r="520" spans="1:2" x14ac:dyDescent="0.2">
      <c r="A520" s="124">
        <v>3101</v>
      </c>
      <c r="B520" s="124" t="s">
        <v>533</v>
      </c>
    </row>
    <row r="521" spans="1:2" x14ac:dyDescent="0.2">
      <c r="A521" s="124" t="s">
        <v>534</v>
      </c>
      <c r="B521" s="124" t="s">
        <v>535</v>
      </c>
    </row>
    <row r="522" spans="1:2" x14ac:dyDescent="0.2">
      <c r="A522" s="124">
        <v>3103</v>
      </c>
      <c r="B522" s="124" t="s">
        <v>536</v>
      </c>
    </row>
    <row r="523" spans="1:2" x14ac:dyDescent="0.2">
      <c r="A523" s="124">
        <v>3104</v>
      </c>
      <c r="B523" s="124" t="s">
        <v>537</v>
      </c>
    </row>
    <row r="524" spans="1:2" x14ac:dyDescent="0.2">
      <c r="B524" s="124" t="s">
        <v>538</v>
      </c>
    </row>
    <row r="526" spans="1:2" x14ac:dyDescent="0.2">
      <c r="B526" s="124" t="s">
        <v>539</v>
      </c>
    </row>
    <row r="534" spans="1:12" x14ac:dyDescent="0.2">
      <c r="B534" s="124" t="s">
        <v>540</v>
      </c>
    </row>
    <row r="535" spans="1:12" x14ac:dyDescent="0.2">
      <c r="B535" s="124" t="s">
        <v>541</v>
      </c>
    </row>
    <row r="536" spans="1:12" x14ac:dyDescent="0.2">
      <c r="A536" s="124">
        <v>5101</v>
      </c>
      <c r="B536" s="124" t="s">
        <v>542</v>
      </c>
    </row>
    <row r="537" spans="1:12" x14ac:dyDescent="0.2">
      <c r="A537" s="124">
        <v>5102</v>
      </c>
      <c r="B537" s="124" t="s">
        <v>543</v>
      </c>
    </row>
    <row r="538" spans="1:12" x14ac:dyDescent="0.2">
      <c r="A538" s="124">
        <v>5103</v>
      </c>
      <c r="B538" s="124" t="s">
        <v>544</v>
      </c>
    </row>
    <row r="539" spans="1:12" x14ac:dyDescent="0.2">
      <c r="A539" s="124">
        <v>5104</v>
      </c>
      <c r="B539" s="124" t="s">
        <v>545</v>
      </c>
    </row>
    <row r="540" spans="1:12" x14ac:dyDescent="0.2">
      <c r="A540" s="124">
        <v>5105</v>
      </c>
      <c r="B540" s="124" t="s">
        <v>546</v>
      </c>
      <c r="E540" s="124" t="s">
        <v>547</v>
      </c>
      <c r="F540" s="124" t="s">
        <v>548</v>
      </c>
    </row>
    <row r="541" spans="1:12" x14ac:dyDescent="0.2">
      <c r="B541" s="124" t="s">
        <v>549</v>
      </c>
    </row>
    <row r="542" spans="1:12" x14ac:dyDescent="0.2">
      <c r="E542" s="124" t="s">
        <v>550</v>
      </c>
      <c r="G542" s="124"/>
      <c r="H542" s="124"/>
      <c r="I542" s="124"/>
      <c r="J542" s="124"/>
      <c r="K542" s="124"/>
      <c r="L542" s="124"/>
    </row>
    <row r="543" spans="1:12" x14ac:dyDescent="0.2">
      <c r="B543" s="124" t="s">
        <v>539</v>
      </c>
      <c r="E543" s="124" t="s">
        <v>551</v>
      </c>
      <c r="F543" s="124" t="s">
        <v>552</v>
      </c>
      <c r="G543" s="124" t="s">
        <v>114</v>
      </c>
      <c r="H543" s="124"/>
      <c r="I543" s="124"/>
      <c r="J543" s="124"/>
      <c r="K543" s="124"/>
      <c r="L543" s="124"/>
    </row>
    <row r="544" spans="1:12" x14ac:dyDescent="0.2">
      <c r="A544" s="124">
        <v>6190</v>
      </c>
      <c r="B544" s="124" t="s">
        <v>553</v>
      </c>
      <c r="E544" s="124" t="s">
        <v>554</v>
      </c>
      <c r="F544" s="124" t="s">
        <v>555</v>
      </c>
      <c r="G544" s="135">
        <v>157866000</v>
      </c>
      <c r="H544" s="124"/>
      <c r="I544" s="124"/>
      <c r="J544" s="124"/>
      <c r="K544" s="124"/>
      <c r="L544" s="124"/>
    </row>
    <row r="545" spans="1:12" x14ac:dyDescent="0.2">
      <c r="A545" s="124">
        <v>7101</v>
      </c>
      <c r="B545" s="124" t="s">
        <v>556</v>
      </c>
      <c r="E545" s="124" t="s">
        <v>557</v>
      </c>
      <c r="F545" s="124" t="s">
        <v>558</v>
      </c>
      <c r="G545" s="135">
        <v>487283000</v>
      </c>
      <c r="H545" s="124"/>
      <c r="I545" s="124"/>
      <c r="J545" s="124"/>
      <c r="K545" s="124"/>
      <c r="L545" s="124"/>
    </row>
    <row r="546" spans="1:12" x14ac:dyDescent="0.2">
      <c r="A546" s="124">
        <v>7102</v>
      </c>
      <c r="B546" s="124" t="s">
        <v>558</v>
      </c>
      <c r="E546" s="124" t="s">
        <v>559</v>
      </c>
      <c r="F546" s="124" t="s">
        <v>560</v>
      </c>
      <c r="G546" s="135">
        <v>821000000</v>
      </c>
      <c r="H546" s="124"/>
      <c r="I546" s="124"/>
      <c r="J546" s="124"/>
      <c r="K546" s="124"/>
      <c r="L546" s="124"/>
    </row>
    <row r="547" spans="1:12" x14ac:dyDescent="0.2">
      <c r="A547" s="124">
        <v>7103</v>
      </c>
      <c r="B547" s="124" t="s">
        <v>561</v>
      </c>
      <c r="E547" s="124" t="s">
        <v>345</v>
      </c>
      <c r="G547" s="135">
        <v>1466149000</v>
      </c>
      <c r="H547" s="124"/>
      <c r="I547" s="124"/>
      <c r="J547" s="124"/>
      <c r="K547" s="124"/>
      <c r="L547" s="124"/>
    </row>
    <row r="548" spans="1:12" x14ac:dyDescent="0.2">
      <c r="A548" s="124">
        <v>7104</v>
      </c>
      <c r="B548" s="124" t="s">
        <v>562</v>
      </c>
      <c r="G548" s="135"/>
      <c r="H548" s="124"/>
      <c r="I548" s="124"/>
      <c r="J548" s="124"/>
      <c r="K548" s="124"/>
      <c r="L548" s="124"/>
    </row>
    <row r="549" spans="1:12" x14ac:dyDescent="0.2">
      <c r="A549" s="124">
        <v>7105</v>
      </c>
      <c r="B549" s="124" t="s">
        <v>563</v>
      </c>
      <c r="G549" s="124"/>
      <c r="H549" s="124"/>
      <c r="I549" s="124"/>
      <c r="J549" s="124"/>
      <c r="K549" s="124"/>
      <c r="L549" s="124"/>
    </row>
    <row r="550" spans="1:12" x14ac:dyDescent="0.2">
      <c r="A550" s="124" t="s">
        <v>564</v>
      </c>
      <c r="B550" s="124" t="s">
        <v>565</v>
      </c>
      <c r="G550" s="124"/>
      <c r="H550" s="124"/>
      <c r="I550" s="124"/>
      <c r="J550" s="124"/>
      <c r="K550" s="124"/>
      <c r="L550" s="124"/>
    </row>
    <row r="551" spans="1:12" x14ac:dyDescent="0.2">
      <c r="A551" s="124">
        <v>4101</v>
      </c>
      <c r="B551" s="124" t="s">
        <v>566</v>
      </c>
      <c r="G551" s="124"/>
      <c r="H551" s="124"/>
      <c r="I551" s="124"/>
      <c r="J551" s="124"/>
      <c r="K551" s="124"/>
    </row>
    <row r="552" spans="1:12" x14ac:dyDescent="0.2">
      <c r="A552" s="124">
        <v>4102</v>
      </c>
      <c r="B552" s="124" t="s">
        <v>555</v>
      </c>
      <c r="G552" s="124"/>
      <c r="H552" s="124"/>
      <c r="I552" s="124"/>
      <c r="J552" s="124"/>
      <c r="K552" s="124"/>
    </row>
    <row r="553" spans="1:12" x14ac:dyDescent="0.2">
      <c r="A553" s="124">
        <v>7104</v>
      </c>
      <c r="B553" s="124" t="s">
        <v>567</v>
      </c>
      <c r="E553" s="124">
        <v>6190</v>
      </c>
      <c r="F553" s="124" t="s">
        <v>553</v>
      </c>
      <c r="G553" s="124"/>
      <c r="H553" s="124"/>
      <c r="I553" s="124"/>
      <c r="J553" s="124"/>
      <c r="K553" s="124"/>
    </row>
    <row r="554" spans="1:12" x14ac:dyDescent="0.2">
      <c r="G554" s="124"/>
      <c r="H554" s="124"/>
      <c r="I554" s="124"/>
      <c r="J554" s="124"/>
      <c r="K554" s="124"/>
    </row>
    <row r="555" spans="1:12" x14ac:dyDescent="0.2">
      <c r="B555" s="124" t="s">
        <v>568</v>
      </c>
      <c r="G555" s="124"/>
      <c r="H555" s="124"/>
      <c r="I555" s="124"/>
      <c r="J555" s="124"/>
      <c r="K555" s="124"/>
    </row>
    <row r="556" spans="1:12" x14ac:dyDescent="0.2">
      <c r="A556" s="125" t="s">
        <v>569</v>
      </c>
      <c r="G556" s="124"/>
    </row>
    <row r="557" spans="1:12" x14ac:dyDescent="0.2">
      <c r="A557" s="139">
        <v>1110050100</v>
      </c>
      <c r="B557" s="140" t="s">
        <v>570</v>
      </c>
      <c r="G557" s="124"/>
    </row>
    <row r="558" spans="1:12" x14ac:dyDescent="0.2">
      <c r="A558" s="139">
        <v>1110050200</v>
      </c>
      <c r="B558" s="124" t="s">
        <v>571</v>
      </c>
      <c r="G558" s="124"/>
    </row>
    <row r="559" spans="1:12" x14ac:dyDescent="0.2">
      <c r="G559" s="124"/>
    </row>
    <row r="563" spans="1:2" x14ac:dyDescent="0.2">
      <c r="A563" s="124">
        <v>4170250000</v>
      </c>
      <c r="B563" s="124" t="s">
        <v>572</v>
      </c>
    </row>
    <row r="565" spans="1:2" x14ac:dyDescent="0.2">
      <c r="A565" s="124">
        <v>4218050000</v>
      </c>
      <c r="B565" s="124" t="s">
        <v>573</v>
      </c>
    </row>
    <row r="568" spans="1:2" x14ac:dyDescent="0.2">
      <c r="A568" s="124">
        <v>5210350000</v>
      </c>
      <c r="B568" s="124" t="s">
        <v>574</v>
      </c>
    </row>
    <row r="569" spans="1:2" x14ac:dyDescent="0.2">
      <c r="A569" s="124">
        <v>5140950000</v>
      </c>
    </row>
    <row r="571" spans="1:2" x14ac:dyDescent="0.2">
      <c r="A571" s="139">
        <v>5305950000</v>
      </c>
      <c r="B571" s="124" t="s">
        <v>575</v>
      </c>
    </row>
    <row r="572" spans="1:2" x14ac:dyDescent="0.2">
      <c r="A572" s="139">
        <v>5313050000</v>
      </c>
      <c r="B572" s="124" t="s">
        <v>573</v>
      </c>
    </row>
    <row r="573" spans="1:2" x14ac:dyDescent="0.2">
      <c r="A573" s="124">
        <v>5310950000</v>
      </c>
      <c r="B573" s="124" t="s">
        <v>576</v>
      </c>
    </row>
    <row r="577" spans="1:3" x14ac:dyDescent="0.2">
      <c r="A577" s="124">
        <v>1101</v>
      </c>
      <c r="B577" s="124" t="s">
        <v>577</v>
      </c>
    </row>
    <row r="578" spans="1:3" x14ac:dyDescent="0.2">
      <c r="A578" s="124">
        <v>1102</v>
      </c>
      <c r="B578" s="124" t="s">
        <v>578</v>
      </c>
    </row>
    <row r="579" spans="1:3" x14ac:dyDescent="0.2">
      <c r="A579" s="124">
        <v>1103</v>
      </c>
      <c r="B579" s="124" t="s">
        <v>579</v>
      </c>
    </row>
    <row r="580" spans="1:3" x14ac:dyDescent="0.2">
      <c r="A580" s="124">
        <v>1104</v>
      </c>
      <c r="B580" s="124" t="s">
        <v>580</v>
      </c>
    </row>
    <row r="581" spans="1:3" x14ac:dyDescent="0.2">
      <c r="A581" s="124">
        <v>1106</v>
      </c>
      <c r="B581" s="124" t="s">
        <v>581</v>
      </c>
    </row>
    <row r="582" spans="1:3" x14ac:dyDescent="0.2">
      <c r="A582" s="124">
        <v>9999</v>
      </c>
      <c r="B582" s="124" t="s">
        <v>582</v>
      </c>
      <c r="C582" s="124" t="s">
        <v>583</v>
      </c>
    </row>
    <row r="584" spans="1:3" x14ac:dyDescent="0.2">
      <c r="A584" s="124">
        <v>1218</v>
      </c>
      <c r="B584" s="124" t="s">
        <v>584</v>
      </c>
    </row>
    <row r="585" spans="1:3" x14ac:dyDescent="0.2">
      <c r="A585" s="124">
        <v>1223</v>
      </c>
      <c r="B585" s="124" t="s">
        <v>585</v>
      </c>
    </row>
    <row r="586" spans="1:3" x14ac:dyDescent="0.2">
      <c r="A586" s="124">
        <v>1231</v>
      </c>
      <c r="B586" s="124" t="s">
        <v>586</v>
      </c>
    </row>
    <row r="587" spans="1:3" x14ac:dyDescent="0.2">
      <c r="A587" s="124">
        <v>1235</v>
      </c>
      <c r="B587" s="124" t="s">
        <v>587</v>
      </c>
    </row>
    <row r="588" spans="1:3" x14ac:dyDescent="0.2">
      <c r="A588" s="124">
        <v>1201</v>
      </c>
      <c r="B588" s="124" t="s">
        <v>588</v>
      </c>
    </row>
    <row r="591" spans="1:3" x14ac:dyDescent="0.2">
      <c r="A591" s="124">
        <v>5103</v>
      </c>
      <c r="B591" s="124" t="s">
        <v>544</v>
      </c>
      <c r="C591" s="124" t="s">
        <v>589</v>
      </c>
    </row>
    <row r="592" spans="1:3" x14ac:dyDescent="0.2">
      <c r="A592" s="124">
        <v>5104</v>
      </c>
      <c r="B592" s="124" t="s">
        <v>545</v>
      </c>
      <c r="C592" s="124" t="s">
        <v>583</v>
      </c>
    </row>
    <row r="593" spans="1:3" x14ac:dyDescent="0.2">
      <c r="A593" s="124">
        <v>5105</v>
      </c>
      <c r="B593" s="124" t="s">
        <v>590</v>
      </c>
      <c r="C593" s="124" t="s">
        <v>583</v>
      </c>
    </row>
    <row r="594" spans="1:3" x14ac:dyDescent="0.2">
      <c r="A594" s="124">
        <v>5106</v>
      </c>
      <c r="B594" s="124" t="s">
        <v>591</v>
      </c>
      <c r="C594" s="124" t="s">
        <v>589</v>
      </c>
    </row>
    <row r="595" spans="1:3" x14ac:dyDescent="0.2">
      <c r="A595" s="124">
        <v>7101</v>
      </c>
      <c r="B595" s="124" t="s">
        <v>592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4041-6DB1-4E0E-BAF3-495E90AAC183}">
  <sheetPr>
    <tabColor theme="2" tint="-0.749992370372631"/>
  </sheetPr>
  <dimension ref="A1:AG50"/>
  <sheetViews>
    <sheetView showGridLines="0" tabSelected="1" zoomScaleNormal="100" workbookViewId="0">
      <selection activeCell="S33" sqref="S33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11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SEPTIEMBRE de 2025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SEPTIEMBRE de 2025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2025</v>
      </c>
      <c r="E7" s="13" t="str">
        <f>+'COLOMB$ '!F7:F7</f>
        <v>Real 2025</v>
      </c>
      <c r="G7" s="10" t="s">
        <v>24</v>
      </c>
      <c r="H7" s="13" t="str">
        <f>+'COLOMB$ '!I7:I7</f>
        <v>Real 2024</v>
      </c>
      <c r="J7" s="10" t="s">
        <v>25</v>
      </c>
      <c r="K7" s="13" t="str">
        <f>+C7</f>
        <v>Ppto 2025</v>
      </c>
      <c r="M7" s="23" t="str">
        <f>+E7</f>
        <v>Real 2025</v>
      </c>
      <c r="N7" s="23"/>
      <c r="O7" s="10" t="s">
        <v>24</v>
      </c>
      <c r="P7" s="13" t="str">
        <f>+H7</f>
        <v>Real 2024</v>
      </c>
      <c r="R7" s="10" t="s">
        <v>25</v>
      </c>
      <c r="S7" s="24"/>
      <c r="T7" s="15"/>
      <c r="U7" s="15" t="str">
        <f>+C7</f>
        <v>Ppto 2025</v>
      </c>
      <c r="V7" s="15" t="str">
        <f>+M7</f>
        <v>Real 2025</v>
      </c>
      <c r="W7" s="15" t="str">
        <f>+H7</f>
        <v>Real 2024</v>
      </c>
      <c r="X7" s="15" t="str">
        <f>+U7</f>
        <v>Ppto 2025</v>
      </c>
      <c r="Y7" s="15" t="str">
        <f>+V7</f>
        <v>Real 2025</v>
      </c>
      <c r="Z7" s="15" t="s">
        <v>26</v>
      </c>
      <c r="AA7" s="15" t="s">
        <v>24</v>
      </c>
      <c r="AB7" s="15" t="str">
        <f>+W7</f>
        <v>Real 2024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350308</v>
      </c>
      <c r="D10" s="33">
        <f t="shared" ref="D10:D20" si="0">+C10/$C$20</f>
        <v>0.33241761630792382</v>
      </c>
      <c r="E10" s="32">
        <v>367693.82</v>
      </c>
      <c r="F10" s="33">
        <f t="shared" ref="F10:F20" si="1">+E10/$E$20</f>
        <v>0.3627070689583059</v>
      </c>
      <c r="G10" s="33">
        <f t="shared" ref="G10:G20" si="2">IF(C10=0,"",(E10-C10)/ABS(C10)+1)</f>
        <v>1.0496300969432615</v>
      </c>
      <c r="H10" s="32">
        <v>365136.10800000001</v>
      </c>
      <c r="I10" s="33">
        <f t="shared" ref="I10:I19" si="3">+H10/$H$20</f>
        <v>0.39460959762530884</v>
      </c>
      <c r="J10" s="34">
        <f t="shared" ref="J10:J20" si="4">IF(H10=0,"",(E10-H10)/ABS(H10))</f>
        <v>7.0048180499311221E-3</v>
      </c>
      <c r="K10" s="32">
        <v>3441333</v>
      </c>
      <c r="L10" s="33">
        <f t="shared" ref="L10:L20" si="5">+K10/$K$20</f>
        <v>0.3660633888956199</v>
      </c>
      <c r="M10" s="32">
        <v>3577236.2910000002</v>
      </c>
      <c r="N10" s="33">
        <f t="shared" ref="N10:N20" si="6">+M10/$M$20</f>
        <v>0.40326220398620777</v>
      </c>
      <c r="O10" s="33">
        <f t="shared" ref="O10:O20" si="7">IF(K10=0,"",(M10-K10)/ABS(K10)+1)</f>
        <v>1.0394914676958029</v>
      </c>
      <c r="P10" s="32">
        <v>3490703.0389999999</v>
      </c>
      <c r="Q10" s="33">
        <f t="shared" ref="Q10:Q20" si="8">+P10/$P$20</f>
        <v>0.39170000085582046</v>
      </c>
      <c r="R10" s="34">
        <f t="shared" ref="R10:R20" si="9">IF(P10=0,"",(M10-P10)/ABS(P10))</f>
        <v>2.4789634361102788E-2</v>
      </c>
      <c r="S10" s="24"/>
      <c r="T10" s="19" t="s">
        <v>31</v>
      </c>
      <c r="U10" s="35">
        <f>+'COLOMB$ '!U10</f>
        <v>146778</v>
      </c>
      <c r="V10" s="35">
        <f>+'COLOMB$ '!V10</f>
        <v>146778</v>
      </c>
      <c r="W10" s="35">
        <f>+'COLOMB$ '!W10</f>
        <v>61692</v>
      </c>
      <c r="X10" s="35">
        <f>+'COLOMB$ '!X10</f>
        <v>125133</v>
      </c>
      <c r="Y10" s="35">
        <f>+'COLOMB$ '!Y10</f>
        <v>125133</v>
      </c>
      <c r="Z10" s="36">
        <f>+Y10-X10</f>
        <v>0</v>
      </c>
      <c r="AA10" s="37">
        <f>IF(X10=0,"",(Y10-X10)/ABS(X10)+1)</f>
        <v>1</v>
      </c>
      <c r="AB10" s="35">
        <f>+'COLOMB$ '!AB10</f>
        <v>45751</v>
      </c>
      <c r="AC10" s="34">
        <f>IF(W10=0,"",(Y10-AB10)/ABS(AB10))</f>
        <v>1.7350877576446417</v>
      </c>
    </row>
    <row r="11" spans="1:33" x14ac:dyDescent="0.2">
      <c r="A11" s="38"/>
      <c r="B11" s="19" t="str">
        <f>+'COLOMB$ '!B11</f>
        <v>Instalaciones</v>
      </c>
      <c r="C11" s="32">
        <v>75908</v>
      </c>
      <c r="D11" s="33">
        <f t="shared" si="0"/>
        <v>7.2031345041226241E-2</v>
      </c>
      <c r="E11" s="32">
        <v>63943.669000000002</v>
      </c>
      <c r="F11" s="33">
        <f t="shared" si="1"/>
        <v>6.3076449752215269E-2</v>
      </c>
      <c r="G11" s="33">
        <f t="shared" si="2"/>
        <v>0.84238379353954795</v>
      </c>
      <c r="H11" s="32">
        <v>15653.847</v>
      </c>
      <c r="I11" s="33">
        <f t="shared" si="3"/>
        <v>1.6917412796540372E-2</v>
      </c>
      <c r="J11" s="34">
        <f t="shared" si="4"/>
        <v>3.0848533271086653</v>
      </c>
      <c r="K11" s="32">
        <v>592082</v>
      </c>
      <c r="L11" s="33">
        <f t="shared" si="5"/>
        <v>6.2981275983491403E-2</v>
      </c>
      <c r="M11" s="32">
        <v>362876.30900000001</v>
      </c>
      <c r="N11" s="33">
        <f t="shared" si="6"/>
        <v>4.0907082517831962E-2</v>
      </c>
      <c r="O11" s="33">
        <f t="shared" si="7"/>
        <v>0.6128818457578511</v>
      </c>
      <c r="P11" s="32">
        <v>473599.12199999997</v>
      </c>
      <c r="Q11" s="33">
        <f t="shared" si="8"/>
        <v>5.3143671753257904E-2</v>
      </c>
      <c r="R11" s="34">
        <f t="shared" si="9"/>
        <v>-0.23379015681536666</v>
      </c>
      <c r="S11" s="24"/>
      <c r="T11" s="19" t="s">
        <v>32</v>
      </c>
      <c r="U11" s="35">
        <f>+'COLOMB$ '!U11</f>
        <v>1260437.99025</v>
      </c>
      <c r="V11" s="35">
        <f>+'COLOMB$ '!V11</f>
        <v>1260437.99025</v>
      </c>
      <c r="W11" s="35">
        <f>+'COLOMB$ '!W11</f>
        <v>1104453.98281</v>
      </c>
      <c r="X11" s="35">
        <f>+'COLOMB$ '!X11</f>
        <v>10330047.409559999</v>
      </c>
      <c r="Y11" s="35">
        <f>+'COLOMB$ '!Y11</f>
        <v>10330047.409559999</v>
      </c>
      <c r="Z11" s="36">
        <f>+Y11-X11</f>
        <v>0</v>
      </c>
      <c r="AA11" s="37">
        <f>IF(X11=0,"",(Y11-X11)/ABS(X11)+1)</f>
        <v>1</v>
      </c>
      <c r="AB11" s="35">
        <f>+'COLOMB$ '!AB11</f>
        <v>10053892.64625</v>
      </c>
      <c r="AC11" s="34">
        <f>IF(AB11=0,"",(Y11-AB11)/ABS(AB11))</f>
        <v>2.746744699059437E-2</v>
      </c>
    </row>
    <row r="12" spans="1:33" x14ac:dyDescent="0.2">
      <c r="A12" s="38"/>
      <c r="B12" s="19" t="str">
        <f>+'COLOMB$ '!B12</f>
        <v>Voice Experience (Publihold)</v>
      </c>
      <c r="C12" s="32">
        <v>64744</v>
      </c>
      <c r="D12" s="33">
        <f t="shared" si="0"/>
        <v>6.1437495433276493E-2</v>
      </c>
      <c r="E12" s="32">
        <v>54888.864000000001</v>
      </c>
      <c r="F12" s="33">
        <f t="shared" si="1"/>
        <v>5.4144448171283034E-2</v>
      </c>
      <c r="G12" s="33">
        <f t="shared" si="2"/>
        <v>0.8477830223650068</v>
      </c>
      <c r="H12" s="32">
        <v>62087.718999999997</v>
      </c>
      <c r="I12" s="33">
        <f t="shared" si="3"/>
        <v>6.7099389173702978E-2</v>
      </c>
      <c r="J12" s="34">
        <f t="shared" si="4"/>
        <v>-0.1159465207604099</v>
      </c>
      <c r="K12" s="32">
        <v>631400</v>
      </c>
      <c r="L12" s="33">
        <f t="shared" si="5"/>
        <v>6.7163632159019312E-2</v>
      </c>
      <c r="M12" s="32">
        <v>531197.86800000002</v>
      </c>
      <c r="N12" s="33">
        <f t="shared" si="6"/>
        <v>5.9881988657386864E-2</v>
      </c>
      <c r="O12" s="33">
        <f t="shared" si="7"/>
        <v>0.84130165980361105</v>
      </c>
      <c r="P12" s="32">
        <v>601086.06499999994</v>
      </c>
      <c r="Q12" s="33">
        <f t="shared" si="8"/>
        <v>6.7449281575774206E-2</v>
      </c>
      <c r="R12" s="34">
        <f t="shared" si="9"/>
        <v>-0.11626986727765837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130295</v>
      </c>
      <c r="D13" s="33">
        <f t="shared" si="0"/>
        <v>0.12364077702148092</v>
      </c>
      <c r="E13" s="32">
        <v>96530.911999999997</v>
      </c>
      <c r="F13" s="33">
        <f t="shared" si="1"/>
        <v>9.5221736811872862E-2</v>
      </c>
      <c r="G13" s="33">
        <f t="shared" si="2"/>
        <v>0.74086428489197587</v>
      </c>
      <c r="H13" s="32">
        <v>69275.847680000006</v>
      </c>
      <c r="I13" s="33">
        <f t="shared" si="3"/>
        <v>7.4867737753717273E-2</v>
      </c>
      <c r="J13" s="34">
        <f t="shared" si="4"/>
        <v>0.39342808832736303</v>
      </c>
      <c r="K13" s="32">
        <v>1016925</v>
      </c>
      <c r="L13" s="33">
        <f t="shared" si="5"/>
        <v>0.10817291199447374</v>
      </c>
      <c r="M13" s="32">
        <v>797061.61100000003</v>
      </c>
      <c r="N13" s="33">
        <f t="shared" si="6"/>
        <v>8.9852834931070352E-2</v>
      </c>
      <c r="O13" s="33">
        <f t="shared" si="7"/>
        <v>0.78379586596848339</v>
      </c>
      <c r="P13" s="32">
        <v>881254.15018</v>
      </c>
      <c r="Q13" s="33">
        <f t="shared" si="8"/>
        <v>9.8887601587154469E-2</v>
      </c>
      <c r="R13" s="34">
        <f t="shared" si="9"/>
        <v>-9.5537183186942459E-2</v>
      </c>
      <c r="S13" s="24"/>
      <c r="T13" s="19" t="s">
        <v>33</v>
      </c>
      <c r="U13" s="35">
        <f>+'COLOMB$ '!U13</f>
        <v>277768.51199999999</v>
      </c>
      <c r="V13" s="35">
        <f>+'COLOMB$ '!V13</f>
        <v>277768.51199999999</v>
      </c>
      <c r="W13" s="35">
        <f>+'COLOMB$ '!W13</f>
        <v>161119.772</v>
      </c>
      <c r="X13" s="35">
        <f>+'COLOMB$ '!X13</f>
        <v>1894329.3359999999</v>
      </c>
      <c r="Y13" s="35">
        <f>+'COLOMB$ '!Y13</f>
        <v>1894329.3359999999</v>
      </c>
      <c r="Z13" s="36">
        <f>+X13-Y13</f>
        <v>0</v>
      </c>
      <c r="AA13" s="37">
        <f>IF(X13=0,"",(Y13-X13)/ABS(X13)+1)</f>
        <v>1</v>
      </c>
      <c r="AB13" s="35">
        <f>+'COLOMB$ '!AB13</f>
        <v>1625586.6129999999</v>
      </c>
      <c r="AC13" s="34">
        <f>IF(AB13=0,"",(Y13-AB13)/ABS(AB13))</f>
        <v>0.16532045776634358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8229.6</v>
      </c>
      <c r="V14" s="35">
        <f>+'COLOMB$ '!V14</f>
        <v>8229.6</v>
      </c>
      <c r="W14" s="35">
        <f>+'COLOMB$ '!W14</f>
        <v>11798.825000000001</v>
      </c>
      <c r="X14" s="35">
        <f>+'COLOMB$ '!X14</f>
        <v>92216.994000000006</v>
      </c>
      <c r="Y14" s="35">
        <f>+'COLOMB$ '!Y14</f>
        <v>92216.994000000006</v>
      </c>
      <c r="Z14" s="36">
        <f>+X14-Y14</f>
        <v>0</v>
      </c>
      <c r="AA14" s="37">
        <f>IF(X14=0,"",(Y14-X14)/ABS(X14)+1)</f>
        <v>1</v>
      </c>
      <c r="AB14" s="35">
        <f>+'COLOMB$ '!AB14</f>
        <v>111923.55100000001</v>
      </c>
      <c r="AC14" s="34">
        <f>IF(AB14=0,"",(Y14-AB14)/ABS(AB14))</f>
        <v>-0.17607158479094359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142199</v>
      </c>
      <c r="D15" s="33">
        <f t="shared" si="0"/>
        <v>0.13493683450383795</v>
      </c>
      <c r="E15" s="32">
        <v>122271.55899999999</v>
      </c>
      <c r="F15" s="33">
        <f t="shared" si="1"/>
        <v>0.12061328303492444</v>
      </c>
      <c r="G15" s="33">
        <f t="shared" si="2"/>
        <v>0.85986229860969488</v>
      </c>
      <c r="H15" s="32">
        <v>127165.04399999999</v>
      </c>
      <c r="I15" s="33">
        <f t="shared" si="3"/>
        <v>0.13742970291189249</v>
      </c>
      <c r="J15" s="34">
        <f t="shared" si="4"/>
        <v>-3.8481369141035338E-2</v>
      </c>
      <c r="K15" s="32">
        <v>1206457</v>
      </c>
      <c r="L15" s="33">
        <f t="shared" si="5"/>
        <v>0.12833391536850486</v>
      </c>
      <c r="M15" s="32">
        <v>1063527.5109999999</v>
      </c>
      <c r="N15" s="33">
        <f t="shared" si="6"/>
        <v>0.11989156242344119</v>
      </c>
      <c r="O15" s="33">
        <f t="shared" si="7"/>
        <v>0.88152956218083189</v>
      </c>
      <c r="P15" s="32">
        <v>1211727.8160000001</v>
      </c>
      <c r="Q15" s="33">
        <f t="shared" si="8"/>
        <v>0.1359708291600171</v>
      </c>
      <c r="R15" s="34">
        <f t="shared" si="9"/>
        <v>-0.12230494591534585</v>
      </c>
      <c r="S15" s="24"/>
      <c r="T15" s="19" t="s">
        <v>35</v>
      </c>
      <c r="U15" s="35">
        <f>+'COLOMB$ '!U15</f>
        <v>428079.92099999997</v>
      </c>
      <c r="V15" s="35">
        <f>+'COLOMB$ '!V15</f>
        <v>428079.92099999997</v>
      </c>
      <c r="W15" s="35">
        <f>+'COLOMB$ '!W15</f>
        <v>413088.85700000002</v>
      </c>
      <c r="X15" s="35">
        <f>+'COLOMB$ '!X15</f>
        <v>4279313.4850000003</v>
      </c>
      <c r="Y15" s="35">
        <f>+'COLOMB$ '!Y15</f>
        <v>4279313.4850000003</v>
      </c>
      <c r="Z15" s="36">
        <f>+X15-Y15</f>
        <v>0</v>
      </c>
      <c r="AA15" s="37">
        <f>IF(X15=0,"",(Y15-X15)/ABS(X15)+1)</f>
        <v>1</v>
      </c>
      <c r="AB15" s="35">
        <f>+'COLOMB$ '!AB15</f>
        <v>4036842.4920000001</v>
      </c>
      <c r="AC15" s="34">
        <f>IF(AB15=0,"",(Y15-AB15)/ABS(AB15))</f>
        <v>6.00645166316289E-2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244816.53349</v>
      </c>
      <c r="V16" s="35">
        <f>+'COLOMB$ '!V16</f>
        <v>244816.53349</v>
      </c>
      <c r="W16" s="35">
        <f>+'COLOMB$ '!W16</f>
        <v>185478.21786999999</v>
      </c>
      <c r="X16" s="35">
        <f>+'COLOMB$ '!X16</f>
        <v>2046588.07996</v>
      </c>
      <c r="Y16" s="35">
        <f>+'COLOMB$ '!Y16</f>
        <v>2046588.07996</v>
      </c>
      <c r="Z16" s="36">
        <f>+X16-Y16</f>
        <v>0</v>
      </c>
      <c r="AA16" s="37">
        <f>IF(X16=0,"",(Y16-X16)/ABS(X16)+1)</f>
        <v>1</v>
      </c>
      <c r="AB16" s="35">
        <f>+'COLOMB$ '!AB16</f>
        <v>2208600.9486799999</v>
      </c>
      <c r="AC16" s="34">
        <f>IF(AB16=0,"",(Y16-AB16)/ABS(AB16))</f>
        <v>-7.3355428384122123E-2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19552</v>
      </c>
      <c r="D17" s="33">
        <f t="shared" si="0"/>
        <v>1.8553470757312215E-2</v>
      </c>
      <c r="E17" s="32">
        <v>16260.32</v>
      </c>
      <c r="F17" s="33">
        <f t="shared" si="1"/>
        <v>1.6039793672692461E-2</v>
      </c>
      <c r="G17" s="33">
        <f t="shared" si="2"/>
        <v>0.8316448445171849</v>
      </c>
      <c r="H17" s="32">
        <v>23365.808000000001</v>
      </c>
      <c r="I17" s="33">
        <f t="shared" si="3"/>
        <v>2.5251877015324442E-2</v>
      </c>
      <c r="J17" s="34">
        <f t="shared" si="4"/>
        <v>-0.30409767982344121</v>
      </c>
      <c r="K17" s="32">
        <v>152858</v>
      </c>
      <c r="L17" s="33">
        <f t="shared" si="5"/>
        <v>1.625989623782606E-2</v>
      </c>
      <c r="M17" s="32">
        <v>162848.40299999999</v>
      </c>
      <c r="N17" s="33">
        <f t="shared" si="6"/>
        <v>1.8357916717616728E-2</v>
      </c>
      <c r="O17" s="33">
        <f t="shared" si="7"/>
        <v>1.0653574101453636</v>
      </c>
      <c r="P17" s="32">
        <v>149371.514</v>
      </c>
      <c r="Q17" s="33">
        <f t="shared" si="8"/>
        <v>1.6761329023965477E-2</v>
      </c>
      <c r="R17" s="34">
        <f t="shared" si="9"/>
        <v>9.0223956624018664E-2</v>
      </c>
      <c r="S17" s="24"/>
      <c r="T17" s="19" t="s">
        <v>37</v>
      </c>
      <c r="U17" s="35">
        <f>U13+U14+U15+U16</f>
        <v>958894.56648999988</v>
      </c>
      <c r="V17" s="35">
        <f>V13+V14+V15+V16</f>
        <v>958894.56648999988</v>
      </c>
      <c r="W17" s="35">
        <f>W13+W14+W15+W16</f>
        <v>771485.67186999996</v>
      </c>
      <c r="X17" s="35">
        <f>X13+X14+X15+X16</f>
        <v>8312447.8949600002</v>
      </c>
      <c r="Y17" s="35">
        <f>Y13+Y14+Y15+Y16</f>
        <v>8312447.8949600002</v>
      </c>
      <c r="Z17" s="36">
        <f>+Y17-X17</f>
        <v>0</v>
      </c>
      <c r="AA17" s="37">
        <f>IF(X17=0,"",(Y17-X17)/ABS(X17)+1)</f>
        <v>1</v>
      </c>
      <c r="AB17" s="35">
        <f>+'COLOMB$ '!AB17</f>
        <v>7982953.6046799999</v>
      </c>
      <c r="AC17" s="34">
        <f>IF(AB17=0,"",(Y17-AB17)/ABS(AB17))</f>
        <v>4.1274734465052455E-2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240403</v>
      </c>
      <c r="D18" s="33">
        <f t="shared" si="0"/>
        <v>0.22812551301504339</v>
      </c>
      <c r="E18" s="32">
        <v>259816.47399999999</v>
      </c>
      <c r="F18" s="33">
        <f t="shared" si="1"/>
        <v>0.25629278118305571</v>
      </c>
      <c r="G18" s="33">
        <f t="shared" si="2"/>
        <v>1.08075387578358</v>
      </c>
      <c r="H18" s="32">
        <v>207115.22399999999</v>
      </c>
      <c r="I18" s="33">
        <f t="shared" si="3"/>
        <v>0.22383339640766425</v>
      </c>
      <c r="J18" s="41">
        <f t="shared" si="4"/>
        <v>0.25445377207037184</v>
      </c>
      <c r="K18" s="32">
        <v>1941617</v>
      </c>
      <c r="L18" s="33">
        <f t="shared" si="5"/>
        <v>0.20653476398748591</v>
      </c>
      <c r="M18" s="32">
        <v>1957445.8629999999</v>
      </c>
      <c r="N18" s="33">
        <f t="shared" si="6"/>
        <v>0.22066306743086331</v>
      </c>
      <c r="O18" s="33">
        <f t="shared" si="7"/>
        <v>1.0081524126539889</v>
      </c>
      <c r="P18" s="32">
        <v>1599885.1910000001</v>
      </c>
      <c r="Q18" s="33">
        <f t="shared" si="8"/>
        <v>0.17952688145693466</v>
      </c>
      <c r="R18" s="34">
        <f t="shared" si="9"/>
        <v>0.22349145676916249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30410</v>
      </c>
      <c r="D19" s="33">
        <f t="shared" si="0"/>
        <v>2.8856947919898956E-2</v>
      </c>
      <c r="E19" s="32">
        <v>32343.082999999999</v>
      </c>
      <c r="F19" s="33">
        <f t="shared" si="1"/>
        <v>3.1904438415650306E-2</v>
      </c>
      <c r="G19" s="33">
        <f t="shared" si="2"/>
        <v>1.0635673462676751</v>
      </c>
      <c r="H19" s="32">
        <v>55510.152000000002</v>
      </c>
      <c r="I19" s="33">
        <f t="shared" si="3"/>
        <v>5.9990886315849465E-2</v>
      </c>
      <c r="J19" s="34">
        <f t="shared" si="4"/>
        <v>-0.41734832576210568</v>
      </c>
      <c r="K19" s="32">
        <v>418249</v>
      </c>
      <c r="L19" s="33">
        <f t="shared" si="5"/>
        <v>4.449021537357882E-2</v>
      </c>
      <c r="M19" s="32">
        <v>418551.42</v>
      </c>
      <c r="N19" s="33">
        <f t="shared" si="6"/>
        <v>4.7183343335581995E-2</v>
      </c>
      <c r="O19" s="33">
        <f t="shared" si="7"/>
        <v>1.0007230620993715</v>
      </c>
      <c r="P19" s="32">
        <v>504047.93400000001</v>
      </c>
      <c r="Q19" s="33">
        <f t="shared" si="8"/>
        <v>5.6560404587075661E-2</v>
      </c>
      <c r="R19" s="34">
        <f t="shared" si="9"/>
        <v>-0.16961980842083965</v>
      </c>
      <c r="S19" s="24"/>
      <c r="T19" s="19" t="s">
        <v>38</v>
      </c>
      <c r="U19" s="35">
        <f>U11-U17</f>
        <v>301543.42376000015</v>
      </c>
      <c r="V19" s="35">
        <f>V11-V17</f>
        <v>301543.42376000015</v>
      </c>
      <c r="W19" s="35">
        <f>W11-W17</f>
        <v>332968.31094</v>
      </c>
      <c r="X19" s="35">
        <f>X11-X17</f>
        <v>2017599.5145999985</v>
      </c>
      <c r="Y19" s="35">
        <f>Y11-Y17</f>
        <v>2017599.5145999985</v>
      </c>
      <c r="Z19" s="36">
        <f>+Y19-X19</f>
        <v>0</v>
      </c>
      <c r="AA19" s="37">
        <f>IF(X19=0,"",(Y19-X19)/ABS(X19)+1)</f>
        <v>1</v>
      </c>
      <c r="AB19" s="35">
        <f>AB11-AB17</f>
        <v>2070939.0415700004</v>
      </c>
      <c r="AC19" s="34">
        <f>IF(AB19=0,"",(Y19-AB19)/ABS(AB19))</f>
        <v>-2.5756203296821628E-2</v>
      </c>
      <c r="AE19" s="40"/>
    </row>
    <row r="20" spans="1:32" x14ac:dyDescent="0.2">
      <c r="B20" s="42" t="s">
        <v>39</v>
      </c>
      <c r="C20" s="43">
        <f>SUM(C10:C19)</f>
        <v>1053819</v>
      </c>
      <c r="D20" s="44">
        <f t="shared" si="0"/>
        <v>1</v>
      </c>
      <c r="E20" s="43">
        <f>SUM(E10:E19)</f>
        <v>1013748.701</v>
      </c>
      <c r="F20" s="44">
        <f t="shared" si="1"/>
        <v>1</v>
      </c>
      <c r="G20" s="44">
        <f t="shared" si="2"/>
        <v>0.96197610880046769</v>
      </c>
      <c r="H20" s="43">
        <f>SUM(H10:H19)</f>
        <v>925309.74967999989</v>
      </c>
      <c r="I20" s="44">
        <f>+H22/$H$22</f>
        <v>1</v>
      </c>
      <c r="J20" s="45">
        <f t="shared" si="4"/>
        <v>9.5577671531705974E-2</v>
      </c>
      <c r="K20" s="43">
        <f>SUM(K10:K19)</f>
        <v>9400921</v>
      </c>
      <c r="L20" s="44">
        <f t="shared" si="5"/>
        <v>1</v>
      </c>
      <c r="M20" s="43">
        <f>SUM(M10:M19)</f>
        <v>8870745.2759999987</v>
      </c>
      <c r="N20" s="44">
        <f t="shared" si="6"/>
        <v>1</v>
      </c>
      <c r="O20" s="44">
        <f t="shared" si="7"/>
        <v>0.94360385285654447</v>
      </c>
      <c r="P20" s="43">
        <f>SUM(P10:P19)</f>
        <v>8911674.8311800007</v>
      </c>
      <c r="Q20" s="44">
        <f t="shared" si="8"/>
        <v>1</v>
      </c>
      <c r="R20" s="45">
        <f t="shared" si="9"/>
        <v>-4.5928016849087049E-3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448321.42376000015</v>
      </c>
      <c r="V21" s="35">
        <f>+V10+V19</f>
        <v>448321.42376000015</v>
      </c>
      <c r="W21" s="35">
        <f>+'COLOMB$ '!W21</f>
        <v>394660.31094</v>
      </c>
      <c r="X21" s="35">
        <f>+X10+X19</f>
        <v>2142732.5145999985</v>
      </c>
      <c r="Y21" s="35">
        <f>+Y10+Y19</f>
        <v>2142732.5145999985</v>
      </c>
      <c r="Z21" s="36">
        <f>+Y21-X21</f>
        <v>0</v>
      </c>
      <c r="AA21" s="37">
        <f>IF(X21=0,"",(Y21-X21)/ABS(X21)+1)</f>
        <v>1</v>
      </c>
      <c r="AB21" s="35">
        <f>+'COLOMB$ '!AB21</f>
        <v>2116690.0415700004</v>
      </c>
      <c r="AC21" s="34">
        <f>IF(AB21=0,"",(Y21-AB21)/ABS(AB21))</f>
        <v>1.23033946957495E-2</v>
      </c>
    </row>
    <row r="22" spans="1:32" x14ac:dyDescent="0.2">
      <c r="B22" s="19" t="s">
        <v>41</v>
      </c>
      <c r="C22" s="32">
        <v>166270</v>
      </c>
      <c r="D22" s="33">
        <f>+C22/$C$20</f>
        <v>0.1577785179428346</v>
      </c>
      <c r="E22" s="32">
        <v>159220.09114999999</v>
      </c>
      <c r="F22" s="33">
        <f>+E22/$E$20</f>
        <v>0.15706071040381042</v>
      </c>
      <c r="G22" s="33">
        <f>IF(C22=0,"",(E22-C22)/ABS(C22)+1)</f>
        <v>0.95759963402898896</v>
      </c>
      <c r="H22" s="32">
        <v>104464.17147</v>
      </c>
      <c r="I22" s="33">
        <f>+H22/$H$20</f>
        <v>0.1128964344168284</v>
      </c>
      <c r="J22" s="34">
        <f>IF(H22=0,"",(E22-H22)/ABS(H22))</f>
        <v>0.52415980435670029</v>
      </c>
      <c r="K22" s="32">
        <v>1269311</v>
      </c>
      <c r="L22" s="33">
        <f>+K22/$K$20</f>
        <v>0.13501985603325461</v>
      </c>
      <c r="M22" s="32">
        <v>1177752.8288800002</v>
      </c>
      <c r="N22" s="33">
        <f>+M22/$M$20</f>
        <v>0.13276819390434275</v>
      </c>
      <c r="O22" s="33">
        <f>IF(K22=0,"",(M22-K22)/ABS(K22)+1)</f>
        <v>0.92786781874576063</v>
      </c>
      <c r="P22" s="32">
        <v>1059167.93857</v>
      </c>
      <c r="Q22" s="33">
        <f>+P22/$P$20</f>
        <v>0.11885172637405969</v>
      </c>
      <c r="R22" s="34">
        <f>IF(P22=0,"",(M22-P22)/ABS(P22))</f>
        <v>0.11196042288638719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73273.403870000009</v>
      </c>
      <c r="V23" s="35">
        <f>+'COLOMB$ '!V23</f>
        <v>73273.403870000009</v>
      </c>
      <c r="W23" s="35">
        <f>+'COLOMB$ '!W23</f>
        <v>78405.248999999996</v>
      </c>
      <c r="X23" s="35">
        <f>+'COLOMB$ '!X23</f>
        <v>84069.803870000003</v>
      </c>
      <c r="Y23" s="35">
        <f>+'COLOMB$ '!Y23</f>
        <v>84069.803870000003</v>
      </c>
      <c r="Z23" s="36">
        <f>+Y23-X23</f>
        <v>0</v>
      </c>
      <c r="AA23" s="37">
        <f>IF(X23=0,"",(Y23-X23)/ABS(X23)+1)</f>
        <v>1</v>
      </c>
      <c r="AB23" s="35">
        <f>+'COLOMB$ '!AB23</f>
        <v>296409.53014999995</v>
      </c>
      <c r="AC23" s="34">
        <f>IF(AB23=0,"",(Y23-AB23)/ABS(AB23))</f>
        <v>-0.71637280411511761</v>
      </c>
    </row>
    <row r="24" spans="1:32" x14ac:dyDescent="0.2">
      <c r="B24" s="46" t="s">
        <v>43</v>
      </c>
      <c r="C24" s="35">
        <f>+C20-C22</f>
        <v>887549</v>
      </c>
      <c r="D24" s="33">
        <f>+C24/$C$20</f>
        <v>0.8422214820571654</v>
      </c>
      <c r="E24" s="35">
        <f>+E20-E22</f>
        <v>854528.60985000001</v>
      </c>
      <c r="F24" s="33">
        <f>+E24/$E$20</f>
        <v>0.84293928959618958</v>
      </c>
      <c r="G24" s="33">
        <f>IF(C24=0,"",(E24-C24)/ABS(C24)+1)</f>
        <v>0.9627959806726164</v>
      </c>
      <c r="H24" s="35">
        <f>+H20-H22</f>
        <v>820845.57820999995</v>
      </c>
      <c r="I24" s="33">
        <f>+H24/$H$20</f>
        <v>0.88710356558317172</v>
      </c>
      <c r="J24" s="34">
        <f>IF(H24=0,"",(E24-H24)/ABS(H24))</f>
        <v>4.1034553312027232E-2</v>
      </c>
      <c r="K24" s="35">
        <f>+K20-K22</f>
        <v>8131610</v>
      </c>
      <c r="L24" s="33">
        <f>+K24/$K$20</f>
        <v>0.86498014396674539</v>
      </c>
      <c r="M24" s="35">
        <f>+M20-M22</f>
        <v>7692992.4471199987</v>
      </c>
      <c r="N24" s="33">
        <f>+M24/$M$20</f>
        <v>0.86723180609565731</v>
      </c>
      <c r="O24" s="33">
        <f>IF(K24=0,"",(M24-K24)/ABS(K24)+1)</f>
        <v>0.94606018329949404</v>
      </c>
      <c r="P24" s="35">
        <f>+P20-P22</f>
        <v>7852506.8926100004</v>
      </c>
      <c r="Q24" s="33">
        <f>+P24/$P$20</f>
        <v>0.88114827362594028</v>
      </c>
      <c r="R24" s="34">
        <f>IF(P24=0,"",(M24-P24)/ABS(P24))</f>
        <v>-2.0313824320246168E-2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353564.46950999997</v>
      </c>
      <c r="V25" s="35">
        <f>+'COLOMB$ '!V25</f>
        <v>353564.46950999997</v>
      </c>
      <c r="W25" s="35">
        <f>+'COLOMB$ '!W25</f>
        <v>292703.98497000005</v>
      </c>
      <c r="X25" s="35">
        <f>+'COLOMB$ '!X25</f>
        <v>1881582.4742699999</v>
      </c>
      <c r="Y25" s="35">
        <f>+'COLOMB$ '!Y25</f>
        <v>1881582.4742699999</v>
      </c>
      <c r="Z25" s="36">
        <f>+Y25-X25</f>
        <v>0</v>
      </c>
      <c r="AA25" s="37">
        <f>IF(X25=0,"",(Y25-X25)/ABS(X25)+1)</f>
        <v>1</v>
      </c>
      <c r="AB25" s="35">
        <f>+'COLOMB$ '!AB25</f>
        <v>1775329.0847999998</v>
      </c>
      <c r="AC25" s="34">
        <f>IF(AB25=0,"",(Y25-AB25)/ABS(AB25))</f>
        <v>5.9849968312759357E-2</v>
      </c>
    </row>
    <row r="26" spans="1:32" x14ac:dyDescent="0.2">
      <c r="B26" s="19" t="s">
        <v>45</v>
      </c>
      <c r="C26" s="32">
        <v>241283</v>
      </c>
      <c r="D26" s="33">
        <f>+C26/$C$20</f>
        <v>0.22896057102785203</v>
      </c>
      <c r="E26" s="32">
        <v>243734.38825999998</v>
      </c>
      <c r="F26" s="33">
        <f>+E26/$E$20</f>
        <v>0.24042880451493667</v>
      </c>
      <c r="G26" s="33">
        <f>IF(C26=0,"",(E26-C26)/ABS(C26)+1)</f>
        <v>1.010159805125102</v>
      </c>
      <c r="H26" s="32">
        <v>193959.23194999999</v>
      </c>
      <c r="I26" s="33">
        <f>+H26/$H$20</f>
        <v>0.20961546338085918</v>
      </c>
      <c r="J26" s="34">
        <f>IF(H26=0,"",(E26-H26)/ABS(H26))</f>
        <v>0.25662689942405703</v>
      </c>
      <c r="K26" s="32">
        <v>2037240</v>
      </c>
      <c r="L26" s="33">
        <f>+K26/$K$20</f>
        <v>0.21670642695540149</v>
      </c>
      <c r="M26" s="32">
        <v>1948824.28712</v>
      </c>
      <c r="N26" s="33">
        <f>+M26/$M$20</f>
        <v>0.21969115632173411</v>
      </c>
      <c r="O26" s="33">
        <f>IF(K26=0,"",(M26-K26)/ABS(K26)+1)</f>
        <v>0.95660024696157542</v>
      </c>
      <c r="P26" s="32">
        <v>1897260.7930899998</v>
      </c>
      <c r="Q26" s="33">
        <f>+P26/$P$20</f>
        <v>0.21289609742625476</v>
      </c>
      <c r="R26" s="34">
        <f>IF(P26=0,"",(M26-P26)/ABS(P26))</f>
        <v>2.7177863063316977E-2</v>
      </c>
      <c r="S26" s="24"/>
      <c r="AC26" s="34"/>
    </row>
    <row r="27" spans="1:32" x14ac:dyDescent="0.2">
      <c r="B27" s="19" t="s">
        <v>46</v>
      </c>
      <c r="C27" s="32">
        <v>321774</v>
      </c>
      <c r="D27" s="33">
        <f>+C27/$C$20</f>
        <v>0.30534086024260332</v>
      </c>
      <c r="E27" s="32">
        <v>309940.61398000002</v>
      </c>
      <c r="F27" s="33">
        <f>+E27/$E$20</f>
        <v>0.30573712565477312</v>
      </c>
      <c r="G27" s="33">
        <f>IF(C27=0,"",(E27-C27)/ABS(C27)+1)</f>
        <v>0.96322454262929891</v>
      </c>
      <c r="H27" s="32">
        <v>325745.65405000001</v>
      </c>
      <c r="I27" s="33">
        <f>+H27/$H$20</f>
        <v>0.35203957827381882</v>
      </c>
      <c r="J27" s="34">
        <f>IF(H27=0,"",(E27-H27)/ABS(H27))</f>
        <v>-4.8519573088683508E-2</v>
      </c>
      <c r="K27" s="32">
        <v>3091526</v>
      </c>
      <c r="L27" s="33">
        <f>+K27/$K$20</f>
        <v>0.32885352403237939</v>
      </c>
      <c r="M27" s="32">
        <v>2963790.2453899998</v>
      </c>
      <c r="N27" s="33">
        <f>+M27/$M$20</f>
        <v>0.33410837006092386</v>
      </c>
      <c r="O27" s="33">
        <f>IF(K27=0,"",(M27-K27)/ABS(K27)+1)</f>
        <v>0.95868197304179226</v>
      </c>
      <c r="P27" s="32">
        <v>3078888.9771400001</v>
      </c>
      <c r="Q27" s="33">
        <f>+P27/$P$20</f>
        <v>0.34548937606740782</v>
      </c>
      <c r="R27" s="34">
        <f>IF(P27=0,"",(M27-P27)/ABS(P27))</f>
        <v>-3.7383203033490423E-2</v>
      </c>
      <c r="S27" s="24"/>
      <c r="T27" s="19" t="s">
        <v>47</v>
      </c>
      <c r="U27" s="35">
        <f>+'COLOMB$ '!U27</f>
        <v>73014.380439999994</v>
      </c>
      <c r="V27" s="35">
        <f>+'COLOMB$ '!V27</f>
        <v>73014.380439999994</v>
      </c>
      <c r="W27" s="35">
        <f>+'COLOMB$ '!W27</f>
        <v>-202120.68044</v>
      </c>
      <c r="X27" s="35">
        <f>+'COLOMB$ '!X27</f>
        <v>228611</v>
      </c>
      <c r="Y27" s="35">
        <f>+'COLOMB$ '!Y27</f>
        <v>228611</v>
      </c>
      <c r="Z27" s="36">
        <f>+Y27-X27</f>
        <v>0</v>
      </c>
      <c r="AA27" s="37">
        <f>IF(X27=0,"",(Y27-X27)/ABS(X27)+1)</f>
        <v>1</v>
      </c>
      <c r="AB27" s="35">
        <f>+'COLOMB$ '!AB27</f>
        <v>-576624</v>
      </c>
      <c r="AC27" s="34">
        <f>IF(AB27=0,"",(Y27-AB27)/ABS(AB27))</f>
        <v>1.3964645939121507</v>
      </c>
    </row>
    <row r="28" spans="1:32" x14ac:dyDescent="0.2">
      <c r="B28" s="19" t="s">
        <v>48</v>
      </c>
      <c r="C28" s="35">
        <f>SUM(C26:C27)</f>
        <v>563057</v>
      </c>
      <c r="D28" s="33">
        <f>+C28/$C$20</f>
        <v>0.53430143127045537</v>
      </c>
      <c r="E28" s="35">
        <f>SUM(E26:E27)</f>
        <v>553675.00224000006</v>
      </c>
      <c r="F28" s="33">
        <f>+E28/$E$20</f>
        <v>0.54616593016970982</v>
      </c>
      <c r="G28" s="33">
        <f>IF(C28=0,"",(E28-C28)/ABS(C28)+1)</f>
        <v>0.98333739255528319</v>
      </c>
      <c r="H28" s="35">
        <f>SUM(H26:H27)</f>
        <v>519704.886</v>
      </c>
      <c r="I28" s="33">
        <f>+H28/$H$20</f>
        <v>0.56165504165467794</v>
      </c>
      <c r="J28" s="34">
        <f>IF(H28=0,"",(E28-H28)/ABS(H28))</f>
        <v>6.5364242582857029E-2</v>
      </c>
      <c r="K28" s="35">
        <f>SUM(K26:K27)</f>
        <v>5128766</v>
      </c>
      <c r="L28" s="33">
        <f>+K28/$K$20</f>
        <v>0.54555995098778087</v>
      </c>
      <c r="M28" s="35">
        <f>SUM(M26:M27)</f>
        <v>4912614.5325099993</v>
      </c>
      <c r="N28" s="33">
        <f>+M28/$M$20</f>
        <v>0.55379952638265795</v>
      </c>
      <c r="O28" s="33">
        <f>IF(K28=0,"",(M28-K28)/ABS(K28)+1)</f>
        <v>0.95785507323009067</v>
      </c>
      <c r="P28" s="35">
        <f>SUM(P26:P27)</f>
        <v>4976149.7702299999</v>
      </c>
      <c r="Q28" s="33">
        <f>+P28/$P$20</f>
        <v>0.55838547349366252</v>
      </c>
      <c r="R28" s="34">
        <f>IF(P28=0,"",(M28-P28)/ABS(P28))</f>
        <v>-1.2767951258240351E-2</v>
      </c>
      <c r="S28" s="24"/>
      <c r="T28" s="19" t="s">
        <v>49</v>
      </c>
      <c r="U28" s="35">
        <f>+'COLOMB$ '!U28</f>
        <v>0</v>
      </c>
      <c r="V28" s="35">
        <f>+'COLOMB$ '!V28</f>
        <v>0</v>
      </c>
      <c r="W28" s="35">
        <f>+'COLOMB$ '!W28</f>
        <v>81474.778000000006</v>
      </c>
      <c r="X28" s="35">
        <f>+'COLOMB$ '!X28</f>
        <v>0</v>
      </c>
      <c r="Y28" s="35">
        <f>+'COLOMB$ '!Y28</f>
        <v>0</v>
      </c>
      <c r="Z28" s="36">
        <f>+Y28-X28</f>
        <v>0</v>
      </c>
      <c r="AA28" s="37" t="str">
        <f>IF(X28=0,"",(Y28-X28)/ABS(X28)+1)</f>
        <v/>
      </c>
      <c r="AB28" s="35">
        <f>+'COLOMB$ '!AB28</f>
        <v>477378.80985000002</v>
      </c>
      <c r="AC28" s="34">
        <f>IF(AB28=0,"",(Y28-AB28)/ABS(AB28))</f>
        <v>-1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63830</v>
      </c>
      <c r="D30" s="33">
        <f>+C30/$C$20</f>
        <v>6.0570173815427508E-2</v>
      </c>
      <c r="E30" s="35">
        <v>65683.553</v>
      </c>
      <c r="F30" s="33">
        <f>+E30/$E$20</f>
        <v>6.4792737031581157E-2</v>
      </c>
      <c r="G30" s="33">
        <f>IF(C30=0,"",(E30-C30)/ABS(C30)+1)</f>
        <v>1.029038900203666</v>
      </c>
      <c r="H30" s="35">
        <v>60085.83036</v>
      </c>
      <c r="I30" s="33">
        <f>+H30/$H$20</f>
        <v>6.4935909711077294E-2</v>
      </c>
      <c r="J30" s="34">
        <f>IF(H30=0,"",(E30-H30)/ABS(H30))</f>
        <v>9.3162108378325489E-2</v>
      </c>
      <c r="K30" s="35">
        <v>548560</v>
      </c>
      <c r="L30" s="33">
        <f>+K30/$K$20</f>
        <v>5.8351729580537907E-2</v>
      </c>
      <c r="M30" s="35">
        <v>552046.12019000005</v>
      </c>
      <c r="N30" s="33">
        <f>+M30/$M$20</f>
        <v>6.2232214206801008E-2</v>
      </c>
      <c r="O30" s="33">
        <f>IF(K30=0,"",(M30-K30)/ABS(K30)+1)</f>
        <v>1.0063550389929998</v>
      </c>
      <c r="P30" s="35">
        <v>504290.08562999999</v>
      </c>
      <c r="Q30" s="33">
        <f>+P30/$P$20</f>
        <v>5.6587576991207006E-2</v>
      </c>
      <c r="R30" s="34">
        <f>IF(P30=0,"",(M30-P30)/ABS(P30))</f>
        <v>9.4699530926409856E-2</v>
      </c>
      <c r="S30" s="24"/>
      <c r="T30" s="42" t="s">
        <v>51</v>
      </c>
      <c r="U30" s="43">
        <f>U21-U23-U25-U27-U28</f>
        <v>-51530.830059999847</v>
      </c>
      <c r="V30" s="43">
        <f>V21-V23-V25-V27-V28</f>
        <v>-51530.830059999847</v>
      </c>
      <c r="W30" s="43">
        <f>W21-W23-W25-W27-W28</f>
        <v>144196.97940999991</v>
      </c>
      <c r="X30" s="43">
        <f>X21-X23-X25-X27-X28</f>
        <v>-51530.763540001353</v>
      </c>
      <c r="Y30" s="43">
        <f>Y21-Y23-Y25-Y27-Y28</f>
        <v>-51530.763540001353</v>
      </c>
      <c r="Z30" s="47">
        <f>+Y30-X30</f>
        <v>0</v>
      </c>
      <c r="AA30" s="48">
        <f>IF(U30=0,"",(V30-U30)/ABS(U30)+1)</f>
        <v>1</v>
      </c>
      <c r="AB30" s="43">
        <f>AB21-AB23-AB25-AB27-AB28</f>
        <v>144196.61677000049</v>
      </c>
      <c r="AC30" s="34">
        <f>IF(AB30=0,"",(Y30-AB30)/ABS(AB30))</f>
        <v>-1.3573645810441934</v>
      </c>
    </row>
    <row r="31" spans="1:32" x14ac:dyDescent="0.2">
      <c r="B31" s="19" t="s">
        <v>52</v>
      </c>
      <c r="C31" s="35">
        <v>215253</v>
      </c>
      <c r="D31" s="33">
        <f>+C31/$C$20</f>
        <v>0.20425993458079614</v>
      </c>
      <c r="E31" s="35">
        <v>200245.65746000002</v>
      </c>
      <c r="F31" s="33">
        <f>+E31/$E$20</f>
        <v>0.19752987822570833</v>
      </c>
      <c r="G31" s="33">
        <f>IF(C31=0,"",(E31-C31)/ABS(C31)+1)</f>
        <v>0.93028044886714711</v>
      </c>
      <c r="H31" s="35">
        <v>194905.08171999999</v>
      </c>
      <c r="I31" s="33">
        <f>+H31/$H$20</f>
        <v>0.21063766137491155</v>
      </c>
      <c r="J31" s="34">
        <f>IF(H31=0,"",(E31-H31)/ABS(H31))</f>
        <v>2.7400905573474393E-2</v>
      </c>
      <c r="K31" s="35">
        <v>1925179</v>
      </c>
      <c r="L31" s="33">
        <f>+K31/$K$20</f>
        <v>0.20478621190413152</v>
      </c>
      <c r="M31" s="35">
        <v>1737469.47664</v>
      </c>
      <c r="N31" s="33">
        <f>+M31/$M$20</f>
        <v>0.19586510744940031</v>
      </c>
      <c r="O31" s="33">
        <f>IF(K31=0,"",(M31-K31)/ABS(K31)+1)</f>
        <v>0.90249762574804737</v>
      </c>
      <c r="P31" s="35">
        <v>1724154.88221</v>
      </c>
      <c r="Q31" s="33">
        <f>+P31/$P$20</f>
        <v>0.19347147588661553</v>
      </c>
      <c r="R31" s="34">
        <f>IF(P31=0,"",(M31-P31)/ABS(P31))</f>
        <v>7.7223888453301689E-3</v>
      </c>
      <c r="S31" s="24"/>
    </row>
    <row r="32" spans="1:32" x14ac:dyDescent="0.2">
      <c r="B32" s="19" t="s">
        <v>53</v>
      </c>
      <c r="C32" s="35">
        <f>SUM(C30:C31)</f>
        <v>279083</v>
      </c>
      <c r="D32" s="33">
        <f>+C32/$C$20</f>
        <v>0.26483010839622362</v>
      </c>
      <c r="E32" s="35">
        <f>SUM(E30:E31)</f>
        <v>265929.21046000003</v>
      </c>
      <c r="F32" s="33">
        <f>+E32/$E$20</f>
        <v>0.2623226152572895</v>
      </c>
      <c r="G32" s="33">
        <f>IF(C32=0,"",(E32-C32)/ABS(C32)+1)</f>
        <v>0.95286782233242451</v>
      </c>
      <c r="H32" s="35">
        <f>SUM(H30:H31)</f>
        <v>254990.91207999998</v>
      </c>
      <c r="I32" s="33">
        <f>+H32/$H$20</f>
        <v>0.27557357108598884</v>
      </c>
      <c r="J32" s="34">
        <f>IF(H32=0,"",(E32-H32)/ABS(H32))</f>
        <v>4.2896816560145906E-2</v>
      </c>
      <c r="K32" s="35">
        <f>SUM(K30:K31)</f>
        <v>2473739</v>
      </c>
      <c r="L32" s="33">
        <f>+K32/$K$20</f>
        <v>0.2631379414846694</v>
      </c>
      <c r="M32" s="35">
        <f>SUM(M30:M31)</f>
        <v>2289515.5968300002</v>
      </c>
      <c r="N32" s="33">
        <f>+M32/$M$20</f>
        <v>0.25809732165620136</v>
      </c>
      <c r="O32" s="33">
        <f>IF(K32=0,"",(M32-K32)/ABS(K32)+1)</f>
        <v>0.92552835882443552</v>
      </c>
      <c r="P32" s="35">
        <f t="shared" ref="P32" si="10">SUM(P30:P31)</f>
        <v>2228444.9678400001</v>
      </c>
      <c r="Q32" s="33">
        <f>+P32/$P$20</f>
        <v>0.25005905287782254</v>
      </c>
      <c r="R32" s="34">
        <f>IF(P32=0,"",(M32-P32)/ABS(P32))</f>
        <v>2.740504247192382E-2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842140</v>
      </c>
      <c r="D34" s="33">
        <f>+C34/$C$20</f>
        <v>0.79913153966667905</v>
      </c>
      <c r="E34" s="35">
        <f>E28+E32</f>
        <v>819604.21270000003</v>
      </c>
      <c r="F34" s="33">
        <f>+E34/$E$20</f>
        <v>0.80848854542699933</v>
      </c>
      <c r="G34" s="33">
        <f>IF(C34=0,"",(E34-C34)/ABS(C34)+1)</f>
        <v>0.97323985643717204</v>
      </c>
      <c r="H34" s="35">
        <f>H28+H32</f>
        <v>774695.79807999998</v>
      </c>
      <c r="I34" s="33">
        <f>+H34/$H$20</f>
        <v>0.83722861274066684</v>
      </c>
      <c r="J34" s="34">
        <f>IF(H34=0,"",(E34-H34)/ABS(H34))</f>
        <v>5.7969095393702562E-2</v>
      </c>
      <c r="K34" s="35">
        <f>K28+K32</f>
        <v>7602505</v>
      </c>
      <c r="L34" s="33">
        <f>+K34/$K$20</f>
        <v>0.80869789247245027</v>
      </c>
      <c r="M34" s="35">
        <f>M28+M32</f>
        <v>7202130.1293399995</v>
      </c>
      <c r="N34" s="33">
        <f>+M34/$M$20</f>
        <v>0.81189684803885931</v>
      </c>
      <c r="O34" s="33">
        <f>IF(K34=0,"",(M34-K34)/ABS(K34)+1)</f>
        <v>0.94733645414767886</v>
      </c>
      <c r="P34" s="35">
        <f>P28+P32</f>
        <v>7204594.73807</v>
      </c>
      <c r="Q34" s="33">
        <f>+P34/$P$20</f>
        <v>0.80844452637148512</v>
      </c>
      <c r="R34" s="34">
        <f>IF(P34=0,"",(M34-P34)/ABS(P34))</f>
        <v>-3.420884615448439E-4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45409</v>
      </c>
      <c r="D36" s="44">
        <f>+C36/$C$20</f>
        <v>4.3089942390486413E-2</v>
      </c>
      <c r="E36" s="43">
        <f>E24-E34</f>
        <v>34924.397149999975</v>
      </c>
      <c r="F36" s="44">
        <f>+E36/$E$20</f>
        <v>3.4450744169190285E-2</v>
      </c>
      <c r="G36" s="44">
        <f>IF(C36=0,"",(E36-C36)/ABS(C36)+1)</f>
        <v>0.76910738289766289</v>
      </c>
      <c r="H36" s="43">
        <f>H24-H34</f>
        <v>46149.78012999997</v>
      </c>
      <c r="I36" s="44">
        <f>+H36/$H$20</f>
        <v>4.9874952842504858E-2</v>
      </c>
      <c r="J36" s="45">
        <f>IF(H36=0,"",(E36-H36)/ABS(H36))</f>
        <v>-0.2432380598212831</v>
      </c>
      <c r="K36" s="43">
        <f>K24-K34</f>
        <v>529105</v>
      </c>
      <c r="L36" s="44">
        <f>+K36/$K$20</f>
        <v>5.6282251494295082E-2</v>
      </c>
      <c r="M36" s="43">
        <f>+M24-M34</f>
        <v>490862.31777999923</v>
      </c>
      <c r="N36" s="44">
        <f>+M36/$M$20</f>
        <v>5.5334958056798035E-2</v>
      </c>
      <c r="O36" s="44">
        <f>IF(K36=0,"",(M36-K36)/ABS(K36)+1)</f>
        <v>0.92772194135379404</v>
      </c>
      <c r="P36" s="43">
        <f>P24-P34</f>
        <v>647912.15454000048</v>
      </c>
      <c r="Q36" s="44">
        <f>+P36/$P$20</f>
        <v>7.2703747254455206E-2</v>
      </c>
      <c r="R36" s="45">
        <f>IF(P36=0,"",(M36-P36)/ABS(P36))</f>
        <v>-0.24239371905517385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1459</v>
      </c>
      <c r="D38" s="33">
        <f>+C38/$C$20</f>
        <v>1.3844882280543433E-3</v>
      </c>
      <c r="E38" s="32">
        <v>234.43604999999999</v>
      </c>
      <c r="F38" s="33">
        <f>+E38/$E$20</f>
        <v>2.3125657253000021E-4</v>
      </c>
      <c r="G38" s="33">
        <f>IF(C38=0,"",(E38-C38)/ABS(C38)+1)</f>
        <v>0.16068269362577114</v>
      </c>
      <c r="H38" s="32">
        <v>117.60585</v>
      </c>
      <c r="I38" s="33">
        <f>+H38/$H$20</f>
        <v>1.270988985479421E-4</v>
      </c>
      <c r="J38" s="34">
        <f>IF(H38=0,"",(E38-H38)/ABS(H38))</f>
        <v>0.99340466481896939</v>
      </c>
      <c r="K38" s="32">
        <v>13131</v>
      </c>
      <c r="L38" s="33">
        <f>+K38/$K$20</f>
        <v>1.3967780390878723E-3</v>
      </c>
      <c r="M38" s="32">
        <v>6537.0072900000005</v>
      </c>
      <c r="N38" s="33">
        <f>+M38/$M$20</f>
        <v>7.3691748400058572E-4</v>
      </c>
      <c r="O38" s="33">
        <f>IF(K38=0,"",(M38-K38)/ABS(K38)+1)</f>
        <v>0.49783011880283301</v>
      </c>
      <c r="P38" s="32">
        <v>15613.537550000001</v>
      </c>
      <c r="Q38" s="33">
        <f>+P38/$P$20</f>
        <v>1.7520317836745623E-3</v>
      </c>
      <c r="R38" s="34">
        <f>IF(P38=0,"",(M38-P38)/ABS(P38))</f>
        <v>-0.58132439435546102</v>
      </c>
      <c r="S38" s="24"/>
    </row>
    <row r="39" spans="2:20" x14ac:dyDescent="0.2">
      <c r="B39" s="19" t="s">
        <v>57</v>
      </c>
      <c r="C39" s="32">
        <v>41534</v>
      </c>
      <c r="D39" s="33">
        <f>+C39/$C$20</f>
        <v>3.941284034544832E-2</v>
      </c>
      <c r="E39" s="32">
        <v>46248.784729999999</v>
      </c>
      <c r="F39" s="33">
        <f>+E39/$E$20</f>
        <v>4.5621547711359289E-2</v>
      </c>
      <c r="G39" s="33">
        <f>IF(C39=0,"",(E39-C39)/ABS(C39)+1)</f>
        <v>1.1135162693215197</v>
      </c>
      <c r="H39" s="32">
        <v>32734.293450000001</v>
      </c>
      <c r="I39" s="33">
        <f>+H39/$H$20</f>
        <v>3.5376578990246793E-2</v>
      </c>
      <c r="J39" s="34">
        <f>IF(H39=0,"",(E39-H39)/ABS(H39))</f>
        <v>0.41285422276313094</v>
      </c>
      <c r="K39" s="32">
        <v>341913</v>
      </c>
      <c r="L39" s="33">
        <f>+K39/$K$20</f>
        <v>3.637015990241807E-2</v>
      </c>
      <c r="M39" s="32">
        <v>337323.15145</v>
      </c>
      <c r="N39" s="33">
        <f>+M39/$M$20</f>
        <v>3.8026472517775411E-2</v>
      </c>
      <c r="O39" s="33">
        <f>IF(K39=0,"",(M39-K39)/ABS(K39)+1)</f>
        <v>0.98657597532120744</v>
      </c>
      <c r="P39" s="32">
        <v>285744.14931000001</v>
      </c>
      <c r="Q39" s="33">
        <f>+P39/$P$20</f>
        <v>3.2064023286649077E-2</v>
      </c>
      <c r="R39" s="34">
        <f>IF(P39=0,"",(M39-P39)/ABS(P39))</f>
        <v>0.18050764036481681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5334</v>
      </c>
      <c r="D41" s="33">
        <f>+C41/$C$20</f>
        <v>5.0615902730924379E-3</v>
      </c>
      <c r="E41" s="35">
        <f>E36+E38-E39</f>
        <v>-11089.951530000028</v>
      </c>
      <c r="F41" s="33">
        <f>+E41/$E$20</f>
        <v>-1.0939546969639004E-2</v>
      </c>
      <c r="G41" s="33">
        <f>IF(C41=0,"",(E41-C41)/ABS(C41)+1)</f>
        <v>-2.0791060236220522</v>
      </c>
      <c r="H41" s="35">
        <f>H36+H38-H39</f>
        <v>13533.092529999969</v>
      </c>
      <c r="I41" s="33">
        <f>+H41/$H$20</f>
        <v>1.462547275080601E-2</v>
      </c>
      <c r="J41" s="34">
        <f>IF(H41=0,"",(E41-H41)/ABS(H41))</f>
        <v>-1.8194691276525288</v>
      </c>
      <c r="K41" s="35">
        <f>K36+K38-K39</f>
        <v>200323</v>
      </c>
      <c r="L41" s="33">
        <f>+K41/$K$20</f>
        <v>2.1308869630964882E-2</v>
      </c>
      <c r="M41" s="35">
        <f>M36+M38-M39</f>
        <v>160076.1736199992</v>
      </c>
      <c r="N41" s="33">
        <f>+M41/$M$20</f>
        <v>1.8045403023023206E-2</v>
      </c>
      <c r="O41" s="33">
        <f>IF(K41=0,"",(M41-K41)/ABS(K41)+1)</f>
        <v>0.79909033720540923</v>
      </c>
      <c r="P41" s="35">
        <f>P36+P38-P39</f>
        <v>377781.54278000048</v>
      </c>
      <c r="Q41" s="33">
        <f>+P41/$P$20</f>
        <v>4.2391755751480686E-2</v>
      </c>
      <c r="R41" s="34">
        <f>IF(P41=0,"",(M41-P41)/ABS(P41))</f>
        <v>-0.57627317512116016</v>
      </c>
    </row>
    <row r="42" spans="2:20" x14ac:dyDescent="0.2">
      <c r="B42" s="19" t="s">
        <v>44</v>
      </c>
      <c r="C42" s="32">
        <v>-32360</v>
      </c>
      <c r="D42" s="33">
        <f>+C42/$C$20</f>
        <v>-3.070736056191813E-2</v>
      </c>
      <c r="E42" s="32">
        <v>-2494.3629999999998</v>
      </c>
      <c r="F42" s="33">
        <f>+E42/$E$20</f>
        <v>-2.4605338557173646E-3</v>
      </c>
      <c r="G42" s="33">
        <f>IF(C42=0,"",(E42-C42)/ABS(C42)+1)</f>
        <v>1.9229183250927071</v>
      </c>
      <c r="H42" s="32">
        <v>5946.0020000000004</v>
      </c>
      <c r="I42" s="33">
        <f>+H42/$H$20</f>
        <v>6.4259584447870647E-3</v>
      </c>
      <c r="J42" s="34">
        <f>IF(H42=0,"",(E42-H42)/ABS(H42))</f>
        <v>-1.4195025497805078</v>
      </c>
      <c r="K42" s="32">
        <v>92461.66</v>
      </c>
      <c r="L42" s="33">
        <f>+K42/$K$20</f>
        <v>9.8353831502253873E-3</v>
      </c>
      <c r="M42" s="32">
        <v>65439.807000000001</v>
      </c>
      <c r="N42" s="33">
        <f>+M42/$M$20</f>
        <v>7.3770359720562459E-3</v>
      </c>
      <c r="O42" s="33">
        <f>IF(K42=0,"",(M42-K42)/ABS(K42)+1)</f>
        <v>0.70775072608473599</v>
      </c>
      <c r="P42" s="32">
        <v>140378.15900000001</v>
      </c>
      <c r="Q42" s="33">
        <f>+P42/$P$20</f>
        <v>1.5752163500046875E-2</v>
      </c>
      <c r="R42" s="34">
        <f>IF(P42=0,"",(M42-P42)/ABS(P42))</f>
        <v>-0.53383199020297745</v>
      </c>
    </row>
    <row r="43" spans="2:20" x14ac:dyDescent="0.2">
      <c r="B43" s="42" t="s">
        <v>59</v>
      </c>
      <c r="C43" s="43">
        <f>C41-C42</f>
        <v>37694</v>
      </c>
      <c r="D43" s="44">
        <f>+C43/$C$20</f>
        <v>3.5768950835010568E-2</v>
      </c>
      <c r="E43" s="43">
        <f>E41-E42</f>
        <v>-8595.5885300000282</v>
      </c>
      <c r="F43" s="44">
        <f>+E43/$E$20</f>
        <v>-8.47901311392164E-3</v>
      </c>
      <c r="G43" s="44">
        <f>IF(C43=0,"",(E43-C43)/ABS(C43)+1)</f>
        <v>-0.2280359879556435</v>
      </c>
      <c r="H43" s="43">
        <f>H41-H42</f>
        <v>7587.0905299999686</v>
      </c>
      <c r="I43" s="44">
        <f>+H43/$H$20</f>
        <v>8.1995143060189461E-3</v>
      </c>
      <c r="J43" s="45">
        <f>IF(H43=0,"",(E43-H43)/ABS(H43))</f>
        <v>-2.1329228900080177</v>
      </c>
      <c r="K43" s="43">
        <f>+K41-K42</f>
        <v>107861.34</v>
      </c>
      <c r="L43" s="44">
        <f>+K43/$K$20</f>
        <v>1.1473486480739493E-2</v>
      </c>
      <c r="M43" s="43">
        <f>+M41-M42</f>
        <v>94636.3666199992</v>
      </c>
      <c r="N43" s="44">
        <f>+M43/$M$20</f>
        <v>1.066836705096696E-2</v>
      </c>
      <c r="O43" s="44">
        <f>IF(K43=0,"",(M43-K43)/ABS(K43)+1)</f>
        <v>0.87738912403646385</v>
      </c>
      <c r="P43" s="43">
        <f>+P41-P42</f>
        <v>237403.38378000047</v>
      </c>
      <c r="Q43" s="44">
        <f>+P43/$P$20</f>
        <v>2.6639592251433811E-2</v>
      </c>
      <c r="R43" s="45">
        <f>IF(P43=0,"",(M43-P43)/ABS(P43))</f>
        <v>-0.60136892274586173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94002</v>
      </c>
      <c r="D45" s="33">
        <f>+C45/$C$20</f>
        <v>8.9201276500044127E-2</v>
      </c>
      <c r="E45" s="32">
        <v>83605.606639999984</v>
      </c>
      <c r="F45" s="33">
        <f>+E45/$E$20</f>
        <v>8.2471727517409651E-2</v>
      </c>
      <c r="G45" s="33">
        <f>IF(C45=0,"",(E45-C45)/ABS(C45)+1)</f>
        <v>0.88940242377821732</v>
      </c>
      <c r="H45" s="32">
        <v>93956.239389999973</v>
      </c>
      <c r="I45" s="33">
        <f>+H45/$H$20</f>
        <v>0.10154031060679182</v>
      </c>
      <c r="J45" s="34">
        <f>IF(H45=0,"",(E45-H45)/ABS(H45))</f>
        <v>-0.11016440012074</v>
      </c>
      <c r="K45" s="32">
        <v>973118</v>
      </c>
      <c r="L45" s="33">
        <f>+K45/$K$20</f>
        <v>0.10351304941292454</v>
      </c>
      <c r="M45" s="32">
        <v>926441.9209899992</v>
      </c>
      <c r="N45" s="33">
        <f>+M45/$M$20</f>
        <v>0.10443789018454951</v>
      </c>
      <c r="O45" s="33">
        <f>IF(K45=0,"",(M45-K45)/ABS(K45)+1)</f>
        <v>0.95203451276206918</v>
      </c>
      <c r="P45" s="32">
        <v>1078379.3832800004</v>
      </c>
      <c r="Q45" s="33">
        <f>+P45/$P$20</f>
        <v>0.12100748778523504</v>
      </c>
      <c r="R45" s="34">
        <f>IF(P45=0,"",(M45-P45)/ABS(P45))</f>
        <v>-0.14089425729548724</v>
      </c>
      <c r="T45" s="40"/>
    </row>
    <row r="46" spans="2:20" x14ac:dyDescent="0.2">
      <c r="B46" s="19" t="s">
        <v>35</v>
      </c>
      <c r="C46" s="32">
        <v>444190</v>
      </c>
      <c r="D46" s="34">
        <f t="shared" ref="D46" si="11">+C46/$C$20</f>
        <v>0.42150502126076678</v>
      </c>
      <c r="E46" s="32">
        <v>458033.90700000001</v>
      </c>
      <c r="F46" s="34">
        <f>+E46/$E$20</f>
        <v>0.45182194221129762</v>
      </c>
      <c r="G46" s="34">
        <f>IF(C46=0,"",(E46-C46)/ABS(C46)+1)</f>
        <v>1.0311666336477634</v>
      </c>
      <c r="H46" s="32">
        <v>401754.95299999998</v>
      </c>
      <c r="I46" s="34">
        <f t="shared" ref="I46" si="12">+H46/$H$20</f>
        <v>0.4341842860068631</v>
      </c>
      <c r="J46" s="34">
        <f>IF(H46=0,"",(E46-H46)/ABS(H46))</f>
        <v>0.14008278822638442</v>
      </c>
      <c r="K46" s="32">
        <v>4074746</v>
      </c>
      <c r="L46" s="34">
        <f t="shared" ref="L46" si="13">+K46/$K$20</f>
        <v>0.43344114901082564</v>
      </c>
      <c r="M46" s="32">
        <v>4121058.79</v>
      </c>
      <c r="N46" s="34">
        <f>+M46/$M$20</f>
        <v>0.46456736855578723</v>
      </c>
      <c r="O46" s="34">
        <f>IF(K46=0,"",(M46-K46)/ABS(K46)+1)</f>
        <v>1.011365810286089</v>
      </c>
      <c r="P46" s="32">
        <v>3845246.6</v>
      </c>
      <c r="Q46" s="34">
        <f t="shared" ref="Q46" si="14">+P46/$P$20</f>
        <v>0.43148416799795292</v>
      </c>
      <c r="R46" s="34">
        <f>IF(P46=0,"",(M46-P46)/ABS(P46))</f>
        <v>7.1728088908524085E-2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1EAA-EBC0-4845-A1FA-CC743FEBBA6F}">
  <sheetPr>
    <tabColor theme="2" tint="-0.499984740745262"/>
  </sheetPr>
  <dimension ref="A1:AI56"/>
  <sheetViews>
    <sheetView showGridLines="0" topLeftCell="F1" zoomScale="95" zoomScaleNormal="95" workbookViewId="0">
      <selection activeCell="AB10" sqref="AB10:AB30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2" width="9.7109375" style="2" bestFit="1" customWidth="1"/>
    <col min="23" max="23" width="14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SEPTIEMBRE de 2025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SEPTIEMBRE de 2025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2025</v>
      </c>
      <c r="F7" s="61" t="str">
        <f>"Real "&amp;Paramet!F3</f>
        <v>Real 2025</v>
      </c>
      <c r="G7" s="62" t="s">
        <v>24</v>
      </c>
      <c r="I7" s="61" t="str">
        <f>"Real "&amp;Paramet!F4</f>
        <v>Real 2024</v>
      </c>
      <c r="J7" s="62" t="s">
        <v>25</v>
      </c>
      <c r="K7" s="62"/>
      <c r="L7" s="61" t="str">
        <f>+D7</f>
        <v>Ppto 2025</v>
      </c>
      <c r="M7" s="62"/>
      <c r="N7" s="61" t="str">
        <f>+F7</f>
        <v>Real 2025</v>
      </c>
      <c r="O7" s="62" t="s">
        <v>24</v>
      </c>
      <c r="P7" s="62" t="str">
        <f>+I7</f>
        <v>Real 2024</v>
      </c>
      <c r="Q7" s="62"/>
      <c r="R7" s="62" t="s">
        <v>25</v>
      </c>
      <c r="S7" s="63"/>
      <c r="U7" s="61" t="str">
        <f>+D7</f>
        <v>Ppto 2025</v>
      </c>
      <c r="V7" s="61" t="str">
        <f>+N7</f>
        <v>Real 2025</v>
      </c>
      <c r="W7" s="61" t="str">
        <f>+I7</f>
        <v>Real 2024</v>
      </c>
      <c r="X7" s="61" t="str">
        <f>+U7</f>
        <v>Ppto 2025</v>
      </c>
      <c r="Y7" s="61" t="str">
        <f>+V7</f>
        <v>Real 2025</v>
      </c>
      <c r="Z7" s="61" t="s">
        <v>26</v>
      </c>
      <c r="AA7" s="61" t="s">
        <v>24</v>
      </c>
      <c r="AB7" s="61" t="str">
        <f>+W7</f>
        <v>Real 2024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350308</v>
      </c>
      <c r="D10" s="34">
        <f t="shared" ref="D10:D15" si="0">+C10/$C$20</f>
        <v>0.33241761630792382</v>
      </c>
      <c r="E10" s="32">
        <v>362179.95</v>
      </c>
      <c r="F10" s="34">
        <f t="shared" ref="F10:F20" si="1">+E10/$E$20</f>
        <v>0.36145503926782208</v>
      </c>
      <c r="G10" s="34">
        <f t="shared" ref="G10:G20" si="2">IF(C10=0,"",(E10-C10)/ABS(C10)+1)</f>
        <v>1.0338900339130137</v>
      </c>
      <c r="H10" s="32">
        <v>357932.13699999999</v>
      </c>
      <c r="I10" s="34">
        <f t="shared" ref="I10:I18" si="3">+H10/$H$20</f>
        <v>0.39364282751683738</v>
      </c>
      <c r="J10" s="34">
        <f t="shared" ref="J10:J20" si="4">IF(H10=0,"",(E10-H10)/ABS(H10))</f>
        <v>1.1867649090140302E-2</v>
      </c>
      <c r="K10" s="32">
        <v>3441333</v>
      </c>
      <c r="L10" s="34">
        <f t="shared" ref="L10:L46" si="5">+K10/$K$20</f>
        <v>0.36624540281978479</v>
      </c>
      <c r="M10" s="32">
        <v>3517550.4309999999</v>
      </c>
      <c r="N10" s="34">
        <f t="shared" ref="N10:N20" si="6">+M10/$M$20</f>
        <v>0.40233841450695024</v>
      </c>
      <c r="O10" s="34">
        <f t="shared" ref="O10:O19" si="7">IF(K10=0,"",(M10-K10)/ABS(K10)+1)</f>
        <v>1.0221476477283657</v>
      </c>
      <c r="P10" s="32">
        <v>3398884.9470000002</v>
      </c>
      <c r="Q10" s="34">
        <f t="shared" ref="Q10:Q46" si="8">+P10/$P$20</f>
        <v>0.38905225022790091</v>
      </c>
      <c r="R10" s="34">
        <f t="shared" ref="R10:R18" si="9">IF(P10=0,"",(M10-P10)/ABS(P10))</f>
        <v>3.4913062916336397E-2</v>
      </c>
      <c r="S10" s="67"/>
      <c r="T10" s="3" t="s">
        <v>31</v>
      </c>
      <c r="U10" s="32">
        <f>+V10</f>
        <v>146778</v>
      </c>
      <c r="V10" s="32">
        <v>146778</v>
      </c>
      <c r="W10" s="32">
        <v>61692</v>
      </c>
      <c r="X10" s="32">
        <v>125133</v>
      </c>
      <c r="Y10" s="32">
        <v>125133</v>
      </c>
      <c r="Z10" s="63">
        <f>+Y10-X10</f>
        <v>0</v>
      </c>
      <c r="AA10" s="68">
        <f>IF(X10=0,"",(Y10-X10)/ABS(X10)+1)</f>
        <v>1</v>
      </c>
      <c r="AB10" s="32">
        <v>45751</v>
      </c>
      <c r="AC10" s="34">
        <f>IF(W10=0,"",(Y10-AB10)/ABS(AB10))</f>
        <v>1.7350877576446417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75908</v>
      </c>
      <c r="D11" s="34">
        <f t="shared" si="0"/>
        <v>7.2031345041226241E-2</v>
      </c>
      <c r="E11" s="32">
        <v>63943.669000000002</v>
      </c>
      <c r="F11" s="34">
        <f t="shared" si="1"/>
        <v>6.3815684411364065E-2</v>
      </c>
      <c r="G11" s="34">
        <f t="shared" si="2"/>
        <v>0.84238379353954795</v>
      </c>
      <c r="H11" s="32">
        <v>15653.847</v>
      </c>
      <c r="I11" s="34">
        <f t="shared" si="3"/>
        <v>1.7215622621212026E-2</v>
      </c>
      <c r="J11" s="34">
        <f t="shared" si="4"/>
        <v>3.0848533271086653</v>
      </c>
      <c r="K11" s="32">
        <v>592082</v>
      </c>
      <c r="L11" s="34">
        <f t="shared" si="5"/>
        <v>6.3012591513911559E-2</v>
      </c>
      <c r="M11" s="32">
        <v>362876.30900000001</v>
      </c>
      <c r="N11" s="34">
        <f t="shared" si="6"/>
        <v>4.1505894994002479E-2</v>
      </c>
      <c r="O11" s="34">
        <f t="shared" si="7"/>
        <v>0.6128818457578511</v>
      </c>
      <c r="P11" s="32">
        <v>473483.15</v>
      </c>
      <c r="Q11" s="34">
        <f t="shared" si="8"/>
        <v>5.4197093407085173E-2</v>
      </c>
      <c r="R11" s="34">
        <f t="shared" si="9"/>
        <v>-0.23360248617083842</v>
      </c>
      <c r="S11" s="67"/>
      <c r="T11" s="3" t="s">
        <v>32</v>
      </c>
      <c r="U11" s="32">
        <v>1260437.99025</v>
      </c>
      <c r="V11" s="32">
        <v>1260437.99025</v>
      </c>
      <c r="W11" s="32">
        <v>1104453.98281</v>
      </c>
      <c r="X11" s="32">
        <v>10330047.409559999</v>
      </c>
      <c r="Y11" s="32">
        <v>10330047.409559999</v>
      </c>
      <c r="Z11" s="63">
        <f>+Y11-X11</f>
        <v>0</v>
      </c>
      <c r="AA11" s="68">
        <f>IF(X11=0,"",(Y11-X11)/ABS(X11)+1)</f>
        <v>1</v>
      </c>
      <c r="AB11" s="32">
        <v>10053892.64625</v>
      </c>
      <c r="AC11" s="34">
        <f>IF(AB11=0,"",(Y11-AB11)/ABS(AB11))</f>
        <v>2.746744699059437E-2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64744</v>
      </c>
      <c r="D12" s="34">
        <f t="shared" si="0"/>
        <v>6.1437495433276493E-2</v>
      </c>
      <c r="E12" s="32">
        <v>54737.114000000001</v>
      </c>
      <c r="F12" s="34">
        <f t="shared" si="1"/>
        <v>5.4627556523427795E-2</v>
      </c>
      <c r="G12" s="34">
        <f t="shared" si="2"/>
        <v>0.84543917583096506</v>
      </c>
      <c r="H12" s="32">
        <v>61835.048999999999</v>
      </c>
      <c r="I12" s="34">
        <f t="shared" si="3"/>
        <v>6.8004297496209981E-2</v>
      </c>
      <c r="J12" s="34">
        <f t="shared" si="4"/>
        <v>-0.11478821663099188</v>
      </c>
      <c r="K12" s="32">
        <v>631400</v>
      </c>
      <c r="L12" s="34">
        <f t="shared" si="5"/>
        <v>6.7197027239273885E-2</v>
      </c>
      <c r="M12" s="32">
        <v>527758.14899999998</v>
      </c>
      <c r="N12" s="34">
        <f t="shared" si="6"/>
        <v>6.0365126549562415E-2</v>
      </c>
      <c r="O12" s="34">
        <f t="shared" si="7"/>
        <v>0.83585389452011394</v>
      </c>
      <c r="P12" s="32">
        <v>596641.24</v>
      </c>
      <c r="Q12" s="34">
        <f t="shared" si="8"/>
        <v>6.8294343768725715E-2</v>
      </c>
      <c r="R12" s="34">
        <f t="shared" si="9"/>
        <v>-0.11545144113739107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130295</v>
      </c>
      <c r="D13" s="34">
        <f t="shared" si="0"/>
        <v>0.12364077702148092</v>
      </c>
      <c r="E13" s="32">
        <v>96530.911999999997</v>
      </c>
      <c r="F13" s="34">
        <f t="shared" si="1"/>
        <v>9.6337703364083718E-2</v>
      </c>
      <c r="G13" s="34">
        <f t="shared" si="2"/>
        <v>0.74086428489197587</v>
      </c>
      <c r="H13" s="32">
        <v>69114.36768000001</v>
      </c>
      <c r="I13" s="34">
        <f t="shared" si="3"/>
        <v>7.6009869758058429E-2</v>
      </c>
      <c r="J13" s="34">
        <f t="shared" si="4"/>
        <v>0.39668371773201733</v>
      </c>
      <c r="K13" s="32">
        <v>1012253</v>
      </c>
      <c r="L13" s="34">
        <f t="shared" si="5"/>
        <v>0.10772947800766029</v>
      </c>
      <c r="M13" s="32">
        <v>791370.82499999995</v>
      </c>
      <c r="N13" s="34">
        <f t="shared" si="6"/>
        <v>9.0517219088466619E-2</v>
      </c>
      <c r="O13" s="34">
        <f t="shared" si="7"/>
        <v>0.78179153334196094</v>
      </c>
      <c r="P13" s="32">
        <v>878136.70117999997</v>
      </c>
      <c r="Q13" s="34">
        <f t="shared" si="8"/>
        <v>0.10051562936937058</v>
      </c>
      <c r="R13" s="34">
        <f t="shared" si="9"/>
        <v>-9.880679860368892E-2</v>
      </c>
      <c r="S13" s="67"/>
      <c r="T13" s="3" t="s">
        <v>33</v>
      </c>
      <c r="U13" s="32">
        <v>277768.51199999999</v>
      </c>
      <c r="V13" s="32">
        <v>277768.51199999999</v>
      </c>
      <c r="W13" s="32">
        <v>161119.772</v>
      </c>
      <c r="X13" s="32">
        <v>1894329.3359999999</v>
      </c>
      <c r="Y13" s="32">
        <v>1894329.3359999999</v>
      </c>
      <c r="Z13" s="63">
        <f>+X13-Y13</f>
        <v>0</v>
      </c>
      <c r="AA13" s="68">
        <f>IF(X13=0,"",(Y13-X13)/ABS(X13)+1)</f>
        <v>1</v>
      </c>
      <c r="AB13" s="32">
        <v>1625586.6129999999</v>
      </c>
      <c r="AC13" s="34">
        <f>IF(AB13=0,"",(Y13-AB13)/ABS(AB13))</f>
        <v>0.16532045776634358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8229.6</v>
      </c>
      <c r="V14" s="32">
        <v>8229.6</v>
      </c>
      <c r="W14" s="32">
        <v>11798.825000000001</v>
      </c>
      <c r="X14" s="32">
        <v>92216.994000000006</v>
      </c>
      <c r="Y14" s="32">
        <v>92216.994000000006</v>
      </c>
      <c r="Z14" s="63">
        <f>+X14-Y14</f>
        <v>0</v>
      </c>
      <c r="AA14" s="68">
        <f>IF(X14=0,"",(Y14-X14)/ABS(X14)+1)</f>
        <v>1</v>
      </c>
      <c r="AB14" s="32">
        <v>111923.55100000001</v>
      </c>
      <c r="AC14" s="34">
        <f>IF(AB14=0,"",(Y14-AB14)/ABS(AB14))</f>
        <v>-0.17607158479094359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142199</v>
      </c>
      <c r="D15" s="34">
        <f t="shared" si="0"/>
        <v>0.13493683450383795</v>
      </c>
      <c r="E15" s="32">
        <v>121232.451</v>
      </c>
      <c r="F15" s="34">
        <f t="shared" si="1"/>
        <v>0.12098980171801148</v>
      </c>
      <c r="G15" s="34">
        <f t="shared" si="2"/>
        <v>0.85255487731981239</v>
      </c>
      <c r="H15" s="32">
        <v>125389.925</v>
      </c>
      <c r="I15" s="34">
        <f t="shared" si="3"/>
        <v>0.13790000817703657</v>
      </c>
      <c r="J15" s="34">
        <f t="shared" si="4"/>
        <v>-3.3156364038019817E-2</v>
      </c>
      <c r="K15" s="32">
        <v>1206457</v>
      </c>
      <c r="L15" s="34">
        <f t="shared" si="5"/>
        <v>0.12839772551791678</v>
      </c>
      <c r="M15" s="32">
        <v>1053368.0789999999</v>
      </c>
      <c r="N15" s="34">
        <f t="shared" si="6"/>
        <v>0.12048453920150545</v>
      </c>
      <c r="O15" s="34">
        <f t="shared" si="7"/>
        <v>0.87310868020990384</v>
      </c>
      <c r="P15" s="32">
        <v>1194058.2930000001</v>
      </c>
      <c r="Q15" s="34">
        <f t="shared" si="8"/>
        <v>0.13667749071793933</v>
      </c>
      <c r="R15" s="34">
        <f t="shared" si="9"/>
        <v>-0.11782524758194543</v>
      </c>
      <c r="S15" s="67"/>
      <c r="T15" s="3" t="s">
        <v>35</v>
      </c>
      <c r="U15" s="32">
        <v>428079.92099999997</v>
      </c>
      <c r="V15" s="32">
        <v>428079.92099999997</v>
      </c>
      <c r="W15" s="32">
        <v>413088.85700000002</v>
      </c>
      <c r="X15" s="32">
        <v>4279313.4850000003</v>
      </c>
      <c r="Y15" s="32">
        <v>4279313.4850000003</v>
      </c>
      <c r="Z15" s="63">
        <f>+X15-Y15</f>
        <v>0</v>
      </c>
      <c r="AA15" s="68">
        <f>IF(X15=0,"",(Y15-X15)/ABS(X15)+1)</f>
        <v>1</v>
      </c>
      <c r="AB15" s="32">
        <v>4036842.4920000001</v>
      </c>
      <c r="AC15" s="34">
        <f>IF(AB15=0,"",(Y15-AB15)/ABS(AB15))</f>
        <v>6.00645166316289E-2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244816.53349</v>
      </c>
      <c r="V16" s="32">
        <v>244816.53349</v>
      </c>
      <c r="W16" s="32">
        <v>185478.21786999999</v>
      </c>
      <c r="X16" s="32">
        <v>2046588.07996</v>
      </c>
      <c r="Y16" s="32">
        <v>2046588.07996</v>
      </c>
      <c r="Z16" s="63">
        <f>+X16-Y16</f>
        <v>0</v>
      </c>
      <c r="AA16" s="68">
        <f>IF(X16=0,"",(Y16-X16)/ABS(X16)+1)</f>
        <v>1</v>
      </c>
      <c r="AB16" s="32">
        <v>2208600.9486799999</v>
      </c>
      <c r="AC16" s="34">
        <f>IF(AB16=0,"",(Y16-AB16)/ABS(AB16))</f>
        <v>-7.3355428384122123E-2</v>
      </c>
      <c r="AD16" s="53"/>
      <c r="AE16" s="53"/>
      <c r="AF16" s="53"/>
      <c r="AG16" s="53"/>
      <c r="AH16" s="53"/>
      <c r="AI16" s="55"/>
    </row>
    <row r="17" spans="1:35" x14ac:dyDescent="0.2">
      <c r="A17" s="38" t="s">
        <v>76</v>
      </c>
      <c r="B17" s="3" t="s">
        <v>77</v>
      </c>
      <c r="C17" s="32">
        <v>19552</v>
      </c>
      <c r="D17" s="34">
        <f>+C17/$C$20</f>
        <v>1.8553470757312215E-2</v>
      </c>
      <c r="E17" s="32">
        <v>16260.32</v>
      </c>
      <c r="F17" s="34">
        <f t="shared" si="1"/>
        <v>1.6227774630007408E-2</v>
      </c>
      <c r="G17" s="34">
        <f t="shared" si="2"/>
        <v>0.8316448445171849</v>
      </c>
      <c r="H17" s="32">
        <v>23365.808000000001</v>
      </c>
      <c r="I17" s="34">
        <f t="shared" si="3"/>
        <v>2.5697001687041976E-2</v>
      </c>
      <c r="J17" s="34">
        <f t="shared" si="4"/>
        <v>-0.30409767982344121</v>
      </c>
      <c r="K17" s="32">
        <v>152858</v>
      </c>
      <c r="L17" s="34">
        <f t="shared" si="5"/>
        <v>1.6267980978367007E-2</v>
      </c>
      <c r="M17" s="32">
        <v>162848.40299999999</v>
      </c>
      <c r="N17" s="34">
        <f t="shared" si="6"/>
        <v>1.8626646455608097E-2</v>
      </c>
      <c r="O17" s="34">
        <f t="shared" si="7"/>
        <v>1.0653574101453636</v>
      </c>
      <c r="P17" s="32">
        <v>149371.514</v>
      </c>
      <c r="Q17" s="34">
        <f t="shared" si="8"/>
        <v>1.7097761338741899E-2</v>
      </c>
      <c r="R17" s="34">
        <f t="shared" si="9"/>
        <v>9.0223956624018664E-2</v>
      </c>
      <c r="S17" s="67"/>
      <c r="T17" s="3" t="s">
        <v>37</v>
      </c>
      <c r="U17" s="32">
        <f t="shared" ref="U17:X17" si="10">SUM(U13:U16)</f>
        <v>958894.56648999988</v>
      </c>
      <c r="V17" s="32">
        <f>SUM(V13:V16)</f>
        <v>958894.56648999988</v>
      </c>
      <c r="W17" s="32">
        <v>771485.67186999996</v>
      </c>
      <c r="X17" s="32">
        <f t="shared" si="10"/>
        <v>8312447.8949600002</v>
      </c>
      <c r="Y17" s="32">
        <f>SUM(Y13:Y16)</f>
        <v>8312447.8949600002</v>
      </c>
      <c r="Z17" s="63">
        <f>+Y17-X17</f>
        <v>0</v>
      </c>
      <c r="AA17" s="68">
        <f>IF(X17=0,"",(Y17-X17)/ABS(X17)+1)</f>
        <v>1</v>
      </c>
      <c r="AB17" s="32">
        <v>7982953.6046799999</v>
      </c>
      <c r="AC17" s="34">
        <f>IF(AB17=0,"",(Y17-AB17)/ABS(AB17))</f>
        <v>4.1274734465052455E-2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78</v>
      </c>
      <c r="B18" s="3" t="s">
        <v>79</v>
      </c>
      <c r="C18" s="32">
        <v>240403</v>
      </c>
      <c r="D18" s="41">
        <f t="shared" ref="D18:D46" si="11">+C18/$C$20</f>
        <v>0.22812551301504339</v>
      </c>
      <c r="E18" s="32">
        <v>254778.03599999999</v>
      </c>
      <c r="F18" s="34">
        <f t="shared" si="1"/>
        <v>0.25426809244122589</v>
      </c>
      <c r="G18" s="34">
        <f t="shared" si="2"/>
        <v>1.0597955765943021</v>
      </c>
      <c r="H18" s="32">
        <v>200480.20499999999</v>
      </c>
      <c r="I18" s="34">
        <f t="shared" si="3"/>
        <v>0.22048200370830406</v>
      </c>
      <c r="J18" s="41">
        <f t="shared" si="4"/>
        <v>0.27083886411628522</v>
      </c>
      <c r="K18" s="32">
        <v>1941617</v>
      </c>
      <c r="L18" s="34">
        <f t="shared" si="5"/>
        <v>0.20663745713848153</v>
      </c>
      <c r="M18" s="32">
        <v>1908441.9369999999</v>
      </c>
      <c r="N18" s="34">
        <f t="shared" si="6"/>
        <v>0.21828812924591529</v>
      </c>
      <c r="O18" s="34">
        <f t="shared" si="7"/>
        <v>0.98291369358632519</v>
      </c>
      <c r="P18" s="32">
        <v>1541696.2009999999</v>
      </c>
      <c r="Q18" s="34">
        <f t="shared" si="8"/>
        <v>0.17646974979140304</v>
      </c>
      <c r="R18" s="41">
        <f t="shared" si="9"/>
        <v>0.23788456880292985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80</v>
      </c>
      <c r="B19" s="3" t="s">
        <v>81</v>
      </c>
      <c r="C19" s="32">
        <v>30410</v>
      </c>
      <c r="D19" s="34">
        <f t="shared" si="11"/>
        <v>2.8856947919898956E-2</v>
      </c>
      <c r="E19" s="32">
        <v>32343.082999999999</v>
      </c>
      <c r="F19" s="34">
        <f t="shared" si="1"/>
        <v>3.2278347644057674E-2</v>
      </c>
      <c r="G19" s="34">
        <f t="shared" si="2"/>
        <v>1.0635673462676751</v>
      </c>
      <c r="H19" s="32">
        <v>55510.152000000002</v>
      </c>
      <c r="I19" s="34"/>
      <c r="J19" s="34">
        <f t="shared" si="4"/>
        <v>-0.41734832576210568</v>
      </c>
      <c r="K19" s="32">
        <v>418249</v>
      </c>
      <c r="L19" s="34">
        <f t="shared" si="5"/>
        <v>4.4512336784604152E-2</v>
      </c>
      <c r="M19" s="32">
        <v>418551.42</v>
      </c>
      <c r="N19" s="34">
        <f t="shared" si="6"/>
        <v>4.7874029957989429E-2</v>
      </c>
      <c r="O19" s="34">
        <f t="shared" si="7"/>
        <v>1.0007230620993715</v>
      </c>
      <c r="P19" s="32">
        <v>504047.93400000001</v>
      </c>
      <c r="Q19" s="34">
        <f t="shared" si="8"/>
        <v>5.7695681378833234E-2</v>
      </c>
      <c r="R19" s="34"/>
      <c r="S19" s="67"/>
      <c r="T19" s="3" t="s">
        <v>38</v>
      </c>
      <c r="U19" s="32">
        <f>U11-U17</f>
        <v>301543.42376000015</v>
      </c>
      <c r="V19" s="32">
        <f>V11-V17</f>
        <v>301543.42376000015</v>
      </c>
      <c r="W19" s="32">
        <v>332968.31094</v>
      </c>
      <c r="X19" s="32">
        <f>X11-X17</f>
        <v>2017599.5145999985</v>
      </c>
      <c r="Y19" s="32">
        <f>Y11-Y17</f>
        <v>2017599.5145999985</v>
      </c>
      <c r="Z19" s="32">
        <f>+Y19-X19</f>
        <v>0</v>
      </c>
      <c r="AA19" s="68">
        <f>IF(X19=0,"",(Y19-X19)/ABS(X19)+1)</f>
        <v>1</v>
      </c>
      <c r="AB19" s="32">
        <v>2070939.0415700004</v>
      </c>
      <c r="AC19" s="34">
        <f>IF(AB19=0,"",(Y19-AB19)/ABS(AB19))</f>
        <v>-2.5756203296821628E-2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1053819</v>
      </c>
      <c r="D20" s="45">
        <f t="shared" si="11"/>
        <v>1</v>
      </c>
      <c r="E20" s="69">
        <f>SUM(E10:E19)</f>
        <v>1002005.5349999999</v>
      </c>
      <c r="F20" s="45">
        <f t="shared" si="1"/>
        <v>1</v>
      </c>
      <c r="G20" s="45">
        <f t="shared" si="2"/>
        <v>0.95083267145496519</v>
      </c>
      <c r="H20" s="69">
        <f>SUM(H10:H19)</f>
        <v>909281.49067999993</v>
      </c>
      <c r="I20" s="45">
        <f>+H22/$H$22</f>
        <v>1</v>
      </c>
      <c r="J20" s="45">
        <f t="shared" si="4"/>
        <v>0.10197507072387116</v>
      </c>
      <c r="K20" s="69">
        <f>SUM(K10:K19)</f>
        <v>9396249</v>
      </c>
      <c r="L20" s="45">
        <f t="shared" si="5"/>
        <v>1</v>
      </c>
      <c r="M20" s="69">
        <f>SUM(M10:M19)</f>
        <v>8742765.5529999994</v>
      </c>
      <c r="N20" s="45">
        <f t="shared" si="6"/>
        <v>1</v>
      </c>
      <c r="O20" s="45">
        <f>IF(K20=0,"",(M20-K20)/ABS(K20)+1)</f>
        <v>0.9304527320423287</v>
      </c>
      <c r="P20" s="69">
        <f>SUM(P10:P19)</f>
        <v>8736319.9801800009</v>
      </c>
      <c r="Q20" s="45">
        <f t="shared" si="8"/>
        <v>1</v>
      </c>
      <c r="R20" s="45">
        <f>IF(P20=0,"",(M20-P20)/ABS(P20))</f>
        <v>7.377903779419129E-4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448321.42376000015</v>
      </c>
      <c r="V21" s="32">
        <f>+V10+V19</f>
        <v>448321.42376000015</v>
      </c>
      <c r="W21" s="32">
        <v>394660.31094</v>
      </c>
      <c r="X21" s="32">
        <f>+X10+X19</f>
        <v>2142732.5145999985</v>
      </c>
      <c r="Y21" s="32">
        <f>+Y10+Y19</f>
        <v>2142732.5145999985</v>
      </c>
      <c r="Z21" s="63">
        <f>+Y21-X21</f>
        <v>0</v>
      </c>
      <c r="AA21" s="68">
        <f>IF(X21=0,"",(Y21-X21)/ABS(X21)+1)</f>
        <v>1</v>
      </c>
      <c r="AB21" s="32">
        <v>2116690.0415700004</v>
      </c>
      <c r="AC21" s="34">
        <f>IF(AB21=0,"",(Y21-AB21)/ABS(AB21))</f>
        <v>1.23033946957495E-2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166270</v>
      </c>
      <c r="D22" s="34">
        <f t="shared" si="11"/>
        <v>0.1577785179428346</v>
      </c>
      <c r="E22" s="32">
        <v>158744.96215000001</v>
      </c>
      <c r="F22" s="34">
        <f>+E22/$E$20</f>
        <v>0.1584272307936902</v>
      </c>
      <c r="G22" s="34">
        <f>IF(C22=0,"",(E22-C22)/ABS(C22)+1)</f>
        <v>0.95474205900042108</v>
      </c>
      <c r="H22" s="32">
        <v>103089.34367</v>
      </c>
      <c r="I22" s="34">
        <f t="shared" ref="I22:I46" si="12">+H22/$H$20</f>
        <v>0.11337451023324509</v>
      </c>
      <c r="J22" s="34">
        <f>IF(H22=0,"",(E22-H22)/ABS(H22))</f>
        <v>0.53987751302559051</v>
      </c>
      <c r="K22" s="32">
        <v>1269311</v>
      </c>
      <c r="L22" s="34">
        <f t="shared" si="5"/>
        <v>0.13508699056400059</v>
      </c>
      <c r="M22" s="32">
        <v>1174600.8391700001</v>
      </c>
      <c r="N22" s="34">
        <f>+M22/$M$20</f>
        <v>0.13435117664420804</v>
      </c>
      <c r="O22" s="34">
        <f>IF(K22=0,"",(M22-K22)/ABS(K22)+1)</f>
        <v>0.92538458988380312</v>
      </c>
      <c r="P22" s="32">
        <v>1051009.3627200001</v>
      </c>
      <c r="Q22" s="34">
        <f t="shared" si="8"/>
        <v>0.1203034418501628</v>
      </c>
      <c r="R22" s="34">
        <f>IF(P22=0,"",(M22-P22)/ABS(P22))</f>
        <v>0.11759312603091056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73273.403870000009</v>
      </c>
      <c r="V23" s="32">
        <v>73273.403870000009</v>
      </c>
      <c r="W23" s="32">
        <v>78405.248999999996</v>
      </c>
      <c r="X23" s="32">
        <v>84069.803870000003</v>
      </c>
      <c r="Y23" s="32">
        <v>84069.803870000003</v>
      </c>
      <c r="Z23" s="63">
        <f>+Y23-X23</f>
        <v>0</v>
      </c>
      <c r="AA23" s="68">
        <f>IF(X23=0,"",(Y23-X23)/ABS(X23)+1)</f>
        <v>1</v>
      </c>
      <c r="AB23" s="32">
        <v>296409.53014999995</v>
      </c>
      <c r="AC23" s="34">
        <f>IF(AB23=0,"",(Y23-AB23)/ABS(AB23))</f>
        <v>-0.71637280411511761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887549</v>
      </c>
      <c r="D24" s="34">
        <f t="shared" si="11"/>
        <v>0.8422214820571654</v>
      </c>
      <c r="E24" s="32">
        <f>+E20-E22</f>
        <v>843260.57284999988</v>
      </c>
      <c r="F24" s="34">
        <f>+E24/$E$20</f>
        <v>0.84157276920630975</v>
      </c>
      <c r="G24" s="34">
        <f>IF(C24=0,"",(E24-C24)/ABS(C24)+1)</f>
        <v>0.95010030189882455</v>
      </c>
      <c r="H24" s="32">
        <f>+H20-H22</f>
        <v>806192.14700999996</v>
      </c>
      <c r="I24" s="34">
        <f t="shared" si="12"/>
        <v>0.88662548976675493</v>
      </c>
      <c r="J24" s="34">
        <f>IF(H24=0,"",(E24-H24)/ABS(H24))</f>
        <v>4.5979641426028589E-2</v>
      </c>
      <c r="K24" s="32">
        <f>+K20-K22</f>
        <v>8126938</v>
      </c>
      <c r="L24" s="34">
        <f t="shared" si="5"/>
        <v>0.86491300943599936</v>
      </c>
      <c r="M24" s="32">
        <f>+M20-M22</f>
        <v>7568164.7138299998</v>
      </c>
      <c r="N24" s="34">
        <f>+M24/$M$20</f>
        <v>0.86564882335579207</v>
      </c>
      <c r="O24" s="34">
        <f>IF(K24=0,"",(M24-K24)/ABS(K24)+1)</f>
        <v>0.93124430306100525</v>
      </c>
      <c r="P24" s="32">
        <f>+P20-P22</f>
        <v>7685310.6174600013</v>
      </c>
      <c r="Q24" s="34">
        <f t="shared" si="8"/>
        <v>0.87969655814983727</v>
      </c>
      <c r="R24" s="34">
        <f>IF(P24=0,"",(M24-P24)/ABS(P24))</f>
        <v>-1.5242832653225699E-2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353564.46950999997</v>
      </c>
      <c r="V25" s="32">
        <v>353564.46950999997</v>
      </c>
      <c r="W25" s="32">
        <v>292703.98497000005</v>
      </c>
      <c r="X25" s="32">
        <v>1881582.4742699999</v>
      </c>
      <c r="Y25" s="32">
        <v>1881582.4742699999</v>
      </c>
      <c r="Z25" s="63">
        <f>+Y25-X25</f>
        <v>0</v>
      </c>
      <c r="AA25" s="68">
        <f>IF(X25=0,"",(Y25-X25)/ABS(X25)+1)</f>
        <v>1</v>
      </c>
      <c r="AB25" s="32">
        <v>1775329.0847999998</v>
      </c>
      <c r="AC25" s="34">
        <f>IF(AB25=0,"",(Y25-AB25)/ABS(AB25))</f>
        <v>5.9849968312759357E-2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241281</v>
      </c>
      <c r="D26" s="34">
        <f t="shared" si="11"/>
        <v>0.228958673168732</v>
      </c>
      <c r="E26" s="32">
        <v>243444.91425999999</v>
      </c>
      <c r="F26" s="34">
        <f>+E26/$E$20</f>
        <v>0.24295765418102208</v>
      </c>
      <c r="G26" s="34">
        <f>IF(C26=0,"",(E26-C26)/ABS(C26)+1)</f>
        <v>1.008968440366212</v>
      </c>
      <c r="H26" s="32">
        <v>193669.75795</v>
      </c>
      <c r="I26" s="34">
        <f t="shared" si="12"/>
        <v>0.21299208213857448</v>
      </c>
      <c r="J26" s="34">
        <f>IF(H26=0,"",(E26-H26)/ABS(H26))</f>
        <v>0.25701047410226285</v>
      </c>
      <c r="K26" s="32">
        <v>2037222</v>
      </c>
      <c r="L26" s="34">
        <f t="shared" si="5"/>
        <v>0.21681226199944253</v>
      </c>
      <c r="M26" s="32">
        <v>1946150.5267400001</v>
      </c>
      <c r="N26" s="34">
        <f>+M26/$M$20</f>
        <v>0.222601248419866</v>
      </c>
      <c r="O26" s="34">
        <f>IF(K26=0,"",(M26-K26)/ABS(K26)+1)</f>
        <v>0.95529624495513998</v>
      </c>
      <c r="P26" s="32">
        <v>1894500.1747999999</v>
      </c>
      <c r="Q26" s="34">
        <f t="shared" si="8"/>
        <v>0.216853340891592</v>
      </c>
      <c r="R26" s="34">
        <f>IF(P26=0,"",(M26-P26)/ABS(P26))</f>
        <v>2.726331336731223E-2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321774</v>
      </c>
      <c r="D27" s="34">
        <f t="shared" si="11"/>
        <v>0.30534086024260332</v>
      </c>
      <c r="E27" s="32">
        <v>309940.61398000002</v>
      </c>
      <c r="F27" s="34">
        <f>+E27/$E$20</f>
        <v>0.30932026136961416</v>
      </c>
      <c r="G27" s="34">
        <f>IF(C27=0,"",(E27-C27)/ABS(C27)+1)</f>
        <v>0.96322454262929891</v>
      </c>
      <c r="H27" s="32">
        <v>325745.65405000001</v>
      </c>
      <c r="I27" s="34">
        <f t="shared" si="12"/>
        <v>0.35824511703894174</v>
      </c>
      <c r="J27" s="34">
        <f>IF(H27=0,"",(E27-H27)/ABS(H27))</f>
        <v>-4.8519573088683508E-2</v>
      </c>
      <c r="K27" s="32">
        <v>3091526</v>
      </c>
      <c r="L27" s="34">
        <f t="shared" si="5"/>
        <v>0.32901703647913122</v>
      </c>
      <c r="M27" s="32">
        <v>2963790.2453899998</v>
      </c>
      <c r="N27" s="34">
        <f>+M27/$M$20</f>
        <v>0.33899916764587179</v>
      </c>
      <c r="O27" s="34">
        <f>IF(K27=0,"",(M27-K27)/ABS(K27)+1)</f>
        <v>0.95868197304179226</v>
      </c>
      <c r="P27" s="32">
        <v>3078888.9771400001</v>
      </c>
      <c r="Q27" s="34">
        <f t="shared" si="8"/>
        <v>0.35242401653385452</v>
      </c>
      <c r="R27" s="34">
        <f>IF(P27=0,"",(M27-P27)/ABS(P27))</f>
        <v>-3.7383203033490423E-2</v>
      </c>
      <c r="S27" s="67"/>
      <c r="T27" s="3" t="s">
        <v>47</v>
      </c>
      <c r="U27" s="32">
        <v>73014.380439999994</v>
      </c>
      <c r="V27" s="32">
        <v>73014.380439999994</v>
      </c>
      <c r="W27" s="32">
        <v>-202120.68044</v>
      </c>
      <c r="X27" s="32">
        <f>+Y27</f>
        <v>228611</v>
      </c>
      <c r="Y27" s="32">
        <v>228611</v>
      </c>
      <c r="Z27" s="63">
        <f>+Y27-X27</f>
        <v>0</v>
      </c>
      <c r="AA27" s="68">
        <f>IF(X27=0,"",(Y27-X27)/ABS(X27)+1)</f>
        <v>1</v>
      </c>
      <c r="AB27" s="32">
        <v>-576624</v>
      </c>
      <c r="AC27" s="34">
        <f>IF(AB27=0,"",(Y27-AB27)/ABS(AB27))</f>
        <v>1.3964645939121507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563055</v>
      </c>
      <c r="D28" s="34">
        <f t="shared" si="11"/>
        <v>0.53429953341133529</v>
      </c>
      <c r="E28" s="32">
        <f>SUM(E26:E27)</f>
        <v>553385.52824000001</v>
      </c>
      <c r="F28" s="34">
        <f>+E28/$E$20</f>
        <v>0.55227791555063621</v>
      </c>
      <c r="G28" s="34">
        <f>IF(C28=0,"",(E28-C28)/ABS(C28)+1)</f>
        <v>0.98282677223361836</v>
      </c>
      <c r="H28" s="32">
        <f>SUM(H26:H27)</f>
        <v>519415.41200000001</v>
      </c>
      <c r="I28" s="34">
        <f t="shared" si="12"/>
        <v>0.57123719917751625</v>
      </c>
      <c r="J28" s="34">
        <f>IF(H28=0,"",(E28-H28)/ABS(H28))</f>
        <v>6.5400670552301601E-2</v>
      </c>
      <c r="K28" s="32">
        <f>SUM(K26:K27)</f>
        <v>5128748</v>
      </c>
      <c r="L28" s="34">
        <f t="shared" si="5"/>
        <v>0.54582929847857375</v>
      </c>
      <c r="M28" s="32">
        <f>SUM(M26:M27)</f>
        <v>4909940.7721299995</v>
      </c>
      <c r="N28" s="34">
        <f>+M28/$M$20</f>
        <v>0.56160041606573774</v>
      </c>
      <c r="O28" s="34">
        <f>IF(K28=0,"",(M28-K28)/ABS(K28)+1)</f>
        <v>0.9573371068592178</v>
      </c>
      <c r="P28" s="32">
        <f>SUM(P26:P27)</f>
        <v>4973389.1519400002</v>
      </c>
      <c r="Q28" s="34">
        <f t="shared" si="8"/>
        <v>0.5692773574254465</v>
      </c>
      <c r="R28" s="34">
        <f>IF(P28=0,"",(M28-P28)/ABS(P28))</f>
        <v>-1.2757573934316214E-2</v>
      </c>
      <c r="S28" s="67"/>
      <c r="T28" s="3" t="s">
        <v>49</v>
      </c>
      <c r="U28" s="32">
        <v>0</v>
      </c>
      <c r="V28" s="32">
        <v>0</v>
      </c>
      <c r="W28" s="32">
        <v>81474.778000000006</v>
      </c>
      <c r="X28" s="32"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477378.80985000002</v>
      </c>
      <c r="AC28" s="34">
        <f>IF(AB28=0,"",(Y28-AB28)/ABS(AB28))</f>
        <v>-1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63830</v>
      </c>
      <c r="D30" s="34">
        <f t="shared" si="11"/>
        <v>6.0570173815427508E-2</v>
      </c>
      <c r="E30" s="32">
        <v>65683.553</v>
      </c>
      <c r="F30" s="34">
        <f>+E30/$E$20</f>
        <v>6.5552085997209589E-2</v>
      </c>
      <c r="G30" s="34">
        <f>IF(C30=0,"",(E30-C30)/ABS(C30)+1)</f>
        <v>1.029038900203666</v>
      </c>
      <c r="H30" s="32">
        <v>60081.624360000002</v>
      </c>
      <c r="I30" s="34">
        <f t="shared" si="12"/>
        <v>6.6075934653710339E-2</v>
      </c>
      <c r="J30" s="34">
        <f>IF(H30=0,"",(E30-H30)/ABS(H30))</f>
        <v>9.3238634934936004E-2</v>
      </c>
      <c r="K30" s="32">
        <v>548560</v>
      </c>
      <c r="L30" s="34">
        <f t="shared" si="5"/>
        <v>5.8380743209338108E-2</v>
      </c>
      <c r="M30" s="32">
        <v>552013.28282000008</v>
      </c>
      <c r="N30" s="34">
        <f>+M30/$M$20</f>
        <v>6.3139435625216081E-2</v>
      </c>
      <c r="O30" s="34">
        <f>IF(K30=0,"",(M30-K30)/ABS(K30)+1)</f>
        <v>1.0062951779568325</v>
      </c>
      <c r="P30" s="32">
        <v>504252.24513</v>
      </c>
      <c r="Q30" s="34">
        <f t="shared" si="8"/>
        <v>5.7719067785290817E-2</v>
      </c>
      <c r="R30" s="34">
        <f>IF(P30=0,"",(M30-P30)/ABS(P30))</f>
        <v>9.4716559323770447E-2</v>
      </c>
      <c r="S30" s="67"/>
      <c r="T30" s="20" t="s">
        <v>51</v>
      </c>
      <c r="U30" s="69">
        <f>U21-U23-U25-U27-U28</f>
        <v>-51530.830059999847</v>
      </c>
      <c r="V30" s="69">
        <f>V21-V23-V25-V27-V28</f>
        <v>-51530.830059999847</v>
      </c>
      <c r="W30" s="69">
        <v>144196.97940999991</v>
      </c>
      <c r="X30" s="69">
        <f>X21-X23-X25-X27-X28</f>
        <v>-51530.763540001353</v>
      </c>
      <c r="Y30" s="69">
        <f>Y21-Y23-Y25-Y27-Y28</f>
        <v>-51530.763540001353</v>
      </c>
      <c r="Z30" s="71">
        <f>+Y30-X30</f>
        <v>0</v>
      </c>
      <c r="AA30" s="72">
        <f>IF(U30=0,"",(V30-U30)/ABS(U30)+1)</f>
        <v>1</v>
      </c>
      <c r="AB30" s="69">
        <v>144196.61677000049</v>
      </c>
      <c r="AC30" s="34">
        <f>IF(AB30=0,"",(Y30-AB30)/ABS(AB30))</f>
        <v>-1.3573645810441934</v>
      </c>
      <c r="AD30" s="54"/>
      <c r="AE30" s="54"/>
    </row>
    <row r="31" spans="1:35" x14ac:dyDescent="0.2">
      <c r="B31" s="3" t="s">
        <v>52</v>
      </c>
      <c r="C31" s="32">
        <v>215253</v>
      </c>
      <c r="D31" s="34">
        <f t="shared" si="11"/>
        <v>0.20425993458079614</v>
      </c>
      <c r="E31" s="32">
        <v>200245.65746000002</v>
      </c>
      <c r="F31" s="34">
        <f>+E31/$E$20</f>
        <v>0.19984486159550011</v>
      </c>
      <c r="G31" s="34">
        <f>IF(C31=0,"",(E31-C31)/ABS(C31)+1)</f>
        <v>0.93028044886714711</v>
      </c>
      <c r="H31" s="32">
        <v>194905.08171999999</v>
      </c>
      <c r="I31" s="34">
        <f t="shared" si="12"/>
        <v>0.21435065347502186</v>
      </c>
      <c r="J31" s="34">
        <f>IF(H31=0,"",(E31-H31)/ABS(H31))</f>
        <v>2.7400905573474393E-2</v>
      </c>
      <c r="K31" s="32">
        <v>1925179</v>
      </c>
      <c r="L31" s="34">
        <f t="shared" si="5"/>
        <v>0.20488803564060509</v>
      </c>
      <c r="M31" s="32">
        <v>1737469.47664</v>
      </c>
      <c r="N31" s="34">
        <f>+M31/$M$20</f>
        <v>0.19873225080864754</v>
      </c>
      <c r="O31" s="34">
        <f>IF(K31=0,"",(M31-K31)/ABS(K31)+1)</f>
        <v>0.90249762574804737</v>
      </c>
      <c r="P31" s="32">
        <v>1724154.88221</v>
      </c>
      <c r="Q31" s="34">
        <f t="shared" si="8"/>
        <v>0.19735482286838993</v>
      </c>
      <c r="R31" s="34">
        <f>IF(P31=0,"",(M31-P31)/ABS(P31))</f>
        <v>7.7223888453301689E-3</v>
      </c>
      <c r="S31" s="67"/>
      <c r="T31" s="54"/>
      <c r="U31" s="58"/>
      <c r="V31" s="58" t="s">
        <v>82</v>
      </c>
      <c r="W31" s="54"/>
      <c r="X31" s="58"/>
      <c r="Y31" s="58" t="s">
        <v>61</v>
      </c>
      <c r="Z31" s="58"/>
      <c r="AA31" s="58"/>
      <c r="AB31" s="73" t="s">
        <v>61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279083</v>
      </c>
      <c r="D32" s="34">
        <f t="shared" si="11"/>
        <v>0.26483010839622362</v>
      </c>
      <c r="E32" s="32">
        <f>SUM(E30:E31)</f>
        <v>265929.21046000003</v>
      </c>
      <c r="F32" s="34">
        <f>+E32/$E$20</f>
        <v>0.26539694759270971</v>
      </c>
      <c r="G32" s="34">
        <f>IF(C32=0,"",(E32-C32)/ABS(C32)+1)</f>
        <v>0.95286782233242451</v>
      </c>
      <c r="H32" s="32">
        <f>SUM(H30:H31)</f>
        <v>254986.70607999997</v>
      </c>
      <c r="I32" s="34">
        <f t="shared" si="12"/>
        <v>0.28042658812873217</v>
      </c>
      <c r="J32" s="34">
        <f>IF(H32=0,"",(E32-H32)/ABS(H32))</f>
        <v>4.2914019119753392E-2</v>
      </c>
      <c r="K32" s="32">
        <f>SUM(K30:K31)</f>
        <v>2473739</v>
      </c>
      <c r="L32" s="34">
        <f t="shared" si="5"/>
        <v>0.26326877884994321</v>
      </c>
      <c r="M32" s="32">
        <f>SUM(M30:M31)</f>
        <v>2289482.7594600003</v>
      </c>
      <c r="N32" s="34">
        <f>+M32/$M$20</f>
        <v>0.26187168643386366</v>
      </c>
      <c r="O32" s="34">
        <f>IF(K32=0,"",(M32-K32)/ABS(K32)+1)</f>
        <v>0.92551508443695973</v>
      </c>
      <c r="P32" s="32">
        <f>SUM(P30:P31)</f>
        <v>2228407.1273400001</v>
      </c>
      <c r="Q32" s="34">
        <f t="shared" si="8"/>
        <v>0.25507389065368075</v>
      </c>
      <c r="R32" s="34">
        <f>IF(P32=0,"",(M32-P32)/ABS(P32))</f>
        <v>2.7407752995703624E-2</v>
      </c>
      <c r="S32" s="67"/>
      <c r="T32" s="54" t="s">
        <v>83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842138</v>
      </c>
      <c r="D34" s="34">
        <f t="shared" si="11"/>
        <v>0.79912964180755897</v>
      </c>
      <c r="E34" s="32">
        <f>E28+E32</f>
        <v>819314.7387000001</v>
      </c>
      <c r="F34" s="34">
        <f>+E34/$E$20</f>
        <v>0.81767486314334603</v>
      </c>
      <c r="G34" s="34">
        <f>IF(C34=0,"",(E34-C34)/ABS(C34)+1)</f>
        <v>0.97289843077975358</v>
      </c>
      <c r="H34" s="32">
        <f>H28+H32</f>
        <v>774402.11807999993</v>
      </c>
      <c r="I34" s="34">
        <f t="shared" si="12"/>
        <v>0.85166378730624837</v>
      </c>
      <c r="J34" s="34">
        <f>IF(H34=0,"",(E34-H34)/ABS(H34))</f>
        <v>5.7996510561403786E-2</v>
      </c>
      <c r="K34" s="32">
        <f>K28+K32</f>
        <v>7602487</v>
      </c>
      <c r="L34" s="34">
        <f t="shared" si="5"/>
        <v>0.80909807732851691</v>
      </c>
      <c r="M34" s="32">
        <f>M28+M32</f>
        <v>7199423.5315899998</v>
      </c>
      <c r="N34" s="34">
        <f>+M34/$M$20</f>
        <v>0.82347210249960134</v>
      </c>
      <c r="O34" s="34">
        <f>IF(K34=0,"",(M34-K34)/ABS(K34)+1)</f>
        <v>0.94698268232356064</v>
      </c>
      <c r="P34" s="32">
        <f>P28+P32</f>
        <v>7201796.2792800004</v>
      </c>
      <c r="Q34" s="34">
        <f t="shared" si="8"/>
        <v>0.8243512480791273</v>
      </c>
      <c r="R34" s="34">
        <f>IF(P34=0,"",(M34-P34)/ABS(P34))</f>
        <v>-3.2946609401144944E-4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45411</v>
      </c>
      <c r="D36" s="45">
        <f t="shared" si="11"/>
        <v>4.3091840249606432E-2</v>
      </c>
      <c r="E36" s="69">
        <f>E24-E34</f>
        <v>23945.834149999777</v>
      </c>
      <c r="F36" s="45">
        <f>+E36/$E$20</f>
        <v>2.3897906062963794E-2</v>
      </c>
      <c r="G36" s="45">
        <f>IF(C36=0,"",(E36-C36)/ABS(C36)+1)</f>
        <v>0.52731351764990375</v>
      </c>
      <c r="H36" s="69">
        <f>H24-H34</f>
        <v>31790.02893000003</v>
      </c>
      <c r="I36" s="45">
        <f t="shared" si="12"/>
        <v>3.4961702460506561E-2</v>
      </c>
      <c r="J36" s="45">
        <f>IF(H36=0,"",(E36-H36)/ABS(H36))</f>
        <v>-0.24675016173381775</v>
      </c>
      <c r="K36" s="69">
        <f>K24-K34</f>
        <v>524451</v>
      </c>
      <c r="L36" s="45">
        <f t="shared" si="5"/>
        <v>5.5814932107482465E-2</v>
      </c>
      <c r="M36" s="69">
        <f>+M24-M34</f>
        <v>368741.18223999999</v>
      </c>
      <c r="N36" s="45">
        <f>+M36/$M$20</f>
        <v>4.2176720856190619E-2</v>
      </c>
      <c r="O36" s="45">
        <f>IF(K36=0,"",(M36-K36)/ABS(K36)+1)</f>
        <v>0.70309939773210461</v>
      </c>
      <c r="P36" s="69">
        <f>P24-P34</f>
        <v>483514.33818000089</v>
      </c>
      <c r="Q36" s="45">
        <f t="shared" si="8"/>
        <v>5.5345310070709967E-2</v>
      </c>
      <c r="R36" s="45">
        <f>IF(P36=0,"",(M36-P36)/ABS(P36))</f>
        <v>-0.23737280754076331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1459</v>
      </c>
      <c r="D38" s="34">
        <f t="shared" si="11"/>
        <v>1.3844882280543433E-3</v>
      </c>
      <c r="E38" s="32">
        <v>234.43604999999999</v>
      </c>
      <c r="F38" s="34">
        <f>+E38/$E$20</f>
        <v>2.3396682135094196E-4</v>
      </c>
      <c r="G38" s="34">
        <f>IF(C38=0,"",(E38-C38)/ABS(C38)+1)</f>
        <v>0.16068269362577114</v>
      </c>
      <c r="H38" s="32">
        <v>42.404849999999996</v>
      </c>
      <c r="I38" s="34">
        <f t="shared" si="12"/>
        <v>4.6635558333303165E-5</v>
      </c>
      <c r="J38" s="34">
        <f>IF(H38=0,"",(E38-H38)/ABS(H38))</f>
        <v>4.5285197330022395</v>
      </c>
      <c r="K38" s="32">
        <v>13131</v>
      </c>
      <c r="L38" s="34">
        <f t="shared" si="5"/>
        <v>1.3974725446292452E-3</v>
      </c>
      <c r="M38" s="32">
        <v>6536.9912899999999</v>
      </c>
      <c r="N38" s="34">
        <f>+M38/$M$20</f>
        <v>7.4770291509840292E-4</v>
      </c>
      <c r="O38" s="34">
        <f>IF(K38=0,"",(M38-K38)/ABS(K38)+1)</f>
        <v>0.49782890031223825</v>
      </c>
      <c r="P38" s="32">
        <v>15475.43455</v>
      </c>
      <c r="Q38" s="34">
        <f t="shared" si="8"/>
        <v>1.7713905380193214E-3</v>
      </c>
      <c r="R38" s="34">
        <f>IF(P38=0,"",(M38-P38)/ABS(P38))</f>
        <v>-0.57758916113925862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41534</v>
      </c>
      <c r="D39" s="34">
        <f t="shared" si="11"/>
        <v>3.941284034544832E-2</v>
      </c>
      <c r="E39" s="32">
        <v>46248.784729999999</v>
      </c>
      <c r="F39" s="34">
        <f>+E39/$E$20</f>
        <v>4.6156216821696502E-2</v>
      </c>
      <c r="G39" s="34">
        <f>IF(C39=0,"",(E39-C39)/ABS(C39)+1)</f>
        <v>1.1135162693215197</v>
      </c>
      <c r="H39" s="32">
        <v>32206.67945</v>
      </c>
      <c r="I39" s="34">
        <f t="shared" si="12"/>
        <v>3.541992197148372E-2</v>
      </c>
      <c r="J39" s="34">
        <f>IF(H39=0,"",(E39-H39)/ABS(H39))</f>
        <v>0.43599978388954963</v>
      </c>
      <c r="K39" s="32">
        <v>341913</v>
      </c>
      <c r="L39" s="34">
        <f t="shared" si="5"/>
        <v>3.6388243861992166E-2</v>
      </c>
      <c r="M39" s="32">
        <v>337323.14944999997</v>
      </c>
      <c r="N39" s="34">
        <f>+M39/$M$20</f>
        <v>3.8583117367736189E-2</v>
      </c>
      <c r="O39" s="34">
        <f>IF(K39=0,"",(M39-K39)/ABS(K39)+1)</f>
        <v>0.98657596947176607</v>
      </c>
      <c r="P39" s="32">
        <v>282206.25430999999</v>
      </c>
      <c r="Q39" s="34">
        <f t="shared" si="8"/>
        <v>3.2302646303047328E-2</v>
      </c>
      <c r="R39" s="34">
        <f>IF(P39=0,"",(M39-P39)/ABS(P39))</f>
        <v>0.19530713546644068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5336</v>
      </c>
      <c r="D41" s="34">
        <f t="shared" si="11"/>
        <v>5.0634881322124577E-3</v>
      </c>
      <c r="E41" s="32">
        <f>E36+E38-E39</f>
        <v>-22068.514530000222</v>
      </c>
      <c r="F41" s="34">
        <f>+E41/$E$20</f>
        <v>-2.2024343937381768E-2</v>
      </c>
      <c r="G41" s="34">
        <f>IF(C41=0,"",(E41-C41)/ABS(C41)+1)</f>
        <v>-4.1357785850825008</v>
      </c>
      <c r="H41" s="32">
        <f>H36+H38-H39</f>
        <v>-374.24566999997114</v>
      </c>
      <c r="I41" s="34">
        <f t="shared" si="12"/>
        <v>-4.1158395264385516E-4</v>
      </c>
      <c r="J41" s="34">
        <f>IF(H41=0,"",(E41-H41)/ABS(H41))</f>
        <v>-57.967988941600645</v>
      </c>
      <c r="K41" s="32">
        <f>K36+K38-K39</f>
        <v>195669</v>
      </c>
      <c r="L41" s="34">
        <f t="shared" si="5"/>
        <v>2.0824160790119547E-2</v>
      </c>
      <c r="M41" s="32">
        <f>M36+M38-M39</f>
        <v>37955.024080000003</v>
      </c>
      <c r="N41" s="34">
        <f>+M41/$M$20</f>
        <v>4.3413064035528305E-3</v>
      </c>
      <c r="O41" s="34">
        <f>IF(K41=0,"",(M41-K41)/ABS(K41)+1)</f>
        <v>0.19397566339072614</v>
      </c>
      <c r="P41" s="32">
        <f>P36+P38-P39</f>
        <v>216783.51842000091</v>
      </c>
      <c r="Q41" s="34">
        <f t="shared" si="8"/>
        <v>2.4814054305681961E-2</v>
      </c>
      <c r="R41" s="34">
        <f>IF(P41=0,"",(M41-P41)/ABS(P41))</f>
        <v>-0.82491739059947744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-32554</v>
      </c>
      <c r="D42" s="34">
        <f t="shared" si="11"/>
        <v>-3.0891452896560034E-2</v>
      </c>
      <c r="E42" s="32">
        <v>-2494.3629999999998</v>
      </c>
      <c r="F42" s="34">
        <f>+E42/$E$20</f>
        <v>-2.4893704803736439E-3</v>
      </c>
      <c r="G42" s="34">
        <f>IF(C42=0,"",(E42-C42)/ABS(C42)+1)</f>
        <v>1.923377680162192</v>
      </c>
      <c r="H42" s="32">
        <v>5946.0020000000004</v>
      </c>
      <c r="I42" s="34">
        <f t="shared" si="12"/>
        <v>6.5392313171945505E-3</v>
      </c>
      <c r="J42" s="34">
        <f>IF(H42=0,"",(E42-H42)/ABS(H42))</f>
        <v>-1.4195025497805078</v>
      </c>
      <c r="K42" s="32">
        <v>90715.66</v>
      </c>
      <c r="L42" s="34">
        <f t="shared" si="5"/>
        <v>9.6544546658991273E-3</v>
      </c>
      <c r="M42" s="32">
        <v>65439.807000000001</v>
      </c>
      <c r="N42" s="34">
        <f>+M42/$M$20</f>
        <v>7.4850236579368113E-3</v>
      </c>
      <c r="O42" s="34">
        <f>IF(K42=0,"",(M42-K42)/ABS(K42)+1)</f>
        <v>0.72137277069912731</v>
      </c>
      <c r="P42" s="32">
        <v>140378.15900000001</v>
      </c>
      <c r="Q42" s="34">
        <f t="shared" si="8"/>
        <v>1.6068339909535649E-2</v>
      </c>
      <c r="R42" s="34">
        <f>IF(P42=0,"",(M42-P42)/ABS(P42))</f>
        <v>-0.53383199020297745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37890</v>
      </c>
      <c r="D43" s="45">
        <f t="shared" si="11"/>
        <v>3.5954941028772495E-2</v>
      </c>
      <c r="E43" s="69">
        <f>E41-E42</f>
        <v>-19574.151530000221</v>
      </c>
      <c r="F43" s="45">
        <f>+E43/$E$20</f>
        <v>-1.9534973457008123E-2</v>
      </c>
      <c r="G43" s="45">
        <f>IF(C43=0,"",(E43-C43)/ABS(C43)+1)</f>
        <v>-0.51660468540512583</v>
      </c>
      <c r="H43" s="69">
        <f>+H41-H42</f>
        <v>-6320.2476699999715</v>
      </c>
      <c r="I43" s="45">
        <f t="shared" si="12"/>
        <v>-6.9508152698384059E-3</v>
      </c>
      <c r="J43" s="45">
        <f>IF(H43=0,"",(E43-H43)/ABS(H43))</f>
        <v>-2.0970545067263653</v>
      </c>
      <c r="K43" s="69">
        <f>+K41-K42</f>
        <v>104953.34</v>
      </c>
      <c r="L43" s="45">
        <f t="shared" si="5"/>
        <v>1.116970612422042E-2</v>
      </c>
      <c r="M43" s="69">
        <f>+M41-M42</f>
        <v>-27484.782919999998</v>
      </c>
      <c r="N43" s="45">
        <f>+M43/$M$20</f>
        <v>-3.1437172543839803E-3</v>
      </c>
      <c r="O43" s="45">
        <f>IF(K43=0,"",(M43-K43)/ABS(K43)+1)</f>
        <v>-0.26187621013299811</v>
      </c>
      <c r="P43" s="69">
        <f>P41-P42</f>
        <v>76405.359420000896</v>
      </c>
      <c r="Q43" s="45">
        <f t="shared" si="8"/>
        <v>8.7457143961463119E-3</v>
      </c>
      <c r="R43" s="45">
        <f>IF(P43=0,"",(M43-P43)/ABS(P43))</f>
        <v>-1.3597232331427946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84</v>
      </c>
      <c r="B45" s="3" t="s">
        <v>85</v>
      </c>
      <c r="C45" s="32">
        <v>94004</v>
      </c>
      <c r="D45" s="34">
        <f t="shared" si="11"/>
        <v>8.9203174359164139E-2</v>
      </c>
      <c r="E45" s="32">
        <v>72337.569639999769</v>
      </c>
      <c r="F45" s="34">
        <f>+E45/$E$20</f>
        <v>7.2192784483969721E-2</v>
      </c>
      <c r="G45" s="34">
        <f>IF(C45=0,"",(E45-C45)/ABS(C45)+1)</f>
        <v>0.76951586783540882</v>
      </c>
      <c r="H45" s="32">
        <v>41192.531590000028</v>
      </c>
      <c r="I45" s="34">
        <f t="shared" si="12"/>
        <v>4.5302287588846087E-2</v>
      </c>
      <c r="J45" s="34">
        <f>IF(H45=0,"",(E45-H45)/ABS(H45))</f>
        <v>0.75608458251593758</v>
      </c>
      <c r="K45" s="32">
        <v>968464</v>
      </c>
      <c r="L45" s="34">
        <f t="shared" si="5"/>
        <v>0.10306921410873637</v>
      </c>
      <c r="M45" s="32">
        <v>801682.6017</v>
      </c>
      <c r="N45" s="34">
        <f>+M45/$M$20</f>
        <v>9.1696683027821788E-2</v>
      </c>
      <c r="O45" s="34">
        <f>IF(K45=0,"",(M45-K45)/ABS(K45)+1)</f>
        <v>0.82778771508285287</v>
      </c>
      <c r="P45" s="32">
        <v>911338.37013000087</v>
      </c>
      <c r="Q45" s="34">
        <f t="shared" si="8"/>
        <v>0.10431604751171487</v>
      </c>
      <c r="R45" s="34">
        <f>IF(P45=0,"",(M45-P45)/ABS(P45))</f>
        <v>-0.12032387971808831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444190</v>
      </c>
      <c r="D46" s="34">
        <f t="shared" si="11"/>
        <v>0.42150502126076678</v>
      </c>
      <c r="E46" s="32">
        <v>458033.90700000001</v>
      </c>
      <c r="F46" s="34">
        <f>+E46/$E$20</f>
        <v>0.45711714257147296</v>
      </c>
      <c r="G46" s="34">
        <f>IF(C46=0,"",(E46-C46)/ABS(C46)+1)</f>
        <v>1.0311666336477634</v>
      </c>
      <c r="H46" s="32">
        <v>401754.95299999998</v>
      </c>
      <c r="I46" s="34">
        <f t="shared" si="12"/>
        <v>0.44183782153043749</v>
      </c>
      <c r="J46" s="34">
        <f>IF(H46=0,"",(E46-H46)/ABS(H46))</f>
        <v>0.14008278822638442</v>
      </c>
      <c r="K46" s="32">
        <v>4074746</v>
      </c>
      <c r="L46" s="34">
        <f t="shared" si="5"/>
        <v>0.43365666448388074</v>
      </c>
      <c r="M46" s="32">
        <v>4121058.79</v>
      </c>
      <c r="N46" s="34">
        <f>+M46/$M$20</f>
        <v>0.47136787152960963</v>
      </c>
      <c r="O46" s="34">
        <f>IF(K46=0,"",(M46-K46)/ABS(K46)+1)</f>
        <v>1.011365810286089</v>
      </c>
      <c r="P46" s="32">
        <v>3845246.6</v>
      </c>
      <c r="Q46" s="34">
        <f t="shared" si="8"/>
        <v>0.44014489037989352</v>
      </c>
      <c r="R46" s="34">
        <f>IF(P46=0,"",(M46-P46)/ABS(P46))</f>
        <v>7.1728088908524085E-2</v>
      </c>
      <c r="S46" s="67"/>
      <c r="X46" s="73"/>
      <c r="Y46" s="73"/>
      <c r="Z46" s="73"/>
      <c r="AA46" s="73"/>
    </row>
    <row r="47" spans="1:29" x14ac:dyDescent="0.2">
      <c r="B47" s="3" t="s">
        <v>83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86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FCB5B-2213-4AA5-8A24-72AD55B94A8A}">
  <sheetPr>
    <tabColor theme="2" tint="-0.249977111117893"/>
  </sheetPr>
  <dimension ref="A1:V48"/>
  <sheetViews>
    <sheetView showGridLines="0" zoomScale="93" zoomScaleNormal="93" workbookViewId="0">
      <selection activeCell="C18" sqref="C18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87</v>
      </c>
      <c r="T3" s="18"/>
    </row>
    <row r="4" spans="1:22" x14ac:dyDescent="0.2">
      <c r="B4" s="3" t="s">
        <v>88</v>
      </c>
    </row>
    <row r="5" spans="1:22" x14ac:dyDescent="0.2">
      <c r="A5" s="78" t="str">
        <f>+Paramet!A3</f>
        <v>202401</v>
      </c>
      <c r="B5" s="3" t="s">
        <v>22</v>
      </c>
    </row>
    <row r="6" spans="1:22" ht="13.5" thickBot="1" x14ac:dyDescent="0.25">
      <c r="A6" s="78" t="str">
        <f>+Paramet!A4</f>
        <v>202409</v>
      </c>
      <c r="B6" s="79" t="str">
        <f>+'COLOMB$ '!B6</f>
        <v>SEPTIEMBRE de 2025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202501</v>
      </c>
      <c r="B7" s="3"/>
      <c r="C7" s="54" t="str">
        <f>+'COLOMB$ '!D7:D7</f>
        <v>Ppto 2025</v>
      </c>
      <c r="D7" s="54"/>
      <c r="E7" s="54" t="str">
        <f>+'COLOMB$ '!F7:F7</f>
        <v>Real 2025</v>
      </c>
      <c r="F7" s="54"/>
      <c r="G7" s="51" t="s">
        <v>24</v>
      </c>
      <c r="H7" s="54" t="str">
        <f>+'COLOMB$ '!I7:I7</f>
        <v>Real 2024</v>
      </c>
      <c r="I7" s="54"/>
      <c r="J7" s="51" t="s">
        <v>25</v>
      </c>
      <c r="K7" s="54" t="str">
        <f>+C7</f>
        <v>Ppto 2025</v>
      </c>
      <c r="L7" s="54"/>
      <c r="M7" s="54" t="str">
        <f>+E7</f>
        <v>Real 2025</v>
      </c>
      <c r="N7" s="54"/>
      <c r="O7" s="51" t="s">
        <v>24</v>
      </c>
      <c r="P7" s="2" t="str">
        <f>+H7</f>
        <v>Real 2024</v>
      </c>
      <c r="R7" s="51" t="s">
        <v>25</v>
      </c>
    </row>
    <row r="8" spans="1:22" ht="13.5" thickBot="1" x14ac:dyDescent="0.25">
      <c r="A8" s="78" t="str">
        <f>+Paramet!B4</f>
        <v>202509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89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>
        <f t="shared" ref="I10:I16" si="3">+H10/$H$20</f>
        <v>0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>
        <f t="shared" si="3"/>
        <v>0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>
        <f t="shared" si="3"/>
        <v>0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519</v>
      </c>
      <c r="D13" s="68">
        <f t="shared" si="0"/>
        <v>1</v>
      </c>
      <c r="E13" s="32">
        <v>0</v>
      </c>
      <c r="F13" s="68">
        <f t="shared" si="1"/>
        <v>0</v>
      </c>
      <c r="G13" s="68">
        <f t="shared" si="2"/>
        <v>0</v>
      </c>
      <c r="H13" s="32">
        <v>161.47999999999999</v>
      </c>
      <c r="I13" s="68">
        <f t="shared" si="3"/>
        <v>1</v>
      </c>
      <c r="J13" s="68">
        <f t="shared" si="4"/>
        <v>-1</v>
      </c>
      <c r="K13" s="32">
        <v>4672</v>
      </c>
      <c r="L13" s="68">
        <f t="shared" si="5"/>
        <v>1</v>
      </c>
      <c r="M13" s="32">
        <v>651.38599999999997</v>
      </c>
      <c r="N13" s="68">
        <f t="shared" si="6"/>
        <v>1</v>
      </c>
      <c r="O13" s="68">
        <f t="shared" si="7"/>
        <v>0.13942337328767118</v>
      </c>
      <c r="P13" s="32">
        <v>3117.4490000000001</v>
      </c>
      <c r="Q13" s="68">
        <f t="shared" si="8"/>
        <v>1</v>
      </c>
      <c r="R13" s="34">
        <f t="shared" si="9"/>
        <v>-0.79105159378709966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>
        <f t="shared" si="3"/>
        <v>0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>
        <f t="shared" si="3"/>
        <v>0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0</v>
      </c>
      <c r="D18" s="68">
        <f t="shared" si="0"/>
        <v>0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0</v>
      </c>
      <c r="L18" s="68">
        <f t="shared" si="5"/>
        <v>0</v>
      </c>
      <c r="M18" s="32">
        <v>11086.984</v>
      </c>
      <c r="N18" s="68">
        <f t="shared" si="6"/>
        <v>17.020605293942456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519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161.47999999999999</v>
      </c>
      <c r="I20" s="72">
        <f>+H22/$H$22</f>
        <v>1</v>
      </c>
      <c r="J20" s="68">
        <f t="shared" si="4"/>
        <v>-1</v>
      </c>
      <c r="K20" s="69">
        <f>SUM(K10:K19)</f>
        <v>4672</v>
      </c>
      <c r="L20" s="72">
        <f t="shared" si="5"/>
        <v>1</v>
      </c>
      <c r="M20" s="69">
        <f>SUM(M10:M17)</f>
        <v>651.38599999999997</v>
      </c>
      <c r="N20" s="68">
        <f t="shared" si="6"/>
        <v>1</v>
      </c>
      <c r="O20" s="72">
        <f>IF(K20=0,"",(M20-K20)/ABS(K20)+1)</f>
        <v>0.13942337328767118</v>
      </c>
      <c r="P20" s="69">
        <f>SUM(P10:P17)</f>
        <v>3117.4490000000001</v>
      </c>
      <c r="Q20" s="72">
        <f>+P20/$P$20</f>
        <v>1</v>
      </c>
      <c r="R20" s="34">
        <f t="shared" si="9"/>
        <v>-0.79105159378709966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0</v>
      </c>
      <c r="D22" s="68">
        <f>+C22/$C$20</f>
        <v>0</v>
      </c>
      <c r="E22" s="32">
        <v>475.12900000000002</v>
      </c>
      <c r="F22" s="68">
        <f>IF($E$20=0,0,E22/$E$20)</f>
        <v>0</v>
      </c>
      <c r="G22" s="68" t="str">
        <f>IF(C22=0,"",(E22-C22)/ABS(C22)+1)</f>
        <v/>
      </c>
      <c r="H22" s="32">
        <v>1374.8278</v>
      </c>
      <c r="I22" s="68">
        <f>+H22/$H$20</f>
        <v>8.5139199900916527</v>
      </c>
      <c r="J22" s="68">
        <f t="shared" si="4"/>
        <v>-0.65440835572280398</v>
      </c>
      <c r="K22" s="32">
        <v>0</v>
      </c>
      <c r="L22" s="68">
        <f>+K22/$K$20</f>
        <v>0</v>
      </c>
      <c r="M22" s="32">
        <v>3795.4997100000001</v>
      </c>
      <c r="N22" s="68">
        <f>IF($M$20=0,0,M22/$M$20)</f>
        <v>5.8268057802900284</v>
      </c>
      <c r="O22" s="68" t="str">
        <f>IF(K22=0,"",(M22-K22)/ABS(K22)+1)</f>
        <v/>
      </c>
      <c r="P22" s="63">
        <v>8158.5758499999993</v>
      </c>
      <c r="Q22" s="68"/>
      <c r="R22" s="34">
        <f t="shared" si="9"/>
        <v>-0.53478403831962895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519</v>
      </c>
      <c r="D24" s="68">
        <f>+C24/$C$20</f>
        <v>1</v>
      </c>
      <c r="E24" s="32">
        <f>+E20-E22</f>
        <v>-475.12900000000002</v>
      </c>
      <c r="F24" s="68">
        <f>IF($E$20=0,0,E24/$E$20)</f>
        <v>0</v>
      </c>
      <c r="G24" s="68">
        <f>IF(C24=0,"",(E24-C24)/ABS(C24)+1)</f>
        <v>-0.91547013487475914</v>
      </c>
      <c r="H24" s="32">
        <f>+H20-H22</f>
        <v>-1213.3478</v>
      </c>
      <c r="I24" s="68">
        <f>+H24/$H$20</f>
        <v>-7.5139199900916527</v>
      </c>
      <c r="J24" s="68" t="str">
        <f t="shared" si="4"/>
        <v/>
      </c>
      <c r="K24" s="32">
        <f>+K20-K22</f>
        <v>4672</v>
      </c>
      <c r="L24" s="68">
        <f>+K24/$K$20</f>
        <v>1</v>
      </c>
      <c r="M24" s="32">
        <f>+M20-M22</f>
        <v>-3144.1137100000001</v>
      </c>
      <c r="N24" s="68">
        <f>IF($M$20=0,0,M24/$M$20)</f>
        <v>-4.8268057802900284</v>
      </c>
      <c r="O24" s="68">
        <f>IF(K24=0,"",(M24-K24)/ABS(K24)+1)</f>
        <v>-0.67296954409246568</v>
      </c>
      <c r="P24" s="32">
        <f>+P20-P22</f>
        <v>-5041.1268499999987</v>
      </c>
      <c r="Q24" s="68">
        <f>+P24/$P$20</f>
        <v>-1.6170679456183561</v>
      </c>
      <c r="R24" s="34" t="str">
        <f t="shared" si="9"/>
        <v/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2</v>
      </c>
      <c r="D26" s="68">
        <f>+C26/$C$20</f>
        <v>3.8535645472061657E-3</v>
      </c>
      <c r="E26" s="32">
        <v>289.47399999999999</v>
      </c>
      <c r="F26" s="68">
        <f>IF($E$20=0,0,E26/$E$20)</f>
        <v>0</v>
      </c>
      <c r="G26" s="68">
        <f>IF(C26=0,"",(E26-C26)/ABS(C26)+1)</f>
        <v>144.73699999999999</v>
      </c>
      <c r="H26" s="32">
        <v>289.47399999999999</v>
      </c>
      <c r="I26" s="68">
        <f>+H26/$H$20</f>
        <v>1.7926306663363885</v>
      </c>
      <c r="J26" s="68">
        <f t="shared" si="4"/>
        <v>0</v>
      </c>
      <c r="K26" s="32">
        <v>18</v>
      </c>
      <c r="L26" s="68">
        <f>+K26/$K$20</f>
        <v>3.852739726027397E-3</v>
      </c>
      <c r="M26" s="32">
        <v>2605.34638</v>
      </c>
      <c r="N26" s="68">
        <f>IF($M$20=0,0,M26/$M$20)</f>
        <v>3.999696616138511</v>
      </c>
      <c r="O26" s="68">
        <f>IF(K26=0,"",(M26-K26)/ABS(K26)+1)</f>
        <v>144.74146555555555</v>
      </c>
      <c r="P26" s="32">
        <v>2760.6182899999999</v>
      </c>
      <c r="Q26" s="68">
        <f>+P26/$P$20</f>
        <v>0.88553759500155405</v>
      </c>
      <c r="R26" s="34">
        <f t="shared" si="9"/>
        <v>-5.6245338431051235E-2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>
        <f>+H27/$H$20</f>
        <v>0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2</v>
      </c>
      <c r="D28" s="68">
        <f>+C28/$C$20</f>
        <v>3.8535645472061657E-3</v>
      </c>
      <c r="E28" s="32">
        <f>SUM(E26:E27)</f>
        <v>289.47399999999999</v>
      </c>
      <c r="F28" s="68">
        <f>IF($E$20=0,0,E28/$E$20)</f>
        <v>0</v>
      </c>
      <c r="G28" s="68">
        <f>IF(C28=0,"",(E28-C28)/ABS(C28)+1)</f>
        <v>144.73699999999999</v>
      </c>
      <c r="H28" s="32">
        <f>SUM(H26:H27)</f>
        <v>289.47399999999999</v>
      </c>
      <c r="I28" s="68">
        <f>+H28/$H$20</f>
        <v>1.7926306663363885</v>
      </c>
      <c r="J28" s="68">
        <f t="shared" si="4"/>
        <v>0</v>
      </c>
      <c r="K28" s="32">
        <f>SUM(K26:K27)</f>
        <v>18</v>
      </c>
      <c r="L28" s="68">
        <f>+K28/$K$20</f>
        <v>3.852739726027397E-3</v>
      </c>
      <c r="M28" s="32">
        <f>SUM(M26:M27)</f>
        <v>2605.34638</v>
      </c>
      <c r="N28" s="68">
        <f>IF($M$20=0,0,M28/$M$20)</f>
        <v>3.999696616138511</v>
      </c>
      <c r="O28" s="68">
        <f>IF(K28=0,"",(M28-K28)/ABS(K28)+1)</f>
        <v>144.74146555555555</v>
      </c>
      <c r="P28" s="32">
        <f>SUM(P26:P27)</f>
        <v>2760.6182899999999</v>
      </c>
      <c r="Q28" s="68">
        <f>+P28/$P$20</f>
        <v>0.88553759500155405</v>
      </c>
      <c r="R28" s="34">
        <f t="shared" si="9"/>
        <v>-5.6245338431051235E-2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0</v>
      </c>
      <c r="F30" s="68">
        <f>IF($E$20=0,0,E30/$E$20)</f>
        <v>0</v>
      </c>
      <c r="G30" s="68" t="str">
        <f>IF(C30=0,"",(E30-C30)/ABS(C30)+1)</f>
        <v/>
      </c>
      <c r="H30" s="32">
        <v>4.2060000000000004</v>
      </c>
      <c r="I30" s="68"/>
      <c r="J30" s="68">
        <f t="shared" si="4"/>
        <v>-1</v>
      </c>
      <c r="K30" s="32">
        <v>0</v>
      </c>
      <c r="L30" s="68">
        <f>+K30/$K$20</f>
        <v>0</v>
      </c>
      <c r="M30" s="32">
        <v>32.83737</v>
      </c>
      <c r="N30" s="68">
        <f>IF($M$20=0,0,M30/$M$20)</f>
        <v>5.0411537859272382E-2</v>
      </c>
      <c r="O30" s="68" t="str">
        <f>IF(K30=0,"",(M30-K30)/ABS(K30)+1)</f>
        <v/>
      </c>
      <c r="P30" s="32">
        <v>37.840499999999999</v>
      </c>
      <c r="Q30" s="68">
        <f>+P30/$P$20</f>
        <v>1.2138289992875584E-2</v>
      </c>
      <c r="R30" s="34">
        <f t="shared" si="9"/>
        <v>-0.13221627621199505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1.1348686057093476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0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4.2060000000000004</v>
      </c>
      <c r="I32" s="68">
        <f>+H32/$H$20</f>
        <v>2.6046569234580139E-2</v>
      </c>
      <c r="J32" s="68">
        <f>IF(H32&lt;=0,"",(E32-H32)/ABS(H32))</f>
        <v>-1</v>
      </c>
      <c r="K32" s="32">
        <f>SUM(K30:K31)</f>
        <v>0</v>
      </c>
      <c r="L32" s="68">
        <f>+K32/$K$20</f>
        <v>0</v>
      </c>
      <c r="M32" s="32">
        <f>SUM(M30:M31)</f>
        <v>32.83737</v>
      </c>
      <c r="N32" s="68">
        <f>IF($M$20=0,0,M32/$M$20)</f>
        <v>5.0411537859272382E-2</v>
      </c>
      <c r="O32" s="68" t="str">
        <f>IF(K32=0,"",(M32-K32)/ABS(K32)+1)</f>
        <v/>
      </c>
      <c r="P32" s="32">
        <f>+P30+P31</f>
        <v>37.840499999999999</v>
      </c>
      <c r="Q32" s="68">
        <f>+P32/$P$20</f>
        <v>1.2138289992875584E-2</v>
      </c>
      <c r="R32" s="34">
        <f>IF(P32&lt;=0,"",(M32-P32)/ABS(P32))</f>
        <v>-0.13221627621199505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2</v>
      </c>
      <c r="D34" s="68">
        <f>+C34/$C$20</f>
        <v>3.8535645472061657E-3</v>
      </c>
      <c r="E34" s="32">
        <f>E28+E32</f>
        <v>289.47399999999999</v>
      </c>
      <c r="F34" s="68">
        <f>IF($E$20=0,0,E34/$E$20)</f>
        <v>0</v>
      </c>
      <c r="G34" s="68">
        <f>IF(C34=0,"",(E34-C34)/ABS(C34)+1)</f>
        <v>144.73699999999999</v>
      </c>
      <c r="H34" s="32">
        <f>+H32+H28</f>
        <v>293.68</v>
      </c>
      <c r="I34" s="68">
        <f>+H34/$H$20</f>
        <v>1.8186772355709686</v>
      </c>
      <c r="J34" s="68">
        <f>IF(H34&lt;=0,"",(E34-H34)/ABS(H34))</f>
        <v>-1.4321710705529888E-2</v>
      </c>
      <c r="K34" s="32">
        <f>K28+K32</f>
        <v>18</v>
      </c>
      <c r="L34" s="68">
        <f>+K34/$K$20</f>
        <v>3.852739726027397E-3</v>
      </c>
      <c r="M34" s="32">
        <f>M28+M32</f>
        <v>2638.1837500000001</v>
      </c>
      <c r="N34" s="68">
        <f>IF($M$20=0,0,M34/$M$20)</f>
        <v>4.0501081539977832</v>
      </c>
      <c r="O34" s="68">
        <f>IF(K34=0,"",(M34-K34)/ABS(K34)+1)</f>
        <v>146.56576388888891</v>
      </c>
      <c r="P34" s="32">
        <f>P28+P32</f>
        <v>2798.4587899999997</v>
      </c>
      <c r="Q34" s="68">
        <f>+P34/$P$20</f>
        <v>0.89767588499442963</v>
      </c>
      <c r="R34" s="34">
        <f>IF(P34&lt;=0,"",(M34-P34)/ABS(P34))</f>
        <v>-5.7272610399955022E-2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517</v>
      </c>
      <c r="D36" s="72">
        <f>+C36/$C$20</f>
        <v>0.9961464354527938</v>
      </c>
      <c r="E36" s="69">
        <f>E24-E34</f>
        <v>-764.60300000000007</v>
      </c>
      <c r="F36" s="72">
        <f>IF($E$20=0,0,E36/$E$20)</f>
        <v>0</v>
      </c>
      <c r="G36" s="72">
        <f>IF(C36=0,"",(E36-C36)/ABS(C36)+1)</f>
        <v>-1.4789226305609287</v>
      </c>
      <c r="H36" s="69">
        <f>+H24-H34</f>
        <v>-1507.0278000000001</v>
      </c>
      <c r="I36" s="72">
        <f>+H36/$H$20</f>
        <v>-9.3325972256626226</v>
      </c>
      <c r="J36" s="72" t="str">
        <f t="shared" si="4"/>
        <v/>
      </c>
      <c r="K36" s="69">
        <f>K24-K34</f>
        <v>4654</v>
      </c>
      <c r="L36" s="72">
        <f>+K36/$K$20</f>
        <v>0.9961472602739726</v>
      </c>
      <c r="M36" s="69">
        <f>M24-M34</f>
        <v>-5782.2974599999998</v>
      </c>
      <c r="N36" s="72">
        <f>IF($M$20=0,0,M36/$M$20)</f>
        <v>-8.8769139342878116</v>
      </c>
      <c r="O36" s="72">
        <f>IF(K36=0,"",(M36-K36)/ABS(K36)+1)</f>
        <v>-1.242436067898582</v>
      </c>
      <c r="P36" s="69">
        <f>P24-P34</f>
        <v>-7839.5856399999984</v>
      </c>
      <c r="Q36" s="72">
        <f>+P36/$P$20</f>
        <v>-2.5147438306127858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75.200999999999993</v>
      </c>
      <c r="I38" s="68">
        <f>+H38/$H$20</f>
        <v>0.46569853851870202</v>
      </c>
      <c r="J38" s="68">
        <f t="shared" si="4"/>
        <v>-1</v>
      </c>
      <c r="K38" s="32"/>
      <c r="L38" s="68">
        <f>+K38/$K$20</f>
        <v>0</v>
      </c>
      <c r="M38" s="32">
        <v>1.6E-2</v>
      </c>
      <c r="N38" s="68">
        <f>IF($M$20=0,0,M38/$M$20)</f>
        <v>2.4563008722938474E-5</v>
      </c>
      <c r="O38" s="68" t="str">
        <f>IF(K38=0,"",(M38-K38)/ABS(K38)+1)</f>
        <v/>
      </c>
      <c r="P38" s="32">
        <v>138.10300000000001</v>
      </c>
      <c r="Q38" s="68">
        <f>+P38/$P$20</f>
        <v>4.4300002983208388E-2</v>
      </c>
      <c r="R38" s="34">
        <f t="shared" si="9"/>
        <v>-0.99988414444291585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527.61400000000003</v>
      </c>
      <c r="I39" s="68"/>
      <c r="J39" s="68">
        <f t="shared" si="4"/>
        <v>-1</v>
      </c>
      <c r="K39" s="32">
        <v>0</v>
      </c>
      <c r="L39" s="68">
        <f>+K39/$K$20</f>
        <v>0</v>
      </c>
      <c r="M39" s="32">
        <v>2E-3</v>
      </c>
      <c r="N39" s="68">
        <f>IF($M$20=0,0,M39/$M$20)</f>
        <v>3.0703760903673092E-6</v>
      </c>
      <c r="O39" s="68" t="str">
        <f>IF(K39=0,"",(M39-K39)/ABS(K39)+1)</f>
        <v/>
      </c>
      <c r="P39" s="32">
        <v>3537.895</v>
      </c>
      <c r="Q39" s="68">
        <f>+P39/$P$20</f>
        <v>1.1348686057093476</v>
      </c>
      <c r="R39" s="34">
        <f t="shared" si="9"/>
        <v>-0.99999943469209795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517</v>
      </c>
      <c r="D41" s="68">
        <f>+C41/$C$20</f>
        <v>0.9961464354527938</v>
      </c>
      <c r="E41" s="32">
        <f>+E36-E39</f>
        <v>-764.60300000000007</v>
      </c>
      <c r="F41" s="68">
        <f>IF($E$20=0,0,E41/$E$20)</f>
        <v>0</v>
      </c>
      <c r="G41" s="68">
        <f>IF(C41=0,"",(E41-C41)/ABS(C41)+1)</f>
        <v>-1.4789226305609287</v>
      </c>
      <c r="H41" s="32">
        <f>+H36+H38-H39</f>
        <v>-1959.4408000000001</v>
      </c>
      <c r="I41" s="68">
        <f>+H41/$H$20</f>
        <v>-12.13426306663364</v>
      </c>
      <c r="J41" s="68" t="str">
        <f t="shared" si="4"/>
        <v/>
      </c>
      <c r="K41" s="32">
        <f>K36+K38-K39</f>
        <v>4654</v>
      </c>
      <c r="L41" s="68">
        <f>+K41/$K$20</f>
        <v>0.9961472602739726</v>
      </c>
      <c r="M41" s="32">
        <f>M36+M38-M39</f>
        <v>-5782.2834600000006</v>
      </c>
      <c r="N41" s="68">
        <f>IF($M$20=0,0,M41/$M$20)</f>
        <v>-8.8768924416551798</v>
      </c>
      <c r="O41" s="68">
        <f>IF(K41=0,"",(M41-K41)/ABS(K41)+1)</f>
        <v>-1.2424330597335627</v>
      </c>
      <c r="P41" s="32">
        <f>+P36-P39</f>
        <v>-11377.480639999998</v>
      </c>
      <c r="Q41" s="68">
        <f>+P41/$P$20</f>
        <v>-3.6496124363221329</v>
      </c>
      <c r="R41" s="34" t="str">
        <f t="shared" si="9"/>
        <v/>
      </c>
    </row>
    <row r="42" spans="1:21" x14ac:dyDescent="0.2">
      <c r="B42" s="3" t="s">
        <v>44</v>
      </c>
      <c r="C42" s="32">
        <v>194</v>
      </c>
      <c r="D42" s="68">
        <f>+C42/$C$20</f>
        <v>0.37379576107899809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>
        <f>+I41*33%</f>
        <v>-4.0043068119891014</v>
      </c>
      <c r="J42" s="68" t="str">
        <f t="shared" si="4"/>
        <v/>
      </c>
      <c r="K42" s="32">
        <v>1746</v>
      </c>
      <c r="L42" s="68">
        <f>+K42/$K$20</f>
        <v>0.37371575342465752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517</v>
      </c>
      <c r="D43" s="72">
        <f>+C43/$C$20</f>
        <v>0.9961464354527938</v>
      </c>
      <c r="E43" s="69">
        <f>E41-E42</f>
        <v>-764.60300000000007</v>
      </c>
      <c r="F43" s="72">
        <f>IF($E$20=0,0,E43/$E$20)</f>
        <v>0</v>
      </c>
      <c r="G43" s="72">
        <f>IF(C43=0,"",(E43-C43)/ABS(C43)+1)</f>
        <v>-1.4789226305609287</v>
      </c>
      <c r="H43" s="69">
        <f>+H41-H42</f>
        <v>-1959.4408000000001</v>
      </c>
      <c r="I43" s="72">
        <f>+H43/$H$20</f>
        <v>-12.13426306663364</v>
      </c>
      <c r="J43" s="68" t="str">
        <f t="shared" si="4"/>
        <v/>
      </c>
      <c r="K43" s="69">
        <f>K41-K42</f>
        <v>2908</v>
      </c>
      <c r="L43" s="72">
        <f>+K43/$K$20</f>
        <v>0.62243150684931503</v>
      </c>
      <c r="M43" s="69">
        <f>+M41-M42</f>
        <v>-5782.2834600000006</v>
      </c>
      <c r="N43" s="72">
        <f>IF($M$20=0,0,M43/$M$20)</f>
        <v>-8.8768924416551798</v>
      </c>
      <c r="O43" s="72">
        <f>IF(K43=0,"",(M43-K43)/ABS(K43)+1)</f>
        <v>-1.988405591471802</v>
      </c>
      <c r="P43" s="69">
        <f>P41-P42</f>
        <v>-11377.480639999998</v>
      </c>
      <c r="Q43" s="72">
        <f>+P43/$P$20</f>
        <v>-3.6496124363221329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517</v>
      </c>
      <c r="D45" s="68">
        <f>+C45/$C$20</f>
        <v>0.9961464354527938</v>
      </c>
      <c r="E45" s="32">
        <v>-475.12900000000008</v>
      </c>
      <c r="F45" s="68">
        <f>IF($E$20=0,0,E45/$E$20)</f>
        <v>0</v>
      </c>
      <c r="G45" s="68">
        <f>IF(C45=0,"",(E45-C45)/ABS(C45)+1)</f>
        <v>-0.91901160541586102</v>
      </c>
      <c r="H45" s="32">
        <v>-1665.7608</v>
      </c>
      <c r="I45" s="68">
        <f>+H45/$H$20</f>
        <v>-10.315585831062672</v>
      </c>
      <c r="J45" s="68" t="str">
        <f t="shared" si="4"/>
        <v/>
      </c>
      <c r="K45" s="32">
        <v>4654</v>
      </c>
      <c r="L45" s="68">
        <f>+K45/$K$20</f>
        <v>0.9961472602739726</v>
      </c>
      <c r="M45" s="32">
        <v>-3144.1137099999996</v>
      </c>
      <c r="N45" s="68">
        <f>IF($M$20=0,0,M45/$M$20)</f>
        <v>-4.8268057802900275</v>
      </c>
      <c r="O45" s="68">
        <f>IF(K45=0,"",(M45-K45)/ABS(K45)+1)</f>
        <v>-0.67557234851740433</v>
      </c>
      <c r="P45" s="32">
        <v>-5196.3888499999985</v>
      </c>
      <c r="Q45" s="68">
        <f>+P45/$P$20</f>
        <v>-1.6668721284614434</v>
      </c>
      <c r="R45" s="34" t="str">
        <f t="shared" si="9"/>
        <v/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>
        <f>+H46/$H$20</f>
        <v>0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B54C3-B751-4D51-9A6F-1E4E3AAF441F}">
  <sheetPr>
    <tabColor theme="2" tint="-9.9978637043366805E-2"/>
  </sheetPr>
  <dimension ref="A3:AJ48"/>
  <sheetViews>
    <sheetView showGridLines="0" zoomScale="91" zoomScaleNormal="91" workbookViewId="0">
      <selection activeCell="A15" sqref="A15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90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91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92</v>
      </c>
      <c r="V5" s="19" t="s">
        <v>92</v>
      </c>
      <c r="AI5" s="83">
        <f>+Paramet!G3-Paramet!G4</f>
        <v>350.26999999999953</v>
      </c>
      <c r="AJ5" s="84">
        <f>+AI5/Paramet!G4</f>
        <v>9.1161543866954561E-2</v>
      </c>
    </row>
    <row r="6" spans="1:36" ht="13.5" thickBot="1" x14ac:dyDescent="0.25">
      <c r="B6" s="42" t="str">
        <f>+'COLOMB$ '!B6</f>
        <v>SEPTIEMBRE de 2025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SEPTIEMBRE de 2025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2025</v>
      </c>
      <c r="D7" s="22"/>
      <c r="E7" s="22" t="str">
        <f>+'COLOMB$ '!F7:F7</f>
        <v>Real 2025</v>
      </c>
      <c r="F7" s="22"/>
      <c r="G7" s="22" t="s">
        <v>24</v>
      </c>
      <c r="H7" s="22" t="str">
        <f>+'COLOMB$ '!I7:I7</f>
        <v>Real 2024</v>
      </c>
      <c r="I7" s="22"/>
      <c r="J7" s="22" t="s">
        <v>25</v>
      </c>
      <c r="K7" s="22" t="str">
        <f>+C7</f>
        <v>Ppto 2025</v>
      </c>
      <c r="L7" s="22"/>
      <c r="M7" s="22" t="str">
        <f>+E7</f>
        <v>Real 2025</v>
      </c>
      <c r="N7" s="22"/>
      <c r="O7" s="22" t="s">
        <v>24</v>
      </c>
      <c r="P7" s="22" t="str">
        <f>+H7</f>
        <v>Real 2024</v>
      </c>
      <c r="Q7" s="22"/>
      <c r="R7" s="22" t="s">
        <v>25</v>
      </c>
      <c r="T7" s="10"/>
      <c r="W7" s="15" t="str">
        <f>+C7</f>
        <v>Ppto 2025</v>
      </c>
      <c r="X7" s="15" t="str">
        <f>+M7</f>
        <v>Real 2025</v>
      </c>
      <c r="Y7" s="15" t="str">
        <f>+H7</f>
        <v>Real 2024</v>
      </c>
      <c r="Z7" s="15" t="str">
        <f>+W7</f>
        <v>Ppto 2025</v>
      </c>
      <c r="AA7" s="15" t="str">
        <f>+X7</f>
        <v>Real 2025</v>
      </c>
      <c r="AB7" s="15" t="s">
        <v>26</v>
      </c>
      <c r="AC7" s="15" t="s">
        <v>24</v>
      </c>
      <c r="AD7" s="15" t="str">
        <f>+Y7</f>
        <v>Real 2024</v>
      </c>
      <c r="AE7" s="15" t="s">
        <v>25</v>
      </c>
      <c r="AI7" s="13" t="s">
        <v>93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94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95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79459.244893561539</v>
      </c>
      <c r="D10" s="33">
        <f t="shared" ref="D10:D15" si="0">+C10/$C$20</f>
        <v>0.34229521139642127</v>
      </c>
      <c r="E10" s="35">
        <f>+'COL. CONS.$'!E10/Paramet!$G$3*1000</f>
        <v>87701.295386839105</v>
      </c>
      <c r="F10" s="33">
        <f t="shared" ref="F10:F18" si="1">+E10/$E$20</f>
        <v>0.37466039857130706</v>
      </c>
      <c r="G10" s="33">
        <f t="shared" ref="G10:G18" si="2">IF(C10=0,"",(E10-C10)/ABS(C10)+1)</f>
        <v>1.1037267658951213</v>
      </c>
      <c r="H10" s="35">
        <f>+'COL. CONS.$'!H10/Paramet!$G$4*1000</f>
        <v>95030.608749967476</v>
      </c>
      <c r="I10" s="33">
        <f t="shared" ref="I10:I18" si="3">+H10/$H$20</f>
        <v>0.39460959762530889</v>
      </c>
      <c r="J10" s="34">
        <f t="shared" ref="J10:J18" si="4">IF(H10=0,"",(E10-H10)/ABS(H10))</f>
        <v>-7.712581724497139E-2</v>
      </c>
      <c r="K10" s="35">
        <f>+'COL. CONS.$'!K10/Paramet!$G$5*1000</f>
        <v>780586.5741213297</v>
      </c>
      <c r="L10" s="33">
        <f t="shared" ref="L10:L18" si="5">+K10/$K$20</f>
        <v>0.38310794382784991</v>
      </c>
      <c r="M10" s="35">
        <f>+'COL. CONS.$'!M10/Paramet!$G$3*1000</f>
        <v>853232.33505940274</v>
      </c>
      <c r="N10" s="33">
        <f t="shared" ref="N10:N18" si="6">+M10/$M$20</f>
        <v>0.42323169013221457</v>
      </c>
      <c r="O10" s="33">
        <f t="shared" ref="O10:O18" si="7">IF(K10=0,"",(M10-K10)/ABS(K10)+1)</f>
        <v>1.0930656039272095</v>
      </c>
      <c r="P10" s="35">
        <f>+'COL. CONS.$'!P10/Paramet!$G$4*1000</f>
        <v>908493.10022642685</v>
      </c>
      <c r="Q10" s="33">
        <f t="shared" ref="Q10:Q18" si="8">+P10/$P$20</f>
        <v>0.51275491780646942</v>
      </c>
      <c r="R10" s="34">
        <f t="shared" ref="R10:R18" si="9">IF(P10=0,"",(M10-P10)/ABS(P10))</f>
        <v>-6.0826840790812034E-2</v>
      </c>
      <c r="T10" s="37"/>
      <c r="U10" s="36" t="s">
        <v>96</v>
      </c>
      <c r="V10" s="19" t="s">
        <v>31</v>
      </c>
      <c r="W10" s="35">
        <f>+'COL. CONS.$'!U10/Paramet!G5*1000</f>
        <v>33293.184988601955</v>
      </c>
      <c r="X10" s="35">
        <f>'COLOMB$ '!V10/Paramet!$G$3*1000</f>
        <v>35009.075578940843</v>
      </c>
      <c r="Y10" s="35">
        <f>'COLOMB$ '!W10/Paramet!$G$4*1000</f>
        <v>16056.008120136376</v>
      </c>
      <c r="Z10" s="35">
        <f>'COLOMB$ '!X10/Paramet!$G$5*1000</f>
        <v>28383.518764247561</v>
      </c>
      <c r="AA10" s="35">
        <f>+'COL. CONS.$'!Y10/Paramet!G3*1000</f>
        <v>29846.371080268193</v>
      </c>
      <c r="AB10" s="36">
        <f>+AA10-Z10</f>
        <v>1462.8523160206314</v>
      </c>
      <c r="AC10" s="37">
        <f>IF(Z10=0,"",(AA10-Z10)/ABS(Z10)+1)</f>
        <v>1.0515387936277749</v>
      </c>
      <c r="AD10" s="35">
        <f>'COLOMB$ '!AB10/Paramet!$G$4*1000</f>
        <v>11907.191005387398</v>
      </c>
      <c r="AE10" s="34">
        <f>IF(Y10=0,"",(AA10-AD10)/ABS(AD10))</f>
        <v>1.5065837162403986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17217.969219602375</v>
      </c>
      <c r="D11" s="33">
        <f t="shared" si="0"/>
        <v>7.4171714339037478E-2</v>
      </c>
      <c r="E11" s="35">
        <f>+'COL. CONS.$'!E11/Paramet!$G$3*1000</f>
        <v>15251.664015150613</v>
      </c>
      <c r="F11" s="33">
        <f t="shared" si="1"/>
        <v>6.5155189482520359E-2</v>
      </c>
      <c r="G11" s="33">
        <f t="shared" si="2"/>
        <v>0.88579923803016469</v>
      </c>
      <c r="H11" s="35">
        <f>+'COL. CONS.$'!H11/Paramet!$G$4*1000</f>
        <v>4074.0824506155163</v>
      </c>
      <c r="I11" s="33">
        <f t="shared" si="3"/>
        <v>1.6917412796540372E-2</v>
      </c>
      <c r="J11" s="34">
        <f t="shared" si="4"/>
        <v>2.7435825612332359</v>
      </c>
      <c r="K11" s="35">
        <f>+'COL. CONS.$'!K11/Paramet!$G$5*1000</f>
        <v>134300.06918217597</v>
      </c>
      <c r="L11" s="33">
        <f t="shared" si="5"/>
        <v>6.5913794915365947E-2</v>
      </c>
      <c r="M11" s="35">
        <f>+'COL. CONS.$'!M11/Paramet!$G$3*1000</f>
        <v>86552.236217880694</v>
      </c>
      <c r="N11" s="33">
        <f t="shared" si="6"/>
        <v>4.2932795340750882E-2</v>
      </c>
      <c r="O11" s="33">
        <f t="shared" si="7"/>
        <v>0.64446903672457467</v>
      </c>
      <c r="P11" s="35">
        <f>+'COL. CONS.$'!P11/Paramet!$G$4*1000</f>
        <v>123259.27751607109</v>
      </c>
      <c r="Q11" s="33">
        <f t="shared" si="8"/>
        <v>6.9567727807603424E-2</v>
      </c>
      <c r="R11" s="34">
        <f t="shared" si="9"/>
        <v>-0.29780347603777224</v>
      </c>
      <c r="T11" s="37">
        <f>+E22/C22</f>
        <v>1.0069531639452418</v>
      </c>
      <c r="U11" s="36" t="s">
        <v>97</v>
      </c>
      <c r="V11" s="19" t="s">
        <v>32</v>
      </c>
      <c r="W11" s="35">
        <f>'COLOMB$ '!U11/Paramet!$G$5*1000</f>
        <v>285901.12398353236</v>
      </c>
      <c r="X11" s="35">
        <f>'COLOMB$ '!V11/Paramet!$G$3*1000</f>
        <v>300636.12301046855</v>
      </c>
      <c r="Y11" s="35">
        <f>'COLOMB$ '!W11/Paramet!$G$4*1000</f>
        <v>287446.05647919211</v>
      </c>
      <c r="Z11" s="35">
        <f>'COLOMB$ '!X11/Paramet!$G$5*1000</f>
        <v>2343131.6637882343</v>
      </c>
      <c r="AA11" s="35">
        <f>'COLOMB$ '!Y11/Paramet!$G$3*1000</f>
        <v>2463893.8430509209</v>
      </c>
      <c r="AB11" s="36">
        <f>+AA11-Z11</f>
        <v>120762.17926268652</v>
      </c>
      <c r="AC11" s="37">
        <f>IF(Z11=0,"",(AA11-Z11)/ABS(Z11)+1)</f>
        <v>1.0515387936277749</v>
      </c>
      <c r="AD11" s="35">
        <f>'COLOMB$ '!AB11/Paramet!$G$4*1000</f>
        <v>2616633.9552481584</v>
      </c>
      <c r="AE11" s="34">
        <f>IF(AD11=0,"",(AA11-AD11)/ABS(AD11))</f>
        <v>-5.8372747128381537E-2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14685.674753042314</v>
      </c>
      <c r="D12" s="33">
        <f t="shared" si="0"/>
        <v>6.3263074684705725E-2</v>
      </c>
      <c r="E12" s="35">
        <f>+'COL. CONS.$'!E12/Paramet!$G$3*1000</f>
        <v>13091.937403549615</v>
      </c>
      <c r="F12" s="33">
        <f t="shared" si="1"/>
        <v>5.5928825954611558E-2</v>
      </c>
      <c r="G12" s="33">
        <f t="shared" si="2"/>
        <v>0.89147673659580828</v>
      </c>
      <c r="H12" s="35">
        <f>+'COL. CONS.$'!H12/Paramet!$G$4*1000</f>
        <v>16158.998256252766</v>
      </c>
      <c r="I12" s="33">
        <f t="shared" si="3"/>
        <v>6.7099389173702978E-2</v>
      </c>
      <c r="J12" s="34">
        <f t="shared" si="4"/>
        <v>-0.18980513544621144</v>
      </c>
      <c r="K12" s="35">
        <f>+'COL. CONS.$'!K12/Paramet!$G$5*1000</f>
        <v>143218.4455558958</v>
      </c>
      <c r="L12" s="33">
        <f t="shared" si="5"/>
        <v>7.0290888947074984E-2</v>
      </c>
      <c r="M12" s="35">
        <f>+'COL. CONS.$'!M12/Paramet!$G$3*1000</f>
        <v>126699.82087359305</v>
      </c>
      <c r="N12" s="33">
        <f t="shared" si="6"/>
        <v>6.2847336094038586E-2</v>
      </c>
      <c r="O12" s="33">
        <f t="shared" si="7"/>
        <v>0.88466133242693379</v>
      </c>
      <c r="P12" s="35">
        <f>+'COL. CONS.$'!P12/Paramet!$G$4*1000</f>
        <v>156439.12890716497</v>
      </c>
      <c r="Q12" s="33">
        <f t="shared" si="8"/>
        <v>8.8294487503005586E-2</v>
      </c>
      <c r="R12" s="34">
        <f t="shared" si="9"/>
        <v>-0.19010146784453133</v>
      </c>
      <c r="T12" s="37">
        <f>+E24/C24</f>
        <v>1.0086578455093815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29554.39873884296</v>
      </c>
      <c r="D13" s="33">
        <f t="shared" si="0"/>
        <v>0.12731469041214219</v>
      </c>
      <c r="E13" s="35">
        <f>+'COL. CONS.$'!E13/Paramet!$G$3*1000</f>
        <v>23024.281526605399</v>
      </c>
      <c r="F13" s="33">
        <f t="shared" si="1"/>
        <v>9.8359852674085646E-2</v>
      </c>
      <c r="G13" s="33">
        <f t="shared" si="2"/>
        <v>0.77904753637721236</v>
      </c>
      <c r="H13" s="35">
        <f>+'COL. CONS.$'!H13/Paramet!$G$4*1000</f>
        <v>18029.786242615104</v>
      </c>
      <c r="I13" s="33">
        <f t="shared" si="3"/>
        <v>7.4867737753717287E-2</v>
      </c>
      <c r="J13" s="34">
        <f t="shared" si="4"/>
        <v>0.27701356060369325</v>
      </c>
      <c r="K13" s="35">
        <f>+'COL. CONS.$'!K13/Paramet!$G$5*1000</f>
        <v>230665.85009016367</v>
      </c>
      <c r="L13" s="33">
        <f t="shared" si="5"/>
        <v>0.11320963294663325</v>
      </c>
      <c r="M13" s="35">
        <f>+'COL. CONS.$'!M13/Paramet!$G$3*1000</f>
        <v>190112.8928079913</v>
      </c>
      <c r="N13" s="33">
        <f t="shared" si="6"/>
        <v>9.4302334350055875E-2</v>
      </c>
      <c r="O13" s="33">
        <f t="shared" si="7"/>
        <v>0.82419175935093625</v>
      </c>
      <c r="P13" s="35">
        <f>+'COL. CONS.$'!P13/Paramet!$G$4*1000</f>
        <v>229355.89365223952</v>
      </c>
      <c r="Q13" s="33">
        <f t="shared" si="8"/>
        <v>0.1294488228570726</v>
      </c>
      <c r="R13" s="34">
        <f t="shared" si="9"/>
        <v>-0.17110090444743642</v>
      </c>
      <c r="T13" s="37">
        <f>+E26/C26</f>
        <v>1.062222222852518</v>
      </c>
      <c r="U13" s="36" t="s">
        <v>98</v>
      </c>
      <c r="V13" s="19" t="s">
        <v>33</v>
      </c>
      <c r="W13" s="35">
        <f>'COLOMB$ '!U13/Paramet!$G$5*1000</f>
        <v>63005.344493212215</v>
      </c>
      <c r="X13" s="35">
        <f>'COLOMB$ '!V13/Paramet!$G$3*1000</f>
        <v>66252.563940494743</v>
      </c>
      <c r="Y13" s="35">
        <f>'COLOMB$ '!W13/Paramet!$G$4*1000</f>
        <v>41933.157744059543</v>
      </c>
      <c r="Z13" s="35">
        <f>'COLOMB$ '!X13/Paramet!$G$5*1000</f>
        <v>429684.67353951896</v>
      </c>
      <c r="AA13" s="35">
        <f>'COLOMB$ '!Y13/Paramet!$G$3*1000</f>
        <v>451830.10325409001</v>
      </c>
      <c r="AB13" s="36">
        <f>+Z13-AA13</f>
        <v>-22145.429714571044</v>
      </c>
      <c r="AC13" s="37">
        <f>IF(Z13=0,"",(AA13-Z13)/ABS(Z13)+1)</f>
        <v>1.0515387936277747</v>
      </c>
      <c r="AD13" s="35">
        <f>'COLOMB$ '!AB13/Paramet!$G$4*1000</f>
        <v>423076.44197485875</v>
      </c>
      <c r="AE13" s="34">
        <f>IF(AD13=0,"",(AA13-AD13)/ABS(AD13))</f>
        <v>6.7963276671736628E-2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1866.6938858834339</v>
      </c>
      <c r="X14" s="35">
        <f>'COLOMB$ '!V14/Paramet!$G$3*1000</f>
        <v>1962.9010368342092</v>
      </c>
      <c r="Y14" s="35">
        <f>'COLOMB$ '!W14/Paramet!$G$4*1000</f>
        <v>3070.7714129557817</v>
      </c>
      <c r="Z14" s="35">
        <f>'COLOMB$ '!X14/Paramet!$G$5*1000</f>
        <v>20917.286244088329</v>
      </c>
      <c r="AA14" s="35">
        <f>'COLOMB$ '!Y14/Paramet!$G$3*1000</f>
        <v>21995.33794307549</v>
      </c>
      <c r="AB14" s="36">
        <f>+Z14-AA14</f>
        <v>-1078.0516989871612</v>
      </c>
      <c r="AC14" s="37">
        <f>IF(Z14=0,"",(AA14-Z14)/ABS(Z14)+1)</f>
        <v>1.0515387936277749</v>
      </c>
      <c r="AD14" s="35">
        <f>'COLOMB$ '!AB14/Paramet!$G$4*1000</f>
        <v>29129.310829451111</v>
      </c>
      <c r="AE14" s="34">
        <f>IF(AD14=0,"",(AA14-AD14)/ABS(AD14))</f>
        <v>-0.24490702605853745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32254.545042133082</v>
      </c>
      <c r="D15" s="33">
        <f t="shared" si="0"/>
        <v>0.13894640363725549</v>
      </c>
      <c r="E15" s="35">
        <f>+'COL. CONS.$'!E15/Paramet!$G$3*1000</f>
        <v>29163.868224024882</v>
      </c>
      <c r="F15" s="33">
        <f t="shared" si="1"/>
        <v>0.12458819957560094</v>
      </c>
      <c r="G15" s="33">
        <f t="shared" si="2"/>
        <v>0.90417856416604392</v>
      </c>
      <c r="H15" s="35">
        <f>+'COL. CONS.$'!H15/Paramet!$G$4*1000</f>
        <v>33096.073705853261</v>
      </c>
      <c r="I15" s="33">
        <f t="shared" si="3"/>
        <v>0.13742970291189249</v>
      </c>
      <c r="J15" s="34">
        <f t="shared" si="4"/>
        <v>-0.1188118420564474</v>
      </c>
      <c r="K15" s="35">
        <f>+'COL. CONS.$'!K15/Paramet!$G$5*1000</f>
        <v>273656.78835924831</v>
      </c>
      <c r="L15" s="33">
        <f t="shared" si="5"/>
        <v>0.13430936808112331</v>
      </c>
      <c r="M15" s="35">
        <f>+'COL. CONS.$'!M15/Paramet!$G$3*1000</f>
        <v>253669.58953577402</v>
      </c>
      <c r="N15" s="33">
        <f t="shared" si="6"/>
        <v>0.12582857529291386</v>
      </c>
      <c r="O15" s="33">
        <f t="shared" si="7"/>
        <v>0.92696253236285264</v>
      </c>
      <c r="P15" s="35">
        <f>+'COL. CONS.$'!P15/Paramet!$G$4*1000</f>
        <v>315365.22811857483</v>
      </c>
      <c r="Q15" s="33">
        <f t="shared" si="8"/>
        <v>0.17799262491113693</v>
      </c>
      <c r="R15" s="34">
        <f t="shared" si="9"/>
        <v>-0.19563234333369098</v>
      </c>
      <c r="T15" s="37"/>
      <c r="U15" s="89"/>
      <c r="V15" s="19" t="s">
        <v>35</v>
      </c>
      <c r="W15" s="35">
        <f>'COLOMB$ '!U15/Paramet!$G$5*1000</f>
        <v>97100.001360960843</v>
      </c>
      <c r="X15" s="35">
        <f>'COLOMB$ '!V15/Paramet!$G$3*1000</f>
        <v>102104.41829236005</v>
      </c>
      <c r="Y15" s="35">
        <f>'COLOMB$ '!W15/Paramet!$G$4*1000</f>
        <v>107510.82867032767</v>
      </c>
      <c r="Z15" s="35">
        <f>'COLOMB$ '!X15/Paramet!$G$5*1000</f>
        <v>970663.01135268179</v>
      </c>
      <c r="AA15" s="35">
        <f>'COLOMB$ '!Y15/Paramet!$G$3*1000</f>
        <v>1020689.8119769021</v>
      </c>
      <c r="AB15" s="36">
        <f>+Z15-AA15</f>
        <v>-50026.800624220283</v>
      </c>
      <c r="AC15" s="37">
        <f>IF(Z15=0,"",(AA15-Z15)/ABS(Z15)+1)</f>
        <v>1.0515387936277747</v>
      </c>
      <c r="AD15" s="35">
        <f>'COLOMB$ '!AB15/Paramet!$G$4*1000</f>
        <v>1050631.7809645263</v>
      </c>
      <c r="AE15" s="34">
        <f>IF(AD15=0,"",(AA15-AD15)/ABS(AD15))</f>
        <v>-2.8499013193886282E-2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55530.952443491777</v>
      </c>
      <c r="X16" s="35">
        <f>'COLOMB$ '!V16/Paramet!$G$3*1000</f>
        <v>58392.950741430679</v>
      </c>
      <c r="Y16" s="35">
        <f>'COLOMB$ '!W16/Paramet!$G$4*1000</f>
        <v>48272.705897509295</v>
      </c>
      <c r="Z16" s="35">
        <f>'COLOMB$ '!X16/Paramet!$G$5*1000</f>
        <v>464221.03817721986</v>
      </c>
      <c r="AA16" s="35">
        <f>'COLOMB$ '!Y16/Paramet!$G$3*1000</f>
        <v>488146.43046150694</v>
      </c>
      <c r="AB16" s="36">
        <f>+Z16-AA16</f>
        <v>-23925.392284287082</v>
      </c>
      <c r="AC16" s="37">
        <f>IF(Z16=0,"",(AA16-Z16)/ABS(Z16)+1)</f>
        <v>1.0515387936277747</v>
      </c>
      <c r="AD16" s="35">
        <f>'COLOMB$ '!AB16/Paramet!$G$4*1000</f>
        <v>574812.20848970662</v>
      </c>
      <c r="AE16" s="34">
        <f>IF(AD16=0,"",(AA16-AD16)/ABS(AD16))</f>
        <v>-0.15077233355204847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4434.9177185759818</v>
      </c>
      <c r="D17" s="33"/>
      <c r="E17" s="35">
        <f>+'COL. CONS.$'!E17/Paramet!$G$3*1000</f>
        <v>3878.3657756459643</v>
      </c>
      <c r="F17" s="33">
        <f t="shared" si="1"/>
        <v>1.6568399142789497E-2</v>
      </c>
      <c r="G17" s="33">
        <f t="shared" si="2"/>
        <v>0.874506816530359</v>
      </c>
      <c r="H17" s="35">
        <f>+'COL. CONS.$'!H17/Paramet!$G$4*1000</f>
        <v>6081.2034458527442</v>
      </c>
      <c r="I17" s="33">
        <f t="shared" si="3"/>
        <v>2.5251877015324439E-2</v>
      </c>
      <c r="J17" s="34">
        <f t="shared" si="4"/>
        <v>-0.36223712786801598</v>
      </c>
      <c r="K17" s="35">
        <f>+'COL. CONS.$'!K17/Paramet!$G$5*1000</f>
        <v>34672.291971465194</v>
      </c>
      <c r="L17" s="33">
        <f t="shared" si="5"/>
        <v>1.7016985591814998E-2</v>
      </c>
      <c r="M17" s="35">
        <f>+'COL. CONS.$'!M17/Paramet!$G$3*1000</f>
        <v>38842.142886105656</v>
      </c>
      <c r="N17" s="33">
        <f t="shared" si="6"/>
        <v>1.9266998104213853E-2</v>
      </c>
      <c r="O17" s="33">
        <f t="shared" si="7"/>
        <v>1.1202646458466661</v>
      </c>
      <c r="P17" s="35">
        <f>+'COL. CONS.$'!P17/Paramet!$G$4*1000</f>
        <v>38875.546938031905</v>
      </c>
      <c r="Q17" s="33">
        <f t="shared" si="8"/>
        <v>2.1941419114712007E-2</v>
      </c>
      <c r="R17" s="34">
        <f t="shared" si="9"/>
        <v>-8.592561277528881E-4</v>
      </c>
      <c r="V17" s="19" t="s">
        <v>37</v>
      </c>
      <c r="W17" s="35">
        <f>'COLOMB$ '!U17/Paramet!$G$5*1000</f>
        <v>217502.99218354822</v>
      </c>
      <c r="X17" s="35">
        <f>'COLOMB$ '!V17/Paramet!$G$3*1000</f>
        <v>228712.83401111967</v>
      </c>
      <c r="Y17" s="35">
        <f>'COLOMB$ '!W17/Paramet!$G$4*1000</f>
        <v>200787.46372485228</v>
      </c>
      <c r="Z17" s="35">
        <f>'COLOMB$ '!X17/Paramet!$G$5*1000</f>
        <v>1885486.0093135089</v>
      </c>
      <c r="AA17" s="35">
        <f>'COLOMB$ '!Y17/Paramet!$G$3*1000</f>
        <v>1982661.6836355745</v>
      </c>
      <c r="AB17" s="36">
        <f>+AA17-Z17</f>
        <v>97175.674322065664</v>
      </c>
      <c r="AC17" s="37">
        <f>IF(Z17=0,"",(AA17-Z17)/ABS(Z17)+1)</f>
        <v>1.0515387936277749</v>
      </c>
      <c r="AD17" s="35">
        <f>'COLOMB$ '!AB17/Paramet!$G$4*1000</f>
        <v>2077649.7422585429</v>
      </c>
      <c r="AE17" s="34">
        <f>IF(AD17=0,"",(AA17-AD17)/ABS(AD17))</f>
        <v>-4.5718995214135597E-2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54529.844737051026</v>
      </c>
      <c r="D18" s="33"/>
      <c r="E18" s="35">
        <f>+'COL. CONS.$'!E18/Paramet!$G$3*1000</f>
        <v>61970.694347381206</v>
      </c>
      <c r="F18" s="33">
        <f t="shared" si="1"/>
        <v>0.26473913459908477</v>
      </c>
      <c r="G18" s="33">
        <f t="shared" si="2"/>
        <v>1.136454626750008</v>
      </c>
      <c r="H18" s="35">
        <f>+'COL. CONS.$'!H18/Paramet!$G$4*1000</f>
        <v>53903.970017957989</v>
      </c>
      <c r="I18" s="33">
        <f t="shared" si="3"/>
        <v>0.22383339640766423</v>
      </c>
      <c r="J18" s="41">
        <f t="shared" si="4"/>
        <v>0.14964991125395413</v>
      </c>
      <c r="K18" s="35">
        <f>+'COL. CONS.$'!K18/Paramet!$G$5*1000</f>
        <v>440410.78334637592</v>
      </c>
      <c r="L18" s="33">
        <f t="shared" si="5"/>
        <v>0.21615138569013764</v>
      </c>
      <c r="M18" s="35">
        <f>+'COL. CONS.$'!M18/Paramet!$G$3*1000</f>
        <v>466884.47968668386</v>
      </c>
      <c r="N18" s="33">
        <f t="shared" si="6"/>
        <v>0.23159027068581234</v>
      </c>
      <c r="O18" s="33">
        <f t="shared" si="7"/>
        <v>1.0601113717951061</v>
      </c>
      <c r="P18" s="35">
        <f>+'COL. CONS.$'!P18/Paramet!$G$4*1000</f>
        <v>416387.36980454414</v>
      </c>
      <c r="Q18" s="33">
        <f t="shared" si="8"/>
        <v>0.23500967869383765</v>
      </c>
      <c r="R18" s="41">
        <f t="shared" si="9"/>
        <v>0.12127435542976124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14447.11552976082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1.0128679735490782</v>
      </c>
      <c r="U19" s="36" t="s">
        <v>99</v>
      </c>
      <c r="V19" s="19" t="s">
        <v>38</v>
      </c>
      <c r="W19" s="35">
        <f>+W11-W17</f>
        <v>68398.131799984141</v>
      </c>
      <c r="X19" s="35">
        <f>+X11-X17</f>
        <v>71923.288999348879</v>
      </c>
      <c r="Y19" s="35">
        <f>+Y11-Y17</f>
        <v>86658.592754339828</v>
      </c>
      <c r="Z19" s="35">
        <f>+Z11-Z17</f>
        <v>457645.65447472548</v>
      </c>
      <c r="AA19" s="35">
        <f>+AA11-AA17</f>
        <v>481232.15941534634</v>
      </c>
      <c r="AB19" s="36">
        <f>+AA19-Z19</f>
        <v>23586.504940620856</v>
      </c>
      <c r="AC19" s="37">
        <f>IF(Z19=0,"",(AA19-Z19)/ABS(Z19)+1)</f>
        <v>1.0515387936277749</v>
      </c>
      <c r="AD19" s="35">
        <f>+AD11-AD17</f>
        <v>538984.21298961551</v>
      </c>
      <c r="AE19" s="34">
        <f>IF(AD19=0,"",(AA19-AD19)/ABS(AD19))</f>
        <v>-0.10714980547191252</v>
      </c>
      <c r="AF19" s="83"/>
    </row>
    <row r="20" spans="2:33" x14ac:dyDescent="0.2">
      <c r="B20" s="42" t="s">
        <v>39</v>
      </c>
      <c r="C20" s="43">
        <f>SUM(C10:C19)</f>
        <v>232136.59510280925</v>
      </c>
      <c r="D20" s="44">
        <f>+C20/$C$20</f>
        <v>1</v>
      </c>
      <c r="E20" s="43">
        <f>SUM(E10:E19)</f>
        <v>234082.10667919682</v>
      </c>
      <c r="F20" s="44">
        <f>+E20/$E$20</f>
        <v>1</v>
      </c>
      <c r="G20" s="44">
        <f>IF(C20=0,"",(E20-C20)/ABS(C20)+1)</f>
        <v>1.0083808913261862</v>
      </c>
      <c r="H20" s="43">
        <f>+'COL. CONS.$'!H20/Paramet!$G$4*1000</f>
        <v>240821.83839887564</v>
      </c>
      <c r="I20" s="44">
        <f>+H20/$H$20</f>
        <v>1</v>
      </c>
      <c r="J20" s="45">
        <f>IF(H20=0,"",(E20-H20)/ABS(H20))</f>
        <v>-2.7986380988071918E-2</v>
      </c>
      <c r="K20" s="43">
        <f>SUM(K10:K19)</f>
        <v>2037510.8026266545</v>
      </c>
      <c r="L20" s="44">
        <f>+K20/$K$20</f>
        <v>1</v>
      </c>
      <c r="M20" s="43">
        <f>SUM(M10:M19)</f>
        <v>2015993.4970674315</v>
      </c>
      <c r="N20" s="44">
        <f>+M20/$M$20</f>
        <v>1</v>
      </c>
      <c r="O20" s="44">
        <f>IF(K20=0,"",(M20-K20)/ABS(K20)+1)</f>
        <v>0.9894394152259296</v>
      </c>
      <c r="P20" s="43">
        <f>SUM(P10:P17)</f>
        <v>1771788.1753585092</v>
      </c>
      <c r="Q20" s="44">
        <f>+P20/$P$20</f>
        <v>1</v>
      </c>
      <c r="R20" s="45">
        <f>IF(P20=0,"",(M20-P20)/ABS(P20))</f>
        <v>0.13782986313220486</v>
      </c>
      <c r="T20" s="37">
        <f>+E28/C28</f>
        <v>1.0340174154966641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1.0820743237162151</v>
      </c>
      <c r="U21" s="36"/>
      <c r="V21" s="19" t="s">
        <v>40</v>
      </c>
      <c r="W21" s="35">
        <f>+'COL. CONS.$'!U21/Paramet!G5*1000</f>
        <v>101691.31678858612</v>
      </c>
      <c r="X21" s="35">
        <f>+X10+X19</f>
        <v>106932.36457828972</v>
      </c>
      <c r="Y21" s="35">
        <f>'COLOMB$ '!W21/Paramet!$G$4*1000</f>
        <v>102714.60087447622</v>
      </c>
      <c r="Z21" s="35">
        <f>'COLOMB$ '!X21/Paramet!$G$5*1000</f>
        <v>486029.17323897308</v>
      </c>
      <c r="AA21" s="35">
        <f>+'COL. CONS.$'!Y21/Paramet!G3*1000</f>
        <v>511078.53049561451</v>
      </c>
      <c r="AB21" s="36">
        <f>+AA21-Z21</f>
        <v>25049.357256641437</v>
      </c>
      <c r="AC21" s="37">
        <f>IF(Z21=0,"",(AA21-Z21)/ABS(Z21)+1)</f>
        <v>1.0515387936277747</v>
      </c>
      <c r="AD21" s="35">
        <f>'COLOMB$ '!AB21/Paramet!$G$4*1000</f>
        <v>550891.40399500309</v>
      </c>
      <c r="AE21" s="34">
        <f>IF(AD21=0,"",(AA21-AD21)/ABS(AD21))</f>
        <v>-7.2269912383221183E-2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37714.493098794417</v>
      </c>
      <c r="D22" s="33">
        <f>+C22/$C$20</f>
        <v>0.16246681434304369</v>
      </c>
      <c r="E22" s="35">
        <f>+'COL. CONS.$'!E22/Paramet!$G$3*1000</f>
        <v>37976.728152422023</v>
      </c>
      <c r="F22" s="33">
        <f>+E22/$E$20</f>
        <v>0.16223678388399032</v>
      </c>
      <c r="G22" s="33">
        <f>IF(C22=0,"",(E22-C22)/ABS(C22)+1)</f>
        <v>1.0069531639452418</v>
      </c>
      <c r="H22" s="35">
        <f>+'COL. CONS.$'!H22/Paramet!$G$4*1000</f>
        <v>27187.926884938708</v>
      </c>
      <c r="I22" s="33">
        <f>+H22/$H$20</f>
        <v>0.1128964344168284</v>
      </c>
      <c r="J22" s="34">
        <f>IF(H22=0,"",(E22-H22)/ABS(H22))</f>
        <v>0.3968232411813637</v>
      </c>
      <c r="K22" s="35">
        <f>+'COL. CONS.$'!K22/Paramet!$G$5*1000</f>
        <v>287913.76044820982</v>
      </c>
      <c r="L22" s="33">
        <f>+K22/$K$20</f>
        <v>0.14130661789721369</v>
      </c>
      <c r="M22" s="35">
        <f>+'COL. CONS.$'!M22/Paramet!$G$3*1000</f>
        <v>280914.29096711567</v>
      </c>
      <c r="N22" s="33">
        <f>+M22/$M$20</f>
        <v>0.13934285570650309</v>
      </c>
      <c r="O22" s="33">
        <f>IF(K22=0,"",(M22-K22)/ABS(K22)+1)</f>
        <v>0.97568900676995174</v>
      </c>
      <c r="P22" s="35">
        <f>+'COL. CONS.$'!P22/Paramet!$G$4*1000</f>
        <v>275659.87522317364</v>
      </c>
      <c r="Q22" s="33">
        <f>+P22/$P$20</f>
        <v>0.15558286202434768</v>
      </c>
      <c r="R22" s="34">
        <f>IF(P22=0,"",(M22-P22)/ABS(P22))</f>
        <v>1.906122804302969E-2</v>
      </c>
      <c r="T22" s="37">
        <f>+E32/C32</f>
        <v>0.97822598093726476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1.0019774803821626</v>
      </c>
      <c r="U23" s="89">
        <v>2101</v>
      </c>
      <c r="V23" s="19" t="s">
        <v>42</v>
      </c>
      <c r="W23" s="35">
        <f>'COLOMB$ '!U23/Paramet!$G$5*1000</f>
        <v>16620.37219330181</v>
      </c>
      <c r="X23" s="35">
        <f>'COLOMB$ '!V23/Paramet!$G$3*1000</f>
        <v>17476.966125789197</v>
      </c>
      <c r="Y23" s="35">
        <f>'COLOMB$ '!W23/Paramet!$G$4*1000</f>
        <v>20405.811362985711</v>
      </c>
      <c r="Z23" s="35">
        <f>'COLOMB$ '!X23/Paramet!$G$5*1000</f>
        <v>19069.285125832175</v>
      </c>
      <c r="AA23" s="35">
        <f>'COLOMB$ '!Y23/Paramet!$G$3*1000</f>
        <v>20052.093076561632</v>
      </c>
      <c r="AB23" s="36">
        <f>+AA23-Z23</f>
        <v>982.80795072945693</v>
      </c>
      <c r="AC23" s="37">
        <f>IF(Z23=0,"",(AA23-Z23)/ABS(Z23)+1)</f>
        <v>1.0515387936277747</v>
      </c>
      <c r="AD23" s="35">
        <f>'COLOMB$ '!AB23/Paramet!$G$4*1000</f>
        <v>77143.775902454232</v>
      </c>
      <c r="AE23" s="34">
        <f>IF(AD23=0,"",(AA23-AD23)/ABS(AD23))</f>
        <v>-0.74006855586227915</v>
      </c>
      <c r="AF23" s="83"/>
    </row>
    <row r="24" spans="2:33" x14ac:dyDescent="0.2">
      <c r="B24" s="19" t="s">
        <v>43</v>
      </c>
      <c r="C24" s="35">
        <f>C20-C22</f>
        <v>194422.10200401483</v>
      </c>
      <c r="D24" s="33">
        <f>+C24/$C$20</f>
        <v>0.83753318565695622</v>
      </c>
      <c r="E24" s="35">
        <f>E20-E22</f>
        <v>196105.37852677479</v>
      </c>
      <c r="F24" s="33">
        <f>+E24/$E$20</f>
        <v>0.83776321611600968</v>
      </c>
      <c r="G24" s="33">
        <f>IF(C24=0,"",(E24-C24)/ABS(C24)+1)</f>
        <v>1.0086578455093815</v>
      </c>
      <c r="H24" s="35">
        <f>+'COL. CONS.$'!H24/Paramet!$G$4*1000</f>
        <v>213633.91151393694</v>
      </c>
      <c r="I24" s="33">
        <f>+H24/$H$20</f>
        <v>0.8871035655831716</v>
      </c>
      <c r="J24" s="34">
        <f>IF(H24=0,"",(E24-H24)/ABS(H24))</f>
        <v>-8.2049394044908616E-2</v>
      </c>
      <c r="K24" s="35">
        <f>K20-K22</f>
        <v>1749597.0421784446</v>
      </c>
      <c r="L24" s="33">
        <f>+K24/$K$20</f>
        <v>0.85869338210278623</v>
      </c>
      <c r="M24" s="35">
        <f>M20-M22</f>
        <v>1735079.2061003158</v>
      </c>
      <c r="N24" s="33">
        <f>+M24/$M$20</f>
        <v>0.86065714429349693</v>
      </c>
      <c r="O24" s="33">
        <f>IF(K24=0,"",(M24-K24)/ABS(K24)+1)</f>
        <v>0.99170218300091972</v>
      </c>
      <c r="P24" s="35">
        <f>P20-P22</f>
        <v>1496128.3001353354</v>
      </c>
      <c r="Q24" s="33">
        <f>+P24/$P$20</f>
        <v>0.84441713797565232</v>
      </c>
      <c r="R24" s="34">
        <f>IF(P24=0,"",(M24-P24)/ABS(P24))</f>
        <v>0.15971284410793216</v>
      </c>
      <c r="T24" s="37">
        <f>+E34/C34</f>
        <v>1.0233994645484128</v>
      </c>
      <c r="U24" s="36" t="s">
        <v>100</v>
      </c>
      <c r="AE24" s="34"/>
      <c r="AF24" s="83"/>
    </row>
    <row r="25" spans="2:33" x14ac:dyDescent="0.2">
      <c r="J25" s="34"/>
      <c r="R25" s="34"/>
      <c r="T25" s="37">
        <f>+E36/C36</f>
        <v>0.18096886240851279</v>
      </c>
      <c r="U25" s="89" t="s">
        <v>101</v>
      </c>
      <c r="V25" s="19" t="s">
        <v>44</v>
      </c>
      <c r="W25" s="35">
        <f>'COLOMB$ '!U25/Paramet!$G$5*1000</f>
        <v>80197.899472627672</v>
      </c>
      <c r="X25" s="35">
        <f>'COLOMB$ '!V25/Paramet!$G$3*1000</f>
        <v>84331.202462928457</v>
      </c>
      <c r="Y25" s="35">
        <f>'COLOMB$ '!W25/Paramet!$G$4*1000</f>
        <v>76179.367818754399</v>
      </c>
      <c r="Z25" s="35">
        <f>'COLOMB$ '!X25/Paramet!$G$5*1000</f>
        <v>426793.34360178286</v>
      </c>
      <c r="AA25" s="35">
        <f>'COLOMB$ '!Y25/Paramet!$G$3*1000</f>
        <v>448789.75765938318</v>
      </c>
      <c r="AB25" s="36">
        <f>+AA25-Z25</f>
        <v>21996.414057600312</v>
      </c>
      <c r="AC25" s="37">
        <f>IF(Z25=0,"",(AA25-Z25)/ABS(Z25)+1)</f>
        <v>1.0515387936277749</v>
      </c>
      <c r="AD25" s="35">
        <f>'COLOMB$ '!AB25/Paramet!$G$4*1000</f>
        <v>462048.53467974905</v>
      </c>
      <c r="AE25" s="34">
        <f>IF(AD25=0,"",(AA25-AD25)/ABS(AD25))</f>
        <v>-2.8695636984447267E-2</v>
      </c>
    </row>
    <row r="26" spans="2:33" x14ac:dyDescent="0.2">
      <c r="B26" s="19" t="s">
        <v>45</v>
      </c>
      <c r="C26" s="35">
        <f>+'COL. CONS.$'!C26/Paramet!$G$5*1000</f>
        <v>54729.452326675972</v>
      </c>
      <c r="D26" s="33">
        <f>+C26/$C$20</f>
        <v>0.23576400051201427</v>
      </c>
      <c r="E26" s="35">
        <f>+'COL. CONS.$'!E26/Paramet!$G$3*1000</f>
        <v>58134.840505942659</v>
      </c>
      <c r="F26" s="33">
        <f>+E26/$E$20</f>
        <v>0.24835234666447564</v>
      </c>
      <c r="G26" s="33">
        <f>IF(C26=0,"",(E26-C26)/ABS(C26)+1)</f>
        <v>1.062222222852518</v>
      </c>
      <c r="H26" s="35">
        <f>+'COL. CONS.$'!H26/Paramet!$G$4*1000</f>
        <v>50479.981248210701</v>
      </c>
      <c r="I26" s="33">
        <f>+H26/$H$20</f>
        <v>0.20961546338085918</v>
      </c>
      <c r="J26" s="34">
        <f>IF(H26=0,"",(E26-H26)/ABS(H26))</f>
        <v>0.15164148378132153</v>
      </c>
      <c r="K26" s="35">
        <f>+'COL. CONS.$'!K26/Paramet!$G$5*1000</f>
        <v>462100.6430539962</v>
      </c>
      <c r="L26" s="33">
        <f>+K26/$K$20</f>
        <v>0.22679665916778441</v>
      </c>
      <c r="M26" s="35">
        <f>+'COL. CONS.$'!M26/Paramet!$G$3*1000</f>
        <v>464828.08566583268</v>
      </c>
      <c r="N26" s="33">
        <f>+M26/$M$20</f>
        <v>0.23057023067881702</v>
      </c>
      <c r="O26" s="33">
        <f>IF(K26=0,"",(M26-K26)/ABS(K26)+1)</f>
        <v>1.0059022696740065</v>
      </c>
      <c r="P26" s="35">
        <f>+'COL. CONS.$'!P26/Paramet!$G$4*1000</f>
        <v>493782.5763448975</v>
      </c>
      <c r="Q26" s="33">
        <f>+P26/$P$20</f>
        <v>0.27869165355784359</v>
      </c>
      <c r="R26" s="34">
        <f>IF(P26=0,"",(M26-P26)/ABS(P26))</f>
        <v>-5.8638137646316375E-2</v>
      </c>
      <c r="T26" s="37">
        <f>+E38/C38</f>
        <v>0.1689640858121047</v>
      </c>
      <c r="U26" s="89" t="s">
        <v>102</v>
      </c>
      <c r="AE26" s="34"/>
    </row>
    <row r="27" spans="2:33" x14ac:dyDescent="0.2">
      <c r="B27" s="19" t="s">
        <v>46</v>
      </c>
      <c r="C27" s="35">
        <f>+'COL. CONS.$'!C27/Paramet!$G$5*1000</f>
        <v>72986.96879997279</v>
      </c>
      <c r="D27" s="33">
        <f>+C27/$C$20</f>
        <v>0.31441388535766251</v>
      </c>
      <c r="E27" s="35">
        <f>+'COL. CONS.$'!E27/Paramet!$G$3*1000</f>
        <v>73926.163183918237</v>
      </c>
      <c r="F27" s="33">
        <f>+E27/$E$20</f>
        <v>0.31581296081392518</v>
      </c>
      <c r="G27" s="33">
        <f>IF(C27=0,"",(E27-C27)/ABS(C27)+1)</f>
        <v>1.0128679735490782</v>
      </c>
      <c r="H27" s="35">
        <f>+'COL. CONS.$'!H27/Paramet!$G$4*1000</f>
        <v>84778.818429065926</v>
      </c>
      <c r="I27" s="33">
        <f>+H27/$H$20</f>
        <v>0.35203957827381882</v>
      </c>
      <c r="J27" s="34">
        <f>IF(H27=0,"",(E27-H27)/ABS(H27))</f>
        <v>-0.12801140009079107</v>
      </c>
      <c r="K27" s="35">
        <f>+'COL. CONS.$'!K27/Paramet!$G$5*1000</f>
        <v>701240.96945777058</v>
      </c>
      <c r="L27" s="33">
        <f>+K27/$K$20</f>
        <v>0.34416552224104369</v>
      </c>
      <c r="M27" s="35">
        <f>+'COL. CONS.$'!M27/Paramet!$G$3*1000</f>
        <v>706914.91027937515</v>
      </c>
      <c r="N27" s="33">
        <f>+M27/$M$20</f>
        <v>0.35065336833064698</v>
      </c>
      <c r="O27" s="33">
        <f>IF(K27=0,"",(M27-K27)/ABS(K27)+1)</f>
        <v>1.0080912854050612</v>
      </c>
      <c r="P27" s="35">
        <f>+'COL. CONS.$'!P27/Paramet!$G$4*1000</f>
        <v>801314.05073523673</v>
      </c>
      <c r="Q27" s="33">
        <f>+P27/$P$20</f>
        <v>0.45226289568903816</v>
      </c>
      <c r="R27" s="34">
        <f>IF(P27=0,"",(M27-P27)/ABS(P27))</f>
        <v>-0.11780542269194794</v>
      </c>
      <c r="T27" s="37">
        <f>+E39/C39</f>
        <v>1.1709055545272513</v>
      </c>
      <c r="U27" s="36"/>
      <c r="V27" s="19" t="s">
        <v>47</v>
      </c>
      <c r="W27" s="35">
        <f>'COLOMB$ '!U27/Paramet!$G$5*1000</f>
        <v>16561.618735894208</v>
      </c>
      <c r="X27" s="35">
        <f>'COLOMB$ '!V27/Paramet!$G$3*1000</f>
        <v>17415.184586065348</v>
      </c>
      <c r="Y27" s="35">
        <f>'COLOMB$ '!W27/Paramet!$G$4*1000</f>
        <v>-52604.086208781198</v>
      </c>
      <c r="Z27" s="35">
        <f>'COLOMB$ '!X27/Paramet!$G$5*1000</f>
        <v>51855.103036076805</v>
      </c>
      <c r="AA27" s="35">
        <f>'COLOMB$ '!Y27/Paramet!$G$3*1000</f>
        <v>54527.652490000175</v>
      </c>
      <c r="AB27" s="36">
        <f>+AA27-Z27</f>
        <v>2672.5494539233696</v>
      </c>
      <c r="AC27" s="37">
        <f>IF(Z27=0,"",(AA27-Z27)/ABS(Z27)+1)</f>
        <v>1.0515387936277749</v>
      </c>
      <c r="AD27" s="35">
        <f>'COLOMB$ '!AB27/Paramet!$G$4*1000</f>
        <v>-150072.6127579835</v>
      </c>
      <c r="AE27" s="34">
        <f>IF(AD27=0,"",(AA27-AD27)/ABS(AD27))</f>
        <v>1.3633417949345288</v>
      </c>
    </row>
    <row r="28" spans="2:33" x14ac:dyDescent="0.2">
      <c r="B28" s="19" t="s">
        <v>48</v>
      </c>
      <c r="C28" s="35">
        <f>SUM(C26:C27)</f>
        <v>127716.42112664875</v>
      </c>
      <c r="D28" s="33">
        <f>+C28/$C$20</f>
        <v>0.55017788586967675</v>
      </c>
      <c r="E28" s="35">
        <f>SUM(E26:E27)</f>
        <v>132061.0036898609</v>
      </c>
      <c r="F28" s="33">
        <f>+E28/$E$20</f>
        <v>0.56416530747840077</v>
      </c>
      <c r="G28" s="33">
        <f>IF(C28=0,"",(E28-C28)/ABS(C28)+1)</f>
        <v>1.0340174154966641</v>
      </c>
      <c r="H28" s="35">
        <f>+'COL. CONS.$'!H28/Paramet!$G$4*1000</f>
        <v>135258.79967727661</v>
      </c>
      <c r="I28" s="33">
        <f>+H28/$H$20</f>
        <v>0.56165504165467794</v>
      </c>
      <c r="J28" s="34">
        <f>IF(H28=0,"",(E28-H28)/ABS(H28))</f>
        <v>-2.3642055045923472E-2</v>
      </c>
      <c r="K28" s="35">
        <f>SUM(K26:K27)</f>
        <v>1163341.6125117668</v>
      </c>
      <c r="L28" s="33">
        <f>+K28/$K$20</f>
        <v>0.57096218140882804</v>
      </c>
      <c r="M28" s="35">
        <f>SUM(M26:M27)</f>
        <v>1171742.9959452078</v>
      </c>
      <c r="N28" s="33">
        <f>+M28/$M$20</f>
        <v>0.58122359900946396</v>
      </c>
      <c r="O28" s="33">
        <f>IF(K28=0,"",(M28-K28)/ABS(K28)+1)</f>
        <v>1.0072217681746134</v>
      </c>
      <c r="P28" s="35">
        <f>SUM(P26:P27)</f>
        <v>1295096.6270801341</v>
      </c>
      <c r="Q28" s="33">
        <f>+P28/$P$20</f>
        <v>0.73095454924688175</v>
      </c>
      <c r="R28" s="34">
        <f>IF(P28=0,"",(M28-P28)/ABS(P28))</f>
        <v>-9.5246662338264149E-2</v>
      </c>
      <c r="T28" s="37">
        <f>+E41/C41</f>
        <v>1.8213240043575369</v>
      </c>
      <c r="U28" s="17"/>
      <c r="V28" s="19" t="s">
        <v>49</v>
      </c>
      <c r="W28" s="35">
        <f>'COLOMB$ '!U28/Paramet!$G$5*1000</f>
        <v>0</v>
      </c>
      <c r="X28" s="35">
        <f>'COLOMB$ '!V28/Paramet!$G$3*1000</f>
        <v>0</v>
      </c>
      <c r="Y28" s="35">
        <f>'COLOMB$ '!W28/Paramet!$G$4*1000</f>
        <v>21204.689378757514</v>
      </c>
      <c r="Z28" s="35">
        <f>'COLOMB$ '!X28/Paramet!$G$5*1000</f>
        <v>0</v>
      </c>
      <c r="AA28" s="35">
        <f>'COLOMB$ '!Y28/Paramet!$G$3*1000</f>
        <v>0</v>
      </c>
      <c r="AB28" s="36">
        <f>+AA28-Z28</f>
        <v>0</v>
      </c>
      <c r="AC28" s="37" t="str">
        <f>IF(Z28=0,"",(AA28-Z28)/ABS(Z28)+1)</f>
        <v/>
      </c>
      <c r="AD28" s="35">
        <f>'COLOMB$ '!AB28/Paramet!$G$4*1000</f>
        <v>124242.98202899305</v>
      </c>
      <c r="AE28" s="34">
        <f>IF(AD28=0,"",(AA28-AD28)/ABS(AD28))</f>
        <v>-1</v>
      </c>
    </row>
    <row r="29" spans="2:33" x14ac:dyDescent="0.2">
      <c r="J29" s="34"/>
      <c r="R29" s="34"/>
      <c r="T29" s="24">
        <f>+E42/C42</f>
        <v>8.1054371442823139E-2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14478.355052000046</v>
      </c>
      <c r="D30" s="33">
        <f>+C30/$C$20</f>
        <v>6.2369981112145784E-2</v>
      </c>
      <c r="E30" s="35">
        <f>+'COL. CONS.$'!E30/Paramet!$G$3*1000</f>
        <v>15666.656251416196</v>
      </c>
      <c r="F30" s="33">
        <f>+E30/$E$20</f>
        <v>6.6928038514652136E-2</v>
      </c>
      <c r="G30" s="33">
        <f>IF(C30=0,"",(E30-C30)/ABS(C30)+1)</f>
        <v>1.0820743237162151</v>
      </c>
      <c r="H30" s="35">
        <f>+'COL. CONS.$'!H30/Paramet!$G$4*1000</f>
        <v>15637.985154725033</v>
      </c>
      <c r="I30" s="33">
        <f>+H30/$H$20</f>
        <v>6.493590971107728E-2</v>
      </c>
      <c r="J30" s="34">
        <f>IF(H30=0,"",(E30-H30)/ABS(H30))</f>
        <v>1.8334265193045191E-3</v>
      </c>
      <c r="K30" s="35">
        <f>+'COL. CONS.$'!K30/Paramet!$G$5*1000</f>
        <v>124428.11291438423</v>
      </c>
      <c r="L30" s="33">
        <f>+K30/$K$20</f>
        <v>6.1068688693074843E-2</v>
      </c>
      <c r="M30" s="35">
        <f>+'COL. CONS.$'!M30/Paramet!$G$3*1000</f>
        <v>131672.48732638932</v>
      </c>
      <c r="N30" s="33">
        <f>+M30/$M$20</f>
        <v>6.5313944473495048E-2</v>
      </c>
      <c r="O30" s="33">
        <f>IF(K30=0,"",(M30-K30)/ABS(K30)+1)</f>
        <v>1.0582213636639315</v>
      </c>
      <c r="P30" s="35">
        <f>+'COL. CONS.$'!P30/Paramet!$G$4*1000</f>
        <v>131246.93168935273</v>
      </c>
      <c r="Q30" s="33">
        <f>+P30/$P$20</f>
        <v>7.4075972237931775E-2</v>
      </c>
      <c r="R30" s="34">
        <f>IF(P30=0,"",(M30-P30)/ABS(P30))</f>
        <v>3.2424044627865269E-3</v>
      </c>
      <c r="T30" s="37">
        <f>+E43/C43</f>
        <v>-5.9100221407716047</v>
      </c>
      <c r="U30" s="17"/>
      <c r="V30" s="42" t="s">
        <v>51</v>
      </c>
      <c r="W30" s="43">
        <f>+W21-W23-W25-W27-W28</f>
        <v>-11688.573613237571</v>
      </c>
      <c r="X30" s="43">
        <f>+X21-X23-X25-X27-X28</f>
        <v>-12290.988596493284</v>
      </c>
      <c r="Y30" s="43">
        <f>+Y21-Y23-Y25-Y27-Y28</f>
        <v>37528.818522759801</v>
      </c>
      <c r="Z30" s="43">
        <f>'COLOMB$ '!X30/Paramet!$G$5*1000</f>
        <v>-11688.558524718759</v>
      </c>
      <c r="AA30" s="43">
        <f>+'COL. CONS.$'!Y30/Paramet!G3*1000</f>
        <v>-12290.972730330408</v>
      </c>
      <c r="AB30" s="47">
        <f>+AA30-Z30</f>
        <v>-602.41420561164887</v>
      </c>
      <c r="AC30" s="48">
        <f>IF(W30=0,"",(X30-W30)/ABS(W30)+1)</f>
        <v>0.94846120637222464</v>
      </c>
      <c r="AD30" s="43">
        <f>+AD21-AD23-AD25-AD27-AD28</f>
        <v>37528.72414179027</v>
      </c>
      <c r="AE30" s="34">
        <f>IF(AD30=0,"",(AA30-AD30)/ABS(AD30))</f>
        <v>-1.3275084088628462</v>
      </c>
    </row>
    <row r="31" spans="2:33" x14ac:dyDescent="0.2">
      <c r="J31" s="34"/>
      <c r="R31" s="34"/>
      <c r="T31" s="37">
        <f>+E45/C45</f>
        <v>0.93524115174936573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48825.150556292749</v>
      </c>
      <c r="D32" s="33">
        <f>+C32/$C$20</f>
        <v>0.21032939909654891</v>
      </c>
      <c r="E32" s="35">
        <f>+'COL. CONS.$'!E31/Paramet!$G$3*1000</f>
        <v>47762.03079733911</v>
      </c>
      <c r="F32" s="33">
        <f>+E32/$E$20</f>
        <v>0.20403964862976767</v>
      </c>
      <c r="G32" s="33">
        <f>IF(C32=0,"",(E32-C32)/ABS(C32)+1)</f>
        <v>0.97822598093726476</v>
      </c>
      <c r="H32" s="35">
        <f>+'COL. CONS.$'!H31/Paramet!$G$4*1000</f>
        <v>50726.148848346034</v>
      </c>
      <c r="I32" s="33">
        <f>+H32/$H$20</f>
        <v>0.21063766137491152</v>
      </c>
      <c r="J32" s="34">
        <f>IF(H32=0,"",(E32-H32)/ABS(H32))</f>
        <v>-5.8433729315202521E-2</v>
      </c>
      <c r="K32" s="35">
        <f>+'COL. CONS.$'!K31/Paramet!$G$5*1000</f>
        <v>436682.20430290455</v>
      </c>
      <c r="L32" s="33">
        <f>+K32/$K$20</f>
        <v>0.21432141794779994</v>
      </c>
      <c r="M32" s="35">
        <f>+'COL. CONS.$'!M31/Paramet!$G$3*1000</f>
        <v>414416.33094736643</v>
      </c>
      <c r="N32" s="33">
        <f>+M32/$M$20</f>
        <v>0.20556431930469909</v>
      </c>
      <c r="O32" s="33">
        <f>IF(K32=0,"",(M32-K32)/ABS(K32)+1)</f>
        <v>0.94901126463103269</v>
      </c>
      <c r="P32" s="35">
        <f>+'COL. CONS.$'!P31/Paramet!$G$4*1000</f>
        <v>448729.89673112455</v>
      </c>
      <c r="Q32" s="33">
        <f>+P32/$P$20</f>
        <v>0.25326385116004463</v>
      </c>
      <c r="R32" s="34">
        <f>IF(P32=0,"",(M32-P32)/ABS(P32))</f>
        <v>-7.6468196199368788E-2</v>
      </c>
      <c r="T32" s="37">
        <f>+E46/C46</f>
        <v>1.0843117179751827</v>
      </c>
      <c r="U32" s="17"/>
    </row>
    <row r="33" spans="2:27" x14ac:dyDescent="0.2">
      <c r="B33" s="19" t="s">
        <v>53</v>
      </c>
      <c r="C33" s="35">
        <f>SUM(C30:C32)</f>
        <v>63303.505608292791</v>
      </c>
      <c r="D33" s="33">
        <f>+C33/$C$20</f>
        <v>0.27269938020869466</v>
      </c>
      <c r="E33" s="35">
        <f>SUM(E30:E32)</f>
        <v>63428.68704875531</v>
      </c>
      <c r="F33" s="33">
        <f>+E33/$E$20</f>
        <v>0.27096768714441982</v>
      </c>
      <c r="G33" s="33">
        <f>IF(C33=0,"",(E33-C33)/ABS(C33)+1)</f>
        <v>1.0019774803821626</v>
      </c>
      <c r="H33" s="35">
        <f>SUM(H30:H32)</f>
        <v>66364.134003071071</v>
      </c>
      <c r="I33" s="33">
        <f>+H33/$H$20</f>
        <v>0.27557357108598884</v>
      </c>
      <c r="J33" s="34">
        <f>IF(H33=0,"",(E33-H33)/ABS(H33))</f>
        <v>-4.4232430640621635E-2</v>
      </c>
      <c r="K33" s="35">
        <f>SUM(K30:K32)</f>
        <v>561110.31721728877</v>
      </c>
      <c r="L33" s="33">
        <f>+K33/$K$20</f>
        <v>0.27539010664087477</v>
      </c>
      <c r="M33" s="35">
        <f>SUM(M30:M32)</f>
        <v>546088.81827375572</v>
      </c>
      <c r="N33" s="33">
        <f>+M33/$M$20</f>
        <v>0.27087826377819413</v>
      </c>
      <c r="O33" s="33">
        <f>IF(K33=0,"",(M33-K33)/ABS(K33)+1)</f>
        <v>0.97322897390654106</v>
      </c>
      <c r="P33" s="35">
        <f>SUM(P30:P32)</f>
        <v>579976.82842047722</v>
      </c>
      <c r="Q33" s="33">
        <f>+P33/$P$20</f>
        <v>0.3273398233979764</v>
      </c>
      <c r="R33" s="34">
        <f>IF(P33=0,"",(M33-P33)/ABS(P33))</f>
        <v>-5.8429938035650351E-2</v>
      </c>
    </row>
    <row r="34" spans="2:27" x14ac:dyDescent="0.2">
      <c r="B34" s="19" t="s">
        <v>54</v>
      </c>
      <c r="C34" s="35">
        <f>+C28+C33</f>
        <v>191019.92673494155</v>
      </c>
      <c r="D34" s="33">
        <f>+C34/$C$20</f>
        <v>0.82287726607837142</v>
      </c>
      <c r="E34" s="35">
        <f>+E28+E33</f>
        <v>195489.69073861622</v>
      </c>
      <c r="F34" s="33">
        <f>+E34/$E$20</f>
        <v>0.83513299462282076</v>
      </c>
      <c r="G34" s="33">
        <f>IF(C34=0,"",(E34-C34)/ABS(C34)+1)</f>
        <v>1.0233994645484128</v>
      </c>
      <c r="H34" s="35">
        <f>+H28+H33</f>
        <v>201622.93368034769</v>
      </c>
      <c r="I34" s="33">
        <f>+H34/$H$20</f>
        <v>0.83722861274066673</v>
      </c>
      <c r="J34" s="34">
        <f>IF(H34=0,"",(E34-H34)/ABS(H34))</f>
        <v>-3.0419371595173262E-2</v>
      </c>
      <c r="K34" s="35">
        <f>+K28+K33</f>
        <v>1724451.9297290556</v>
      </c>
      <c r="L34" s="33">
        <f>+K34/$K$20</f>
        <v>0.84635228804970286</v>
      </c>
      <c r="M34" s="35">
        <f>+M28+M33</f>
        <v>1717831.8142189635</v>
      </c>
      <c r="N34" s="33">
        <f>+M34/$M$20</f>
        <v>0.85210186278765809</v>
      </c>
      <c r="O34" s="33">
        <f>IF(K34=0,"",(M34-K34)/ABS(K34)+1)</f>
        <v>0.99616103215406404</v>
      </c>
      <c r="P34" s="35">
        <f>+P28+P33</f>
        <v>1875073.4555006113</v>
      </c>
      <c r="Q34" s="33">
        <f>+P34/$P$20</f>
        <v>1.0582943726448582</v>
      </c>
      <c r="R34" s="34">
        <f>IF(P34=0,"",(M34-P34)/ABS(P34))</f>
        <v>-8.3858923403972524E-2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3402.1752690732828</v>
      </c>
      <c r="D36" s="33">
        <f>+C36/$C$20</f>
        <v>1.4655919578584836E-2</v>
      </c>
      <c r="E36" s="35">
        <f>E24-E34</f>
        <v>615.68778815856786</v>
      </c>
      <c r="F36" s="33">
        <f>+E36/$E$20</f>
        <v>2.6302214931889318E-3</v>
      </c>
      <c r="G36" s="33">
        <f>IF(C36=0,"",(E36-C36)/ABS(C36)+1)</f>
        <v>0.18096886240851273</v>
      </c>
      <c r="H36" s="35">
        <f>H24-H34</f>
        <v>12010.977833589248</v>
      </c>
      <c r="I36" s="33">
        <f>+H36/$H$20</f>
        <v>4.9874952842504858E-2</v>
      </c>
      <c r="J36" s="34">
        <f>IF(H36=0,"",(E36-H36)/ABS(H36))</f>
        <v>-0.94873957835166689</v>
      </c>
      <c r="K36" s="35">
        <f>K24-K34</f>
        <v>25145.112449388951</v>
      </c>
      <c r="L36" s="33">
        <f>+K36/$K$20</f>
        <v>1.234109405308338E-2</v>
      </c>
      <c r="M36" s="35">
        <f>M24-M34</f>
        <v>17247.391881352291</v>
      </c>
      <c r="N36" s="33">
        <f>+M36/$M$20</f>
        <v>8.5552815058388028E-3</v>
      </c>
      <c r="O36" s="33">
        <f>IF(K36=0,"",(M36-K36)/ABS(K36)+1)</f>
        <v>0.68591428716284852</v>
      </c>
      <c r="P36" s="35">
        <f>P24-P34</f>
        <v>-378945.15536527592</v>
      </c>
      <c r="Q36" s="33">
        <f>+P36/$P$20</f>
        <v>-0.21387723466920586</v>
      </c>
      <c r="R36" s="34">
        <f>IF(P36=0,"",(M36-P36)/ABS(P36))</f>
        <v>1.0455142166014157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330.94031052589793</v>
      </c>
      <c r="D38" s="33">
        <f>+C38/$C$20</f>
        <v>1.4256274861761036E-3</v>
      </c>
      <c r="E38" s="35">
        <f>+'COL. CONS.$'!E38/Paramet!$G$3*1000</f>
        <v>55.917027026382392</v>
      </c>
      <c r="F38" s="33">
        <f>+E38/$E$20</f>
        <v>2.3887783572887594E-4</v>
      </c>
      <c r="G38" s="33">
        <f>IF(C38=0,"",(E38-C38)/ABS(C38)+1)</f>
        <v>0.16896408581210476</v>
      </c>
      <c r="H38" s="35">
        <f>+'COL. CONS.$'!H38/Paramet!$G$4*1000</f>
        <v>30.6081904067876</v>
      </c>
      <c r="I38" s="33">
        <f>+H38/$H$20</f>
        <v>1.270988985479421E-4</v>
      </c>
      <c r="J38" s="34">
        <f>IF(H38=0,"",(E38-H38)/ABS(H38))</f>
        <v>0.82686484510310565</v>
      </c>
      <c r="K38" s="35">
        <f>+'COL. CONS.$'!K38/Paramet!$G$5*1000</f>
        <v>2978.4627947330819</v>
      </c>
      <c r="L38" s="33">
        <f>+K38/$K$20</f>
        <v>1.4618144801457741E-3</v>
      </c>
      <c r="M38" s="35">
        <f>+'COL. CONS.$'!M38/Paramet!$G$3*1000</f>
        <v>1559.1885859985643</v>
      </c>
      <c r="N38" s="33">
        <f>+M38/$M$20</f>
        <v>7.7340953146259688E-4</v>
      </c>
      <c r="O38" s="33">
        <f>IF(K38=0,"",(M38-K38)/ABS(K38)+1)</f>
        <v>0.52348768255750278</v>
      </c>
      <c r="P38" s="35">
        <f>+'COL. CONS.$'!P38/Paramet!$G$4*1000</f>
        <v>4063.5914816646277</v>
      </c>
      <c r="Q38" s="33">
        <f>+P38/$P$20</f>
        <v>2.2934973481479456E-3</v>
      </c>
      <c r="R38" s="34">
        <f>IF(P38=0,"",(M38-P38)/ABS(P38))</f>
        <v>-0.61630282152283389</v>
      </c>
    </row>
    <row r="39" spans="2:27" x14ac:dyDescent="0.2">
      <c r="B39" s="19" t="s">
        <v>57</v>
      </c>
      <c r="C39" s="35">
        <f>+'COL. CONS.$'!C39/Paramet!$G$5*1000</f>
        <v>9421.0245766844728</v>
      </c>
      <c r="D39" s="33">
        <f>+C39/$C$20</f>
        <v>4.058396984978635E-2</v>
      </c>
      <c r="E39" s="35">
        <f>+'COL. CONS.$'!E39/Paramet!$G$3*1000</f>
        <v>11031.130006177596</v>
      </c>
      <c r="F39" s="33">
        <f>+E39/$E$20</f>
        <v>4.7125045834004994E-2</v>
      </c>
      <c r="G39" s="33">
        <f>IF(C39=0,"",(E39-C39)/ABS(C39)+1)</f>
        <v>1.1709055545272513</v>
      </c>
      <c r="H39" s="35">
        <f>+'COL. CONS.$'!H39/Paramet!$G$4*1000</f>
        <v>8519.4527886942724</v>
      </c>
      <c r="I39" s="33">
        <f>+H39/$H$20</f>
        <v>3.5376578990246793E-2</v>
      </c>
      <c r="J39" s="34">
        <f>IF(H39=0,"",(E39-H39)/ABS(H39))</f>
        <v>0.29481673057880453</v>
      </c>
      <c r="K39" s="35">
        <f>+'COL. CONS.$'!K39/Paramet!$G$5*1000</f>
        <v>77555.033853900866</v>
      </c>
      <c r="L39" s="33">
        <f>+K39/$K$20</f>
        <v>3.8063618486793245E-2</v>
      </c>
      <c r="M39" s="35">
        <f>+'COL. CONS.$'!M39/Paramet!$G$3*1000</f>
        <v>80457.368976546612</v>
      </c>
      <c r="N39" s="33">
        <f>+M39/$M$20</f>
        <v>3.9909537949196792E-2</v>
      </c>
      <c r="O39" s="33">
        <f>IF(K39=0,"",(M39-K39)/ABS(K39)+1)</f>
        <v>1.0374229109114077</v>
      </c>
      <c r="P39" s="35">
        <f>+'COL. CONS.$'!P39/Paramet!$G$4*1000</f>
        <v>74367.995552143242</v>
      </c>
      <c r="Q39" s="33">
        <f>+P39/$P$20</f>
        <v>4.1973412277173251E-2</v>
      </c>
      <c r="R39" s="34">
        <f>IF(P39=0,"",(M39-P39)/ABS(P39))</f>
        <v>8.1881639799391864E-2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-5687.908997085292</v>
      </c>
      <c r="D41" s="33">
        <f>+C41/$C$20</f>
        <v>-2.4502422785025412E-2</v>
      </c>
      <c r="E41" s="35">
        <f>E36+E38-E39</f>
        <v>-10359.525190992646</v>
      </c>
      <c r="F41" s="33">
        <f>+E41/$E$20</f>
        <v>-4.4255946505087185E-2</v>
      </c>
      <c r="G41" s="33">
        <f>IF(C41=0,"",(E41-C41)/ABS(C41)+1)</f>
        <v>0.17867599564246295</v>
      </c>
      <c r="H41" s="35">
        <f>+H36+H38-H39</f>
        <v>3522.1332353017624</v>
      </c>
      <c r="I41" s="33">
        <f>+H41/$H$20</f>
        <v>1.4625472750806003E-2</v>
      </c>
      <c r="J41" s="34">
        <f>IF(H41=0,"",(E41-H41)/ABS(H41))</f>
        <v>-3.9412644266721171</v>
      </c>
      <c r="K41" s="35">
        <f>K36+K38-K39</f>
        <v>-49431.458609778834</v>
      </c>
      <c r="L41" s="33">
        <f>+K41/$K$20</f>
        <v>-2.4260709953564091E-2</v>
      </c>
      <c r="M41" s="35">
        <f>M36+M38-M39</f>
        <v>-61650.788509195758</v>
      </c>
      <c r="N41" s="33">
        <f>+M41/$M$20</f>
        <v>-3.0580846911895394E-2</v>
      </c>
      <c r="O41" s="33">
        <f>IF(K41=0,"",(M41-K41)/ABS(K41)+1)</f>
        <v>0.75280256251634015</v>
      </c>
      <c r="P41" s="35">
        <f>P36+P38-P39</f>
        <v>-449249.55943575455</v>
      </c>
      <c r="Q41" s="33">
        <f>+P41/$P$20</f>
        <v>-0.25355714959823117</v>
      </c>
      <c r="R41" s="34">
        <f>IF(P41=0,"",(M41-P41)/ABS(P41))</f>
        <v>0.8627693957304543</v>
      </c>
    </row>
    <row r="42" spans="2:27" x14ac:dyDescent="0.2">
      <c r="B42" s="19" t="s">
        <v>44</v>
      </c>
      <c r="C42" s="35">
        <f>+'COL. CONS.$'!C42/Paramet!$G$5*1000</f>
        <v>-7340.1154548444547</v>
      </c>
      <c r="D42" s="33">
        <f>+C42/$C$20</f>
        <v>-3.1619811824988839E-2</v>
      </c>
      <c r="E42" s="35">
        <f>+'COL. CONS.$'!E42/Paramet!$G$3*1000</f>
        <v>-594.94844451016911</v>
      </c>
      <c r="F42" s="33">
        <f>+E42/$E$20</f>
        <v>-2.5416229072371165E-3</v>
      </c>
      <c r="G42" s="33">
        <f>IF(C42=0,"",(E42-C42)/ABS(C42)+1)</f>
        <v>1.9189456285571769</v>
      </c>
      <c r="H42" s="35">
        <f>+'COL. CONS.$'!H42/Paramet!$G$4*1000</f>
        <v>1547.5111261484008</v>
      </c>
      <c r="I42" s="33">
        <f>+H42/$H$20</f>
        <v>6.4259584447870647E-3</v>
      </c>
      <c r="J42" s="34">
        <f>IF(H42=0,"",(E42-H42)/ABS(H42))</f>
        <v>-1.3844550352222253</v>
      </c>
      <c r="K42" s="35">
        <f>+'COL. CONS.$'!K42/Paramet!$G$5*1000</f>
        <v>20972.783051501028</v>
      </c>
      <c r="L42" s="33">
        <f>+K42/$K$20</f>
        <v>1.0293335880459623E-2</v>
      </c>
      <c r="M42" s="35">
        <f>+'COL. CONS.$'!M42/Paramet!$G$3*1000</f>
        <v>15608.5186413107</v>
      </c>
      <c r="N42" s="33">
        <f>+M42/$M$20</f>
        <v>7.7423457288010407E-3</v>
      </c>
      <c r="O42" s="33">
        <f>IF(K42=0,"",(M42-K42)/ABS(K42)+1)</f>
        <v>0.74422734469632501</v>
      </c>
      <c r="P42" s="35">
        <f>+'COL. CONS.$'!P42/Paramet!$G$4*1000</f>
        <v>36534.929339197879</v>
      </c>
      <c r="Q42" s="33">
        <f>+P42/$P$20</f>
        <v>2.0620370903990985E-2</v>
      </c>
      <c r="R42" s="34">
        <f>IF(P42=0,"",(M42-P42)/ABS(P42))</f>
        <v>-0.57277818997819951</v>
      </c>
    </row>
    <row r="43" spans="2:27" x14ac:dyDescent="0.2">
      <c r="B43" s="42" t="s">
        <v>59</v>
      </c>
      <c r="C43" s="43">
        <f>C41-C42</f>
        <v>1652.2064577591627</v>
      </c>
      <c r="D43" s="44">
        <f>+C43/$C$20</f>
        <v>7.1173890399634284E-3</v>
      </c>
      <c r="E43" s="43">
        <f>E41-E42</f>
        <v>-9764.5767464824767</v>
      </c>
      <c r="F43" s="44">
        <f>+E43/$E$20</f>
        <v>-4.1714323597850066E-2</v>
      </c>
      <c r="G43" s="44">
        <f>IF(C43=0,"",(E43-C43)/ABS(C43)+1)</f>
        <v>-5.9100221407716047</v>
      </c>
      <c r="H43" s="43">
        <f>H41-H42</f>
        <v>1974.6221091533616</v>
      </c>
      <c r="I43" s="44">
        <f>+H43/$H$20</f>
        <v>8.1995143060189374E-3</v>
      </c>
      <c r="J43" s="45">
        <f>IF(H43=0,"",(E43-H43)/ABS(H43))</f>
        <v>-5.9450356608582355</v>
      </c>
      <c r="K43" s="43">
        <f>K41-K42</f>
        <v>-70404.24166127987</v>
      </c>
      <c r="L43" s="44">
        <f>+K43/$K$20</f>
        <v>-3.4554045834023717E-2</v>
      </c>
      <c r="M43" s="43">
        <f>M41-M42</f>
        <v>-77259.307150506458</v>
      </c>
      <c r="N43" s="44">
        <f>+M43/$M$20</f>
        <v>-3.8323192640696432E-2</v>
      </c>
      <c r="O43" s="44">
        <f>IF(K43=0,"",(M43-K43)/ABS(K43)+1)</f>
        <v>0.90263277712432688</v>
      </c>
      <c r="P43" s="43">
        <f>P41-P42</f>
        <v>-485784.48877495242</v>
      </c>
      <c r="Q43" s="44">
        <f>+P43/$P$20</f>
        <v>-0.27417752050222216</v>
      </c>
      <c r="R43" s="45">
        <f>IF(P43=0,"",(M43-P43)/ABS(P43))</f>
        <v>0.84095970757456995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21322.173454458847</v>
      </c>
      <c r="D45" s="33">
        <f>+C45/$C$20</f>
        <v>9.1851840271093957E-2</v>
      </c>
      <c r="E45" s="35">
        <f>+'COL. CONS.$'!E45/Paramet!$G$3*1000</f>
        <v>19941.374059347843</v>
      </c>
      <c r="F45" s="33">
        <f>+E45/$E$20</f>
        <v>8.5189655639407572E-2</v>
      </c>
      <c r="G45" s="33">
        <f>IF(C45=0,"",(E45-C45)/ABS(C45)+1)</f>
        <v>0.93524115174936573</v>
      </c>
      <c r="H45" s="35">
        <f>+'COL. CONS.$'!H45/Paramet!$G$4*1000</f>
        <v>24453.124271920457</v>
      </c>
      <c r="I45" s="33">
        <f>+H45/$H$20</f>
        <v>0.10154031060679182</v>
      </c>
      <c r="J45" s="34">
        <f>IF(H45=0,"",(E45-H45)/ABS(H45))</f>
        <v>-0.18450608447418149</v>
      </c>
      <c r="K45" s="35">
        <f>+'COL. CONS.$'!K45/Paramet!$G$5*1000</f>
        <v>220729.24818255025</v>
      </c>
      <c r="L45" s="33">
        <f>+K45/$K$20</f>
        <v>0.10833279897117473</v>
      </c>
      <c r="M45" s="35">
        <f>+'COL. CONS.$'!M45/Paramet!$G$3*1000</f>
        <v>220972.32031665524</v>
      </c>
      <c r="N45" s="33">
        <f>+M45/$M$20</f>
        <v>0.10960963943489552</v>
      </c>
      <c r="O45" s="33">
        <f>IF(K45=0,"",(M45-K45)/ABS(K45)+1)</f>
        <v>1.0011012230418326</v>
      </c>
      <c r="P45" s="35">
        <f>+'COL. CONS.$'!P45/Paramet!$G$4*1000</f>
        <v>280659.86083335517</v>
      </c>
      <c r="Q45" s="33">
        <f>+P45/$P$20</f>
        <v>0.15840486167403481</v>
      </c>
      <c r="R45" s="34">
        <f>IF(P45=0,"",(M45-P45)/ABS(P45))</f>
        <v>-0.21266860298252641</v>
      </c>
    </row>
    <row r="46" spans="2:27" x14ac:dyDescent="0.2">
      <c r="B46" s="19" t="s">
        <v>35</v>
      </c>
      <c r="C46" s="35">
        <f>+'COL. CONS.$'!C46/Paramet!$G$5*1000</f>
        <v>100754.19913125335</v>
      </c>
      <c r="D46" s="33">
        <f>+C46/$C$20</f>
        <v>0.43402979649387496</v>
      </c>
      <c r="E46" s="35">
        <f>+'COL. CONS.$'!E46/Paramet!$G$3*1000</f>
        <v>109248.95875322298</v>
      </c>
      <c r="F46" s="33">
        <f>+E46/$E$20</f>
        <v>0.46671213064117589</v>
      </c>
      <c r="G46" s="33">
        <f>IF(C46=0,"",(E46-C46)/ABS(C46)+1)</f>
        <v>1.0843117179751827</v>
      </c>
      <c r="H46" s="35">
        <f>+'COL. CONS.$'!H46/Paramet!$G$4*1000</f>
        <v>104561.05796007598</v>
      </c>
      <c r="I46" s="33">
        <f>+H46/$H$20</f>
        <v>0.4341842860068631</v>
      </c>
      <c r="J46" s="34">
        <f>IF(H46=0,"",(E46-H46)/ABS(H46))</f>
        <v>4.4834098703715818E-2</v>
      </c>
      <c r="K46" s="35">
        <f>+'COL. CONS.$'!K46/Paramet!$G$5*1000</f>
        <v>924261.62203849258</v>
      </c>
      <c r="L46" s="33">
        <f>+K46/$K$20</f>
        <v>0.45362293090519168</v>
      </c>
      <c r="M46" s="35">
        <f>+'COL. CONS.$'!M46/Paramet!$G$3*1000</f>
        <v>982943.34739789681</v>
      </c>
      <c r="N46" s="33">
        <f>+M46/$M$20</f>
        <v>0.48757267760423689</v>
      </c>
      <c r="O46" s="33">
        <f>IF(K46=0,"",(M46-K46)/ABS(K46)+1)</f>
        <v>1.063490384064611</v>
      </c>
      <c r="P46" s="35">
        <f>+'COL. CONS.$'!P46/Paramet!$G$4*1000</f>
        <v>1000766.8844181871</v>
      </c>
      <c r="Q46" s="33">
        <f>+P46/$P$20</f>
        <v>0.56483438502217609</v>
      </c>
      <c r="R46" s="34">
        <f>IF(P46=0,"",(M46-P46)/ABS(P46))</f>
        <v>-1.7809878901670781E-2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5EB9-4CA2-4FD4-8AC1-63A03E45B646}">
  <sheetPr>
    <tabColor theme="0" tint="-0.249977111117893"/>
  </sheetPr>
  <dimension ref="A1:AI68"/>
  <sheetViews>
    <sheetView showGridLines="0" topLeftCell="A3" zoomScaleNormal="100" workbookViewId="0">
      <selection activeCell="A33" sqref="A33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103</v>
      </c>
      <c r="T3" s="18"/>
      <c r="U3" s="90" t="str">
        <f>+B3</f>
        <v>MUSICAR S.A. EL SALVADOR</v>
      </c>
    </row>
    <row r="4" spans="1:34" x14ac:dyDescent="0.2">
      <c r="B4" s="3" t="s">
        <v>104</v>
      </c>
      <c r="U4" s="3" t="s">
        <v>21</v>
      </c>
    </row>
    <row r="5" spans="1:34" x14ac:dyDescent="0.2">
      <c r="B5" s="3" t="s">
        <v>92</v>
      </c>
      <c r="U5" s="3" t="s">
        <v>92</v>
      </c>
    </row>
    <row r="6" spans="1:34" ht="13.5" thickBot="1" x14ac:dyDescent="0.25">
      <c r="B6" s="79" t="str">
        <f>+'COL. CONS.$'!B6</f>
        <v>SEPTIEMBRE de 2025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SEPTIEMBRE de 2025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S7" s="61"/>
      <c r="T7" s="63"/>
      <c r="V7" s="54" t="str">
        <f>+C7</f>
        <v>Ppto 2025</v>
      </c>
      <c r="W7" s="54" t="str">
        <f>+M7</f>
        <v>Real 2025</v>
      </c>
      <c r="X7" s="54" t="str">
        <f>+H7</f>
        <v>Real 2024</v>
      </c>
      <c r="Y7" s="54" t="str">
        <f>+V7</f>
        <v>Ppto 2025</v>
      </c>
      <c r="Z7" s="54" t="str">
        <f>+W7</f>
        <v>Real 2025</v>
      </c>
      <c r="AA7" s="54" t="s">
        <v>26</v>
      </c>
      <c r="AB7" s="54" t="s">
        <v>24</v>
      </c>
      <c r="AC7" s="54" t="str">
        <f>+X7</f>
        <v>Real 2024</v>
      </c>
      <c r="AD7" s="54" t="s">
        <v>25</v>
      </c>
      <c r="AF7" s="2" t="s">
        <v>105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106</v>
      </c>
      <c r="AG8" s="2" t="s">
        <v>107</v>
      </c>
      <c r="AH8" s="2" t="s">
        <v>108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5265</v>
      </c>
      <c r="D10" s="34">
        <f>+C10/$C$20</f>
        <v>0.69294551197683596</v>
      </c>
      <c r="E10" s="32">
        <v>5084.3</v>
      </c>
      <c r="F10" s="34">
        <f>+E10/$E$20</f>
        <v>0.82788525575162297</v>
      </c>
      <c r="G10" s="34">
        <f>IF(C10=0,"",(E10-C10)/ABS(C10)+1)</f>
        <v>0.9656790123456791</v>
      </c>
      <c r="H10" s="32">
        <v>5990.69</v>
      </c>
      <c r="I10" s="34">
        <f>+H10/$H$20</f>
        <v>0.85758315379605043</v>
      </c>
      <c r="J10" s="34">
        <f>IF(H10=0,"",(E10-H10)/ABS(H10))</f>
        <v>-0.1512997668048254</v>
      </c>
      <c r="K10" s="32">
        <v>47348</v>
      </c>
      <c r="L10" s="34">
        <f>+K10/$K$20</f>
        <v>0.70182615913672475</v>
      </c>
      <c r="M10" s="32">
        <v>47626.9</v>
      </c>
      <c r="N10" s="34">
        <f>+M10/$M$20</f>
        <v>0.79288623381328016</v>
      </c>
      <c r="O10" s="34">
        <f>IF(K10=0,"",(M10-K10)/ABS(K10)+1)</f>
        <v>1.0058904283179859</v>
      </c>
      <c r="P10" s="32">
        <v>53862.9</v>
      </c>
      <c r="Q10" s="34">
        <f>+P10/$P$20</f>
        <v>0.78980592290290397</v>
      </c>
      <c r="R10" s="34">
        <f t="shared" ref="R10:R17" si="0">IF(P10=0,"",(M10-P10)/ABS(P10))</f>
        <v>-0.11577542241505749</v>
      </c>
      <c r="S10" s="34"/>
      <c r="T10" s="63"/>
      <c r="U10" s="3" t="s">
        <v>31</v>
      </c>
      <c r="V10" s="32">
        <v>13901</v>
      </c>
      <c r="W10" s="32">
        <v>21767.45</v>
      </c>
      <c r="X10" s="32">
        <v>18478.41</v>
      </c>
      <c r="Y10" s="32"/>
      <c r="Z10" s="32">
        <v>13901</v>
      </c>
      <c r="AA10" s="63">
        <v>15168</v>
      </c>
      <c r="AB10" s="68" t="str">
        <f>IF(Y10=0,"",(Z10-Y10)/ABS(Y10)+1)</f>
        <v/>
      </c>
      <c r="AC10" s="32">
        <v>15168</v>
      </c>
      <c r="AD10" s="34">
        <f>IF(X10=0,"",(Z10-AC10)/ABS(AC10))</f>
        <v>-8.3531118143459912E-2</v>
      </c>
      <c r="AF10" s="67">
        <v>15168</v>
      </c>
      <c r="AG10" s="67"/>
      <c r="AH10" s="67"/>
    </row>
    <row r="11" spans="1:34" x14ac:dyDescent="0.2">
      <c r="A11" s="94"/>
      <c r="B11" s="3" t="str">
        <f>+'COLOMB$ '!B11</f>
        <v>Instalaciones</v>
      </c>
      <c r="C11" s="32">
        <v>820</v>
      </c>
      <c r="D11" s="34">
        <f>+C11/$C$20</f>
        <v>0.10792313766780731</v>
      </c>
      <c r="E11" s="32">
        <v>85</v>
      </c>
      <c r="F11" s="34">
        <f>+E11/$E$20</f>
        <v>1.38406952262628E-2</v>
      </c>
      <c r="G11" s="34">
        <f>IF(C11=0,"",(E11-C11)/ABS(C11)+1)</f>
        <v>0.10365853658536583</v>
      </c>
      <c r="H11" s="32">
        <v>0</v>
      </c>
      <c r="I11" s="34">
        <f>+H11/$H$20</f>
        <v>0</v>
      </c>
      <c r="J11" s="34" t="str">
        <f>IF(H11=0,"",(E11-H11)/ABS(H11))</f>
        <v/>
      </c>
      <c r="K11" s="32">
        <v>5512</v>
      </c>
      <c r="L11" s="34">
        <f>+K11/$K$20</f>
        <v>8.1702834104114788E-2</v>
      </c>
      <c r="M11" s="32">
        <v>1577.37</v>
      </c>
      <c r="N11" s="34">
        <f>+M11/$M$20</f>
        <v>2.6259843882974823E-2</v>
      </c>
      <c r="O11" s="34">
        <f>IF(K11=0,"",(M11-K11)/ABS(K11)+1)</f>
        <v>0.2861701741654572</v>
      </c>
      <c r="P11" s="32">
        <v>1410</v>
      </c>
      <c r="Q11" s="34">
        <f>+P11/$P$20</f>
        <v>2.0675202250400454E-2</v>
      </c>
      <c r="R11" s="34">
        <f t="shared" si="0"/>
        <v>0.11870212765957439</v>
      </c>
      <c r="S11" s="34"/>
      <c r="T11" s="63"/>
      <c r="U11" s="3" t="s">
        <v>32</v>
      </c>
      <c r="V11" s="32"/>
      <c r="W11" s="32">
        <v>5114.5</v>
      </c>
      <c r="X11" s="32">
        <v>11687.8</v>
      </c>
      <c r="Y11" s="32">
        <f>+AF11+V11</f>
        <v>0</v>
      </c>
      <c r="Z11" s="32">
        <v>70233</v>
      </c>
      <c r="AA11" s="63">
        <v>46907.6</v>
      </c>
      <c r="AB11" s="68" t="str">
        <f>IF(Y11=0,"",(Z11-Y11)/ABS(Y11)+1)</f>
        <v/>
      </c>
      <c r="AC11" s="32">
        <v>82498.8</v>
      </c>
      <c r="AD11" s="34">
        <f>IF(AC11=0,"",(Z11-AC11)/ABS(AC11))</f>
        <v>-0.14867852623310887</v>
      </c>
      <c r="AF11" s="32"/>
      <c r="AG11" s="32"/>
      <c r="AH11" s="32"/>
    </row>
    <row r="12" spans="1:34" x14ac:dyDescent="0.2">
      <c r="A12" s="94"/>
      <c r="B12" s="3" t="str">
        <f>+'COLOMB$ '!B12</f>
        <v>Voice Experience (Publihold)</v>
      </c>
      <c r="C12" s="32">
        <v>987</v>
      </c>
      <c r="D12" s="34">
        <f>+C12/$C$20</f>
        <v>0.12990260594893394</v>
      </c>
      <c r="E12" s="32">
        <v>813.51</v>
      </c>
      <c r="F12" s="34">
        <f>+E12/$E$20</f>
        <v>0.13246522321784765</v>
      </c>
      <c r="G12" s="34">
        <f>IF(C12=0,"",(E12-C12)/ABS(C12)+1)</f>
        <v>0.82422492401215808</v>
      </c>
      <c r="H12" s="32">
        <v>994.86</v>
      </c>
      <c r="I12" s="34">
        <f>+H12/$H$20</f>
        <v>0.14241684620394959</v>
      </c>
      <c r="J12" s="34">
        <f>IF(H12=0,"",(E12-H12)/ABS(H12))</f>
        <v>-0.18228695494843497</v>
      </c>
      <c r="K12" s="32">
        <v>9336</v>
      </c>
      <c r="L12" s="34">
        <f>+K12/$K$20</f>
        <v>0.1383849163998577</v>
      </c>
      <c r="M12" s="32">
        <v>8830.99</v>
      </c>
      <c r="N12" s="34">
        <f>+M12/$M$20</f>
        <v>0.14701713531518404</v>
      </c>
      <c r="O12" s="34">
        <f>IF(K12=0,"",(M12-K12)/ABS(K12)+1)</f>
        <v>0.9459072407883462</v>
      </c>
      <c r="P12" s="32">
        <v>9601.74</v>
      </c>
      <c r="Q12" s="34">
        <f>+P12/$P$20</f>
        <v>0.14079284855018442</v>
      </c>
      <c r="R12" s="34">
        <f t="shared" si="0"/>
        <v>-8.0271909049818055E-2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450</v>
      </c>
      <c r="D13" s="34">
        <f>+C13/$C$20</f>
        <v>5.9226112134772309E-2</v>
      </c>
      <c r="E13" s="32">
        <v>158.5</v>
      </c>
      <c r="F13" s="34"/>
      <c r="G13" s="34">
        <f>IF(C13=0,"",(E13-C13)/ABS(C13)+1)</f>
        <v>0.35222222222222221</v>
      </c>
      <c r="H13" s="32">
        <v>0</v>
      </c>
      <c r="I13" s="34"/>
      <c r="J13" s="34" t="str">
        <f>IF(H13=0,"",(E13-H13)/ABS(H13))</f>
        <v/>
      </c>
      <c r="K13" s="32">
        <v>3060</v>
      </c>
      <c r="L13" s="34">
        <f>+K13/$K$20</f>
        <v>4.5357524012806828E-2</v>
      </c>
      <c r="M13" s="32">
        <v>376.5</v>
      </c>
      <c r="N13" s="34">
        <f>+M13/$M$20</f>
        <v>6.267921427401321E-3</v>
      </c>
      <c r="O13" s="34">
        <f>IF(K13=0,"",(M13-K13)/ABS(K13)+1)</f>
        <v>0.12303921568627452</v>
      </c>
      <c r="P13" s="32">
        <v>1667</v>
      </c>
      <c r="Q13" s="34"/>
      <c r="R13" s="34">
        <f t="shared" si="0"/>
        <v>-0.77414517096580682</v>
      </c>
      <c r="S13" s="34"/>
      <c r="T13" s="63"/>
      <c r="U13" s="3" t="s">
        <v>33</v>
      </c>
      <c r="V13" s="32"/>
      <c r="W13" s="32"/>
      <c r="X13" s="32">
        <v>0</v>
      </c>
      <c r="Y13" s="32">
        <f>+AF13+V13</f>
        <v>0</v>
      </c>
      <c r="Z13" s="32">
        <f t="shared" ref="Z13:Z14" si="1">+W13+AH13</f>
        <v>0</v>
      </c>
      <c r="AA13" s="63">
        <v>362</v>
      </c>
      <c r="AB13" s="68" t="str">
        <f>IF(Y13=0,"",(Z13-Y13)/ABS(Y13)+1)</f>
        <v/>
      </c>
      <c r="AC13" s="32">
        <v>362</v>
      </c>
      <c r="AD13" s="34">
        <f>IF(AC13=0,"",(Z13-AC13)/ABS(AC13))</f>
        <v>-1</v>
      </c>
      <c r="AF13" s="32"/>
      <c r="AG13" s="32"/>
      <c r="AH13" s="32"/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/>
    </row>
    <row r="15" spans="1:34" x14ac:dyDescent="0.2">
      <c r="A15" s="94"/>
      <c r="B15" s="3" t="str">
        <f>+'COLOMB$ '!B15</f>
        <v>Voice Experience (Audicóm)</v>
      </c>
      <c r="C15" s="32">
        <v>76</v>
      </c>
      <c r="D15" s="34">
        <f>+C15/$C$20</f>
        <v>1.0002632271650434E-2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2208</v>
      </c>
      <c r="L15" s="34"/>
      <c r="M15" s="32">
        <v>1656</v>
      </c>
      <c r="N15" s="34"/>
      <c r="O15" s="34">
        <f>IF(K15=0,"",(M15-K15)/ABS(K15)+1)</f>
        <v>0.75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/>
      <c r="W15" s="32">
        <v>4658.5</v>
      </c>
      <c r="X15" s="32">
        <v>4445.8999999999996</v>
      </c>
      <c r="Y15" s="32">
        <f t="shared" si="2"/>
        <v>0</v>
      </c>
      <c r="Z15" s="32">
        <v>37615</v>
      </c>
      <c r="AA15" s="63">
        <v>24681.1</v>
      </c>
      <c r="AB15" s="68" t="str">
        <f>IF(Y15=0,"",(Z15-Y15)/ABS(Y15)+1)</f>
        <v/>
      </c>
      <c r="AC15" s="32">
        <v>42403.9</v>
      </c>
      <c r="AD15" s="34">
        <f>IF(AC15=0,"",(Z15-AC15)/ABS(AC15))</f>
        <v>-0.11293536679409208</v>
      </c>
      <c r="AF15" s="32"/>
      <c r="AG15" s="32"/>
      <c r="AH15" s="32"/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/>
      <c r="W16" s="32">
        <v>1196.7</v>
      </c>
      <c r="X16" s="32">
        <v>2295.8000000000002</v>
      </c>
      <c r="Y16" s="32">
        <f t="shared" si="2"/>
        <v>0</v>
      </c>
      <c r="Z16" s="32">
        <v>15668</v>
      </c>
      <c r="AA16" s="63">
        <v>9058.7000000000007</v>
      </c>
      <c r="AB16" s="68" t="str">
        <f>IF(Y16=0,"",(Z16-Y16)/ABS(Y16)+1)</f>
        <v/>
      </c>
      <c r="AC16" s="32">
        <v>15500.8</v>
      </c>
      <c r="AD16" s="34">
        <f>IF(AC16=0,"",(Z16-AC16)/ABS(AC16))</f>
        <v>1.0786540049545877E-2</v>
      </c>
      <c r="AF16" s="32"/>
      <c r="AG16" s="32"/>
      <c r="AH16" s="32"/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0</v>
      </c>
      <c r="W17" s="32">
        <f>SUM(W13:W16)</f>
        <v>5855.2</v>
      </c>
      <c r="X17" s="32">
        <v>6741.7</v>
      </c>
      <c r="Y17" s="32">
        <f>SUM(Y13:Y16)</f>
        <v>0</v>
      </c>
      <c r="Z17" s="32">
        <f>SUM(Z13:Z16)</f>
        <v>53283</v>
      </c>
      <c r="AA17" s="63">
        <v>34101.800000000003</v>
      </c>
      <c r="AB17" s="68" t="str">
        <f>IF(Y17=0,"",(Z17-Y17)/ABS(Y17)+1)</f>
        <v/>
      </c>
      <c r="AC17" s="32">
        <v>58266.7</v>
      </c>
      <c r="AD17" s="34">
        <f>IF(AC17=0,"",(Z17-AC17)/ABS(AC17))</f>
        <v>-8.5532559763981789E-2</v>
      </c>
      <c r="AF17" s="32"/>
      <c r="AG17" s="32"/>
      <c r="AH17" s="32"/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0</v>
      </c>
      <c r="W19" s="32">
        <f>W11-W17</f>
        <v>-740.69999999999982</v>
      </c>
      <c r="X19" s="32">
        <v>4946.0999999999995</v>
      </c>
      <c r="Y19" s="32">
        <f>Y11-Y17</f>
        <v>0</v>
      </c>
      <c r="Z19" s="32">
        <f>Z11-Z17</f>
        <v>16950</v>
      </c>
      <c r="AA19" s="63">
        <v>12805.799999999996</v>
      </c>
      <c r="AB19" s="68" t="str">
        <f>IF(Y19=0,"",(Z19-Y19)/ABS(Y19)+1)</f>
        <v/>
      </c>
      <c r="AC19" s="32">
        <v>24232.100000000006</v>
      </c>
      <c r="AD19" s="34">
        <f>IF(AC19=0,"",(Z19-AC19)/ABS(AC19))</f>
        <v>-0.30051460665811069</v>
      </c>
      <c r="AF19" s="32"/>
      <c r="AG19" s="32"/>
      <c r="AH19" s="32"/>
      <c r="AI19" s="55"/>
    </row>
    <row r="20" spans="1:35" x14ac:dyDescent="0.2">
      <c r="B20" s="20" t="s">
        <v>39</v>
      </c>
      <c r="C20" s="69">
        <f>SUM(C10:C19)</f>
        <v>7598</v>
      </c>
      <c r="D20" s="45">
        <f>+C20/$C$20</f>
        <v>1</v>
      </c>
      <c r="E20" s="69">
        <f>SUM(E10:E19)</f>
        <v>6141.31</v>
      </c>
      <c r="F20" s="45">
        <f>+E20/$E$20</f>
        <v>1</v>
      </c>
      <c r="G20" s="45">
        <f>IF(C20=0,"",(E20-C20)/ABS(C20)+1)</f>
        <v>0.80827981047644126</v>
      </c>
      <c r="H20" s="69">
        <f>SUM(H10:H19)</f>
        <v>6985.5499999999993</v>
      </c>
      <c r="I20" s="45">
        <f>+H20/$H$20</f>
        <v>1</v>
      </c>
      <c r="J20" s="45">
        <f>IF(H20=0,"",(E20-H20)/ABS(H20))</f>
        <v>-0.12085519393605357</v>
      </c>
      <c r="K20" s="69">
        <f>SUM(K10:K19)</f>
        <v>67464</v>
      </c>
      <c r="L20" s="45">
        <f>+K20/$K$20</f>
        <v>1</v>
      </c>
      <c r="M20" s="69">
        <f>SUM(M10:M19)</f>
        <v>60067.76</v>
      </c>
      <c r="N20" s="45">
        <f>+M20/$M$20</f>
        <v>1</v>
      </c>
      <c r="O20" s="45">
        <f>IF(K20=0,"",(M20-K20)/ABS(K20)+1)</f>
        <v>0.89036760346258748</v>
      </c>
      <c r="P20" s="69">
        <f>SUM(P10:P19)</f>
        <v>68197.64</v>
      </c>
      <c r="Q20" s="45">
        <f>+P20/$P$20</f>
        <v>1</v>
      </c>
      <c r="R20" s="45">
        <f>IF(P20=0,"",(M20-P20)/ABS(P20))</f>
        <v>-0.11921057678828766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13901</v>
      </c>
      <c r="W21" s="32">
        <f>+W10+W19</f>
        <v>21026.75</v>
      </c>
      <c r="X21" s="32">
        <v>23424.51</v>
      </c>
      <c r="Y21" s="32">
        <f>+Y10+Y19</f>
        <v>0</v>
      </c>
      <c r="Z21" s="32">
        <f>+Z10+Z19</f>
        <v>30851</v>
      </c>
      <c r="AA21" s="63">
        <v>27973.799999999996</v>
      </c>
      <c r="AB21" s="68" t="str">
        <f>IF(Y21=0,"",(Z21-Y21)/ABS(Y21)+1)</f>
        <v/>
      </c>
      <c r="AC21" s="32">
        <v>39400.100000000006</v>
      </c>
      <c r="AD21" s="34">
        <f>IF(AC21=0,"",(Z21-AC21)/ABS(AC21))</f>
        <v>-0.21698168278760727</v>
      </c>
      <c r="AF21" s="32"/>
      <c r="AG21" s="32"/>
      <c r="AH21" s="32"/>
    </row>
    <row r="22" spans="1:35" x14ac:dyDescent="0.2">
      <c r="A22" s="94"/>
      <c r="B22" s="3" t="s">
        <v>41</v>
      </c>
      <c r="C22" s="32">
        <v>180</v>
      </c>
      <c r="D22" s="34">
        <f>+C22/$C$20</f>
        <v>2.3690444853908924E-2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1224</v>
      </c>
      <c r="L22" s="34">
        <f>+K22/$K$20</f>
        <v>1.8143009605122731E-2</v>
      </c>
      <c r="M22" s="32">
        <v>0</v>
      </c>
      <c r="N22" s="34">
        <f>+M22/$M$20</f>
        <v>0</v>
      </c>
      <c r="O22" s="34">
        <f>IF(K22=0,"",(M22-K22)/ABS(K22)+1)</f>
        <v>0</v>
      </c>
      <c r="P22" s="32">
        <v>621.66</v>
      </c>
      <c r="Q22" s="34">
        <f>+P22/$P$20</f>
        <v>9.1155647028254936E-3</v>
      </c>
      <c r="R22" s="34">
        <f>IF(P22=0,"",(M22-P22)/ABS(P22))</f>
        <v>-1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/>
      <c r="X23" s="32">
        <v>0</v>
      </c>
      <c r="Y23" s="32">
        <f>+AF23+V23</f>
        <v>0</v>
      </c>
      <c r="Z23" s="32">
        <v>1325</v>
      </c>
      <c r="AA23" s="63">
        <v>585</v>
      </c>
      <c r="AB23" s="68" t="str">
        <f>IF(Y23=0,"",(Z23-Y23)/ABS(Y23)+1)</f>
        <v/>
      </c>
      <c r="AC23" s="32">
        <v>6730</v>
      </c>
      <c r="AD23" s="34">
        <f>IF(AC23=0,"",(Z23-AC23)/ABS(AC23))</f>
        <v>-0.80312035661218428</v>
      </c>
      <c r="AF23" s="32"/>
      <c r="AG23" s="32"/>
      <c r="AH23" s="32"/>
    </row>
    <row r="24" spans="1:35" x14ac:dyDescent="0.2">
      <c r="B24" s="3" t="s">
        <v>43</v>
      </c>
      <c r="C24" s="32">
        <f>+C20-C22</f>
        <v>7418</v>
      </c>
      <c r="D24" s="34">
        <f>+C24/$C$20</f>
        <v>0.97630955514609108</v>
      </c>
      <c r="E24" s="32">
        <f>+E20-E22</f>
        <v>6141.31</v>
      </c>
      <c r="F24" s="34">
        <f>+E24/$E$20</f>
        <v>1</v>
      </c>
      <c r="G24" s="34">
        <f>IF(C24=0,"",(E24-C24)/ABS(C24)+1)</f>
        <v>0.82789296306282023</v>
      </c>
      <c r="H24" s="32">
        <f>+H20-H22</f>
        <v>6985.5499999999993</v>
      </c>
      <c r="I24" s="34">
        <f>+H24/$H$20</f>
        <v>1</v>
      </c>
      <c r="J24" s="34">
        <f>IF(H24=0,"",(E24-H24)/ABS(H24))</f>
        <v>-0.12085519393605357</v>
      </c>
      <c r="K24" s="32">
        <f>+K20-K22</f>
        <v>66240</v>
      </c>
      <c r="L24" s="34">
        <f>+K24/$K$20</f>
        <v>0.98185699039487728</v>
      </c>
      <c r="M24" s="32">
        <f>+M20-M22</f>
        <v>60067.76</v>
      </c>
      <c r="N24" s="34">
        <f>+M24/$M$20</f>
        <v>1</v>
      </c>
      <c r="O24" s="34">
        <f>IF(K24=0,"",(M24-K24)/ABS(K24)+1)</f>
        <v>0.90682004830917873</v>
      </c>
      <c r="P24" s="32">
        <f>+P20-P22</f>
        <v>67575.98</v>
      </c>
      <c r="Q24" s="34">
        <f>+P24/$P$20</f>
        <v>0.9908844352971744</v>
      </c>
      <c r="R24" s="34">
        <f>IF(P24=0,"",(M24-P24)/ABS(P24))</f>
        <v>-0.11110782263165099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/>
      <c r="W25" s="32">
        <v>763.5</v>
      </c>
      <c r="X25" s="32">
        <v>1067</v>
      </c>
      <c r="Y25" s="32">
        <f>+AF25+V25</f>
        <v>0</v>
      </c>
      <c r="Z25" s="32">
        <v>9263</v>
      </c>
      <c r="AA25" s="63">
        <v>6100.8</v>
      </c>
      <c r="AB25" s="68" t="str">
        <f>IF(Y25=0,"",(Z25-Y25)/ABS(Y25)+1)</f>
        <v/>
      </c>
      <c r="AC25" s="32">
        <v>10312</v>
      </c>
      <c r="AD25" s="34">
        <f>IF(AC25=0,"",(Z25-AC25)/ABS(AC25))</f>
        <v>-0.10172614429790536</v>
      </c>
      <c r="AF25" s="32"/>
      <c r="AG25" s="32"/>
      <c r="AH25" s="32"/>
    </row>
    <row r="26" spans="1:35" x14ac:dyDescent="0.2">
      <c r="B26" s="3" t="s">
        <v>45</v>
      </c>
      <c r="C26" s="32">
        <v>685</v>
      </c>
      <c r="D26" s="34">
        <f>+C26/$C$20</f>
        <v>9.0155304027375621E-2</v>
      </c>
      <c r="E26" s="32">
        <v>569.08000000000004</v>
      </c>
      <c r="F26" s="34">
        <f>+E26/$E$20</f>
        <v>9.2664268698372174E-2</v>
      </c>
      <c r="G26" s="34">
        <f>IF(C26=0,"",(E26-C26)/ABS(C26)+1)</f>
        <v>0.8307737226277373</v>
      </c>
      <c r="H26" s="32">
        <v>572</v>
      </c>
      <c r="I26" s="34">
        <f>+H26/$H$20</f>
        <v>8.1883316274309115E-2</v>
      </c>
      <c r="J26" s="34">
        <f>IF(H26=0,"",(E26-H26)/ABS(H26))</f>
        <v>-5.1048951048950336E-3</v>
      </c>
      <c r="K26" s="32">
        <v>7190</v>
      </c>
      <c r="L26" s="34">
        <f>+K26/$K$20</f>
        <v>0.10657535870983043</v>
      </c>
      <c r="M26" s="32">
        <v>5112.01</v>
      </c>
      <c r="N26" s="34">
        <f>+M26/$M$20</f>
        <v>8.5104055819627697E-2</v>
      </c>
      <c r="O26" s="34">
        <f>IF(K26=0,"",(M26-K26)/ABS(K26)+1)</f>
        <v>0.71098887343532691</v>
      </c>
      <c r="P26" s="32">
        <v>4762.55</v>
      </c>
      <c r="Q26" s="34">
        <f>+P26/$P$20</f>
        <v>6.9834527998329565E-2</v>
      </c>
      <c r="R26" s="34">
        <f>IF(P26=0,"",(M26-P26)/ABS(P26))</f>
        <v>7.3376657462913775E-2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1020</v>
      </c>
      <c r="D27" s="34">
        <f>+C27/$C$20</f>
        <v>0.13424585417215057</v>
      </c>
      <c r="E27" s="32">
        <v>1052.45</v>
      </c>
      <c r="F27" s="34">
        <f>+E27/$E$20</f>
        <v>0.17137223165741511</v>
      </c>
      <c r="G27" s="34">
        <f>IF(C27=0,"",(E27-C27)/ABS(C27)+1)</f>
        <v>1.031813725490196</v>
      </c>
      <c r="H27" s="32">
        <v>1013.54</v>
      </c>
      <c r="I27" s="34">
        <f>+H27/$H$20</f>
        <v>0.14509093772143927</v>
      </c>
      <c r="J27" s="34">
        <f>IF(H27=0,"",(E27-H27)/ABS(H27))</f>
        <v>3.8390196736192046E-2</v>
      </c>
      <c r="K27" s="32">
        <v>10716</v>
      </c>
      <c r="L27" s="34">
        <f>+K27/$K$20</f>
        <v>0.15884027036641765</v>
      </c>
      <c r="M27" s="32">
        <v>9842.74</v>
      </c>
      <c r="N27" s="34">
        <f>+M27/$M$20</f>
        <v>0.16386061341391786</v>
      </c>
      <c r="O27" s="34">
        <f>IF(K27=0,"",(M27-K27)/ABS(K27)+1)</f>
        <v>0.9185087719298245</v>
      </c>
      <c r="P27" s="32">
        <v>10447.33</v>
      </c>
      <c r="Q27" s="34">
        <f>+P27/$P$20</f>
        <v>0.15319195796218169</v>
      </c>
      <c r="R27" s="34">
        <f>IF(P27=0,"",(M27-P27)/ABS(P27))</f>
        <v>-5.7870288389473688E-2</v>
      </c>
      <c r="S27" s="34"/>
      <c r="T27" s="63"/>
      <c r="U27" s="3" t="s">
        <v>47</v>
      </c>
      <c r="V27" s="32"/>
      <c r="W27" s="32"/>
      <c r="X27" s="32"/>
      <c r="Y27" s="32">
        <f t="shared" ref="Y27:Y28" si="3">+AF27+V27</f>
        <v>0</v>
      </c>
      <c r="Z27" s="32">
        <f t="shared" ref="Z27:Z28" si="4">+W27+AH27</f>
        <v>0</v>
      </c>
      <c r="AA27" s="63"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/>
      <c r="AG27" s="32"/>
    </row>
    <row r="28" spans="1:35" x14ac:dyDescent="0.2">
      <c r="B28" s="3" t="s">
        <v>48</v>
      </c>
      <c r="C28" s="32">
        <f>SUM(C26:C27)</f>
        <v>1705</v>
      </c>
      <c r="D28" s="34">
        <f>+C28/$C$20</f>
        <v>0.22440115819952619</v>
      </c>
      <c r="E28" s="32">
        <f>SUM(E26:E27)</f>
        <v>1621.5300000000002</v>
      </c>
      <c r="F28" s="34">
        <f>+E28/$E$20</f>
        <v>0.2640365003557873</v>
      </c>
      <c r="G28" s="34">
        <f>IF(C28=0,"",(E28-C28)/ABS(C28)+1)</f>
        <v>0.95104398826979486</v>
      </c>
      <c r="H28" s="32">
        <f>SUM(H26:H27)</f>
        <v>1585.54</v>
      </c>
      <c r="I28" s="34">
        <f>+H28/$H$20</f>
        <v>0.22697425399574839</v>
      </c>
      <c r="J28" s="34">
        <f>IF(H28=0,"",(E28-H28)/ABS(H28))</f>
        <v>2.2698891229486633E-2</v>
      </c>
      <c r="K28" s="32">
        <f>SUM(K26:K27)</f>
        <v>17906</v>
      </c>
      <c r="L28" s="34">
        <f>+K28/$K$20</f>
        <v>0.26541562907624805</v>
      </c>
      <c r="M28" s="32">
        <f>SUM(M26:M27)</f>
        <v>14954.75</v>
      </c>
      <c r="N28" s="34">
        <f>+M28/$M$20</f>
        <v>0.24896466923354557</v>
      </c>
      <c r="O28" s="34">
        <f>IF(K28=0,"",(M28-K28)/ABS(K28)+1)</f>
        <v>0.83518094493465878</v>
      </c>
      <c r="P28" s="32">
        <f>SUM(P26:P27)</f>
        <v>15209.880000000001</v>
      </c>
      <c r="Q28" s="34">
        <f>+P28/$P$20</f>
        <v>0.22302648596051125</v>
      </c>
      <c r="R28" s="34">
        <f>IF(P28=0,"",(M28-P28)/ABS(P28))</f>
        <v>-1.6773965343579372E-2</v>
      </c>
      <c r="S28" s="34"/>
      <c r="T28" s="63"/>
      <c r="U28" s="3" t="s">
        <v>49</v>
      </c>
      <c r="V28" s="32"/>
      <c r="W28" s="32"/>
      <c r="X28" s="32"/>
      <c r="Y28" s="32">
        <f t="shared" si="3"/>
        <v>0</v>
      </c>
      <c r="Z28" s="32">
        <f t="shared" si="4"/>
        <v>0</v>
      </c>
      <c r="AA28" s="63"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/>
      <c r="AG28" s="32"/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5249</v>
      </c>
      <c r="D30" s="34">
        <f>+C30/$C$20</f>
        <v>0.69083969465648853</v>
      </c>
      <c r="E30" s="32">
        <v>6556.93</v>
      </c>
      <c r="F30" s="34">
        <f>+E30/$E$20</f>
        <v>1.0676761147051688</v>
      </c>
      <c r="G30" s="34">
        <f>IF(C30=0,"",(E30-C30)/ABS(C30)+1)</f>
        <v>1.2491769860925892</v>
      </c>
      <c r="H30" s="32">
        <v>6073.67</v>
      </c>
      <c r="I30" s="34">
        <f>+H30/$H$20</f>
        <v>0.86946196076185855</v>
      </c>
      <c r="J30" s="34">
        <f>IF(H30=0,"",(E30-H30)/ABS(H30))</f>
        <v>7.9566390666598652E-2</v>
      </c>
      <c r="K30" s="32">
        <v>49831</v>
      </c>
      <c r="L30" s="34">
        <f>+K30/$K$20</f>
        <v>0.73863097355626706</v>
      </c>
      <c r="M30" s="32">
        <v>45132.06</v>
      </c>
      <c r="N30" s="34">
        <f>+M30/$M$20</f>
        <v>0.75135247260760174</v>
      </c>
      <c r="O30" s="34">
        <f>IF(K30=0,"",(M30-K30)/ABS(K30)+1)</f>
        <v>0.90570247436334805</v>
      </c>
      <c r="P30" s="32">
        <v>51025.36</v>
      </c>
      <c r="Q30" s="34">
        <f>+P30/$P$20</f>
        <v>0.74819832475141368</v>
      </c>
      <c r="R30" s="34">
        <f>IF(P30=0,"",(M30-P30)/ABS(P30))</f>
        <v>-0.1154974702775248</v>
      </c>
      <c r="S30" s="34"/>
      <c r="T30" s="63"/>
      <c r="U30" s="20" t="s">
        <v>51</v>
      </c>
      <c r="V30" s="69">
        <f>V21-V23-V25-V27-V28</f>
        <v>13901</v>
      </c>
      <c r="W30" s="69">
        <f>W21-W23-W25-W27-W28</f>
        <v>20263.25</v>
      </c>
      <c r="X30" s="69">
        <v>22357.51</v>
      </c>
      <c r="Y30" s="69">
        <f>Y21-Y23-Y25-Y27-Y28</f>
        <v>0</v>
      </c>
      <c r="Z30" s="69">
        <f>Z21-Z23-Z25-Z27-Z28</f>
        <v>20263</v>
      </c>
      <c r="AA30" s="71">
        <v>21287.999999999996</v>
      </c>
      <c r="AB30" s="72">
        <f>IF(V30=0,"",(W30-V30)/ABS(V30)+1)</f>
        <v>1.4576829005107546</v>
      </c>
      <c r="AC30" s="69">
        <v>22358.100000000006</v>
      </c>
      <c r="AD30" s="34">
        <f>IF(AC30=0,"",(Z30-AC30)/ABS(AC30))</f>
        <v>-9.3706531413671343E-2</v>
      </c>
      <c r="AF30" s="67"/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/>
      <c r="W31" s="63"/>
      <c r="X31" s="61"/>
      <c r="Y31" s="32"/>
      <c r="Z31" s="32"/>
      <c r="AA31" s="95"/>
      <c r="AB31" s="61"/>
      <c r="AC31" s="32"/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5249</v>
      </c>
      <c r="D32" s="34">
        <f>+C32/$C$20</f>
        <v>0.69083969465648853</v>
      </c>
      <c r="E32" s="32">
        <f>SUM(E30:E31)</f>
        <v>6556.93</v>
      </c>
      <c r="F32" s="34">
        <f>+E32/$E$20</f>
        <v>1.0676761147051688</v>
      </c>
      <c r="G32" s="34">
        <f>IF(C32=0,"",(E32-C32)/ABS(C32)+1)</f>
        <v>1.2491769860925892</v>
      </c>
      <c r="H32" s="32">
        <f>SUM(H30:H31)</f>
        <v>6073.67</v>
      </c>
      <c r="I32" s="34">
        <f>+H32/$H$20</f>
        <v>0.86946196076185855</v>
      </c>
      <c r="J32" s="34">
        <f>IF(H32=0,"",(E32-H32)/ABS(H32))</f>
        <v>7.9566390666598652E-2</v>
      </c>
      <c r="K32" s="32">
        <f>SUM(K30:K31)</f>
        <v>49831</v>
      </c>
      <c r="L32" s="34">
        <f>+K32/$K$20</f>
        <v>0.73863097355626706</v>
      </c>
      <c r="M32" s="32">
        <f>SUM(M30:M31)</f>
        <v>45132.06</v>
      </c>
      <c r="N32" s="34">
        <f>+M32/$M$20</f>
        <v>0.75135247260760174</v>
      </c>
      <c r="O32" s="34">
        <f>IF(K32=0,"",(M32-K32)/ABS(K32)+1)</f>
        <v>0.90570247436334805</v>
      </c>
      <c r="P32" s="32">
        <f>SUM(P30:P31)</f>
        <v>51025.36</v>
      </c>
      <c r="Q32" s="34">
        <f>+P32/$P$20</f>
        <v>0.74819832475141368</v>
      </c>
      <c r="R32" s="34">
        <f>IF(P32=0,"",(M32-P32)/ABS(P32))</f>
        <v>-0.1154974702775248</v>
      </c>
      <c r="S32" s="34"/>
      <c r="T32" s="63"/>
      <c r="U32" s="54"/>
      <c r="V32" s="54"/>
      <c r="W32" s="54" t="s">
        <v>61</v>
      </c>
      <c r="X32" s="54" t="s">
        <v>61</v>
      </c>
      <c r="Y32" s="73"/>
      <c r="Z32" s="73" t="s">
        <v>61</v>
      </c>
      <c r="AA32" s="73"/>
      <c r="AB32" s="54"/>
      <c r="AC32" s="54" t="s">
        <v>61</v>
      </c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6954</v>
      </c>
      <c r="D34" s="34">
        <f>+C34/$C$20</f>
        <v>0.91524085285601475</v>
      </c>
      <c r="E34" s="32">
        <f>E28+E32</f>
        <v>8178.4600000000009</v>
      </c>
      <c r="F34" s="34">
        <f>+E34/$E$20</f>
        <v>1.3317126150609562</v>
      </c>
      <c r="G34" s="34">
        <f>IF(C34=0,"",(E34-C34)/ABS(C34)+1)</f>
        <v>1.1760799539833191</v>
      </c>
      <c r="H34" s="32">
        <f>H28+H32</f>
        <v>7659.21</v>
      </c>
      <c r="I34" s="34">
        <f>+H34/$H$20</f>
        <v>1.096436214757607</v>
      </c>
      <c r="J34" s="34">
        <f>IF(H34=0,"",(E34-H34)/ABS(H34))</f>
        <v>6.7794198096148423E-2</v>
      </c>
      <c r="K34" s="32">
        <f>K28+K32</f>
        <v>67737</v>
      </c>
      <c r="L34" s="34">
        <f>+K34/$K$20</f>
        <v>1.0040466026325152</v>
      </c>
      <c r="M34" s="32">
        <f>M28+M32</f>
        <v>60086.81</v>
      </c>
      <c r="N34" s="34">
        <f>+M34/$M$20</f>
        <v>1.0003171418411474</v>
      </c>
      <c r="O34" s="34">
        <f>IF(K34=0,"",(M34-K34)/ABS(K34)+1)</f>
        <v>0.88706039535261372</v>
      </c>
      <c r="P34" s="32">
        <f>P28+P32</f>
        <v>66235.240000000005</v>
      </c>
      <c r="Q34" s="34">
        <f>+P34/$P$20</f>
        <v>0.97122481071192501</v>
      </c>
      <c r="R34" s="34">
        <f>IF(P34=0,"",(M34-P34)/ABS(P34))</f>
        <v>-9.2827171759323396E-2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464</v>
      </c>
      <c r="D36" s="45">
        <f>+C36/$C$20</f>
        <v>6.1068702290076333E-2</v>
      </c>
      <c r="E36" s="69">
        <f>E24-E34</f>
        <v>-2037.1500000000005</v>
      </c>
      <c r="F36" s="45">
        <f>+E36/$E$20</f>
        <v>-0.33171261506095612</v>
      </c>
      <c r="G36" s="45">
        <f>IF(C36=0,"",(E36-C36)/ABS(C36)+1)</f>
        <v>-4.3904094827586215</v>
      </c>
      <c r="H36" s="69">
        <f>H24-H34</f>
        <v>-673.66000000000076</v>
      </c>
      <c r="I36" s="45">
        <f>+H36/$H$20</f>
        <v>-9.64362147576069E-2</v>
      </c>
      <c r="J36" s="45">
        <f>IF(H36=0,"",(E36-H36)/ABS(H36))</f>
        <v>-2.0240032063652262</v>
      </c>
      <c r="K36" s="69">
        <f>K24-K34</f>
        <v>-1497</v>
      </c>
      <c r="L36" s="45">
        <f>+K36/$K$20</f>
        <v>-2.2189612237637851E-2</v>
      </c>
      <c r="M36" s="69">
        <f>M24-M34</f>
        <v>-19.049999999995634</v>
      </c>
      <c r="N36" s="45">
        <f>+M36/$M$20</f>
        <v>-3.1714184114732487E-4</v>
      </c>
      <c r="O36" s="45">
        <f>IF(K36=0,"",(M36-K36)/ABS(K36)+1)</f>
        <v>1.9872745490981993</v>
      </c>
      <c r="P36" s="69">
        <f>P24-P34</f>
        <v>1340.7399999999907</v>
      </c>
      <c r="Q36" s="45">
        <f>+P36/$P$20</f>
        <v>1.965962458524944E-2</v>
      </c>
      <c r="R36" s="45">
        <f>IF(P36=0,"",(M36-P36)/ABS(P36))</f>
        <v>-1.0142085713859479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96" t="s">
        <v>109</v>
      </c>
      <c r="V37" s="97" t="s">
        <v>8</v>
      </c>
      <c r="W37" s="97" t="s">
        <v>110</v>
      </c>
      <c r="X37" s="97"/>
      <c r="Y37" s="96"/>
      <c r="Z37" s="96"/>
      <c r="AA37" s="96"/>
      <c r="AB37" s="96"/>
      <c r="AC37" s="96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5451.75</v>
      </c>
      <c r="I38" s="34">
        <f>+H38/$H$20</f>
        <v>0.78043246415815515</v>
      </c>
      <c r="J38" s="34">
        <f>IF(H38=0,"",(E38-H38)/ABS(H38))</f>
        <v>-1</v>
      </c>
      <c r="K38" s="32">
        <v>0</v>
      </c>
      <c r="L38" s="34">
        <f>+K38/$K$20</f>
        <v>0</v>
      </c>
      <c r="M38" s="32">
        <v>0</v>
      </c>
      <c r="N38" s="34">
        <f>+M38/$M$20</f>
        <v>0</v>
      </c>
      <c r="O38" s="34" t="str">
        <f>IF(K38=0,"",(M38-K38)/ABS(K38)+1)</f>
        <v/>
      </c>
      <c r="P38" s="32">
        <v>5470.85</v>
      </c>
      <c r="Q38" s="34">
        <f>+P38/$P$20</f>
        <v>8.0220517894754137E-2</v>
      </c>
      <c r="R38" s="34">
        <f>IF(P38=0,"",(M38-P38)/ABS(P38))</f>
        <v>-1</v>
      </c>
      <c r="S38" s="34"/>
      <c r="T38" s="63"/>
      <c r="U38" s="96" t="s">
        <v>111</v>
      </c>
      <c r="V38" s="98">
        <f>+V30</f>
        <v>13901</v>
      </c>
      <c r="W38" s="98">
        <f>+W30</f>
        <v>20263.25</v>
      </c>
      <c r="X38" s="99">
        <f>+W38/V38</f>
        <v>1.4576829005107546</v>
      </c>
      <c r="Y38" s="96"/>
      <c r="Z38" s="96"/>
      <c r="AA38" s="96"/>
      <c r="AB38" s="96"/>
      <c r="AC38" s="96"/>
    </row>
    <row r="39" spans="1:34" x14ac:dyDescent="0.2">
      <c r="B39" s="3" t="s">
        <v>57</v>
      </c>
      <c r="C39" s="32">
        <v>12</v>
      </c>
      <c r="D39" s="34">
        <f>+C39/$C$20</f>
        <v>1.5793629902605948E-3</v>
      </c>
      <c r="E39" s="32">
        <v>0</v>
      </c>
      <c r="F39" s="34">
        <f>+E39/$E$20</f>
        <v>0</v>
      </c>
      <c r="G39" s="34">
        <f>IF(C39=0,"",(E39-C39)/ABS(C39)+1)</f>
        <v>0</v>
      </c>
      <c r="H39" s="32">
        <v>9.8000000000000007</v>
      </c>
      <c r="I39" s="34">
        <f>+H39/$H$20</f>
        <v>1.4028959781262752E-3</v>
      </c>
      <c r="J39" s="34">
        <f>IF(H39=0,"",(E39-H39)/ABS(H39))</f>
        <v>-1</v>
      </c>
      <c r="K39" s="32">
        <v>108</v>
      </c>
      <c r="L39" s="34">
        <f>+K39/$K$20</f>
        <v>1.6008537886872999E-3</v>
      </c>
      <c r="M39" s="32">
        <v>131.96</v>
      </c>
      <c r="N39" s="34">
        <f>+M39/$M$20</f>
        <v>2.1968523547407129E-3</v>
      </c>
      <c r="O39" s="34">
        <f>IF(K39=0,"",(M39-K39)/ABS(K39)+1)</f>
        <v>1.221851851851852</v>
      </c>
      <c r="P39" s="32">
        <v>54.52</v>
      </c>
      <c r="Q39" s="34">
        <f>+P39/$P$20</f>
        <v>7.994411536821509E-4</v>
      </c>
      <c r="R39" s="34">
        <f>IF(P39=0,"",(M39-P39)/ABS(P39))</f>
        <v>1.4203961848862801</v>
      </c>
      <c r="S39" s="34"/>
      <c r="T39" s="63"/>
      <c r="U39" s="96" t="s">
        <v>112</v>
      </c>
      <c r="V39" s="98">
        <f>+'VENEZUELA USD'!W24</f>
        <v>0</v>
      </c>
      <c r="W39" s="98">
        <f>+'VENEZUELA USD'!Y24</f>
        <v>0</v>
      </c>
      <c r="X39" s="96"/>
      <c r="Y39" s="96"/>
      <c r="Z39" s="96"/>
      <c r="AA39" s="96"/>
      <c r="AB39" s="96"/>
      <c r="AC39" s="96"/>
    </row>
    <row r="40" spans="1:34" x14ac:dyDescent="0.2">
      <c r="J40" s="34"/>
      <c r="R40" s="34"/>
      <c r="S40" s="34"/>
      <c r="U40" s="96" t="s">
        <v>113</v>
      </c>
      <c r="V40" s="98">
        <f>+'PANAMA USD'!U30</f>
        <v>0</v>
      </c>
      <c r="W40" s="98">
        <f>+'PANAMA USD'!V30</f>
        <v>0</v>
      </c>
      <c r="X40" s="96"/>
      <c r="Y40" s="96"/>
      <c r="Z40" s="96"/>
      <c r="AA40" s="96"/>
      <c r="AB40" s="96"/>
      <c r="AC40" s="96"/>
      <c r="AG40" s="55"/>
    </row>
    <row r="41" spans="1:34" x14ac:dyDescent="0.2">
      <c r="B41" s="3" t="s">
        <v>58</v>
      </c>
      <c r="C41" s="32">
        <f>C36+C38-C39</f>
        <v>452</v>
      </c>
      <c r="D41" s="34">
        <f>+C41/$C$20</f>
        <v>5.9489339299815744E-2</v>
      </c>
      <c r="E41" s="32">
        <f>E36+E38-E39</f>
        <v>-2037.1500000000005</v>
      </c>
      <c r="F41" s="34">
        <f>+E41/$E$20</f>
        <v>-0.33171261506095612</v>
      </c>
      <c r="G41" s="34">
        <f>IF(C41=0,"",(E41-C41)/ABS(C41)+1)</f>
        <v>-4.5069690265486742</v>
      </c>
      <c r="H41" s="32">
        <f>H36+H38-H39</f>
        <v>4768.2899999999991</v>
      </c>
      <c r="I41" s="34">
        <f>+H41/$H$20</f>
        <v>0.68259335342242189</v>
      </c>
      <c r="J41" s="34">
        <f>IF(H41=0,"",(E41-H41)/ABS(H41))</f>
        <v>-1.4272286291311982</v>
      </c>
      <c r="K41" s="32">
        <f>K36+K38-K39</f>
        <v>-1605</v>
      </c>
      <c r="L41" s="34">
        <f>+K41/$K$20</f>
        <v>-2.379046602632515E-2</v>
      </c>
      <c r="M41" s="32">
        <f>M36+M38-M39</f>
        <v>-151.00999999999564</v>
      </c>
      <c r="N41" s="34">
        <f>+M41/$M$20</f>
        <v>-2.5139941958880379E-3</v>
      </c>
      <c r="O41" s="34">
        <f>IF(K41=0,"",(M41-K41)/ABS(K41)+1)</f>
        <v>1.9059127725856726</v>
      </c>
      <c r="P41" s="32">
        <f>P36+P38-P39</f>
        <v>6757.0699999999906</v>
      </c>
      <c r="Q41" s="34">
        <f>+P41/$P$20</f>
        <v>9.9080701326321421E-2</v>
      </c>
      <c r="R41" s="34">
        <f>IF(P41=0,"",(M41-P41)/ABS(P41))</f>
        <v>-1.022348443926139</v>
      </c>
      <c r="S41" s="34"/>
      <c r="T41" s="63"/>
      <c r="U41" s="96" t="s">
        <v>114</v>
      </c>
      <c r="V41" s="98">
        <f>SUM(V38:V40)</f>
        <v>13901</v>
      </c>
      <c r="W41" s="98">
        <f>SUM(W38:W40)</f>
        <v>20263.25</v>
      </c>
      <c r="X41" s="96" t="s">
        <v>115</v>
      </c>
      <c r="Y41" s="96"/>
      <c r="Z41" s="96"/>
      <c r="AA41" s="96"/>
      <c r="AB41" s="96"/>
      <c r="AC41" s="96"/>
    </row>
    <row r="42" spans="1:34" x14ac:dyDescent="0.2">
      <c r="A42" s="94"/>
      <c r="B42" s="3" t="s">
        <v>44</v>
      </c>
      <c r="C42" s="32">
        <v>136</v>
      </c>
      <c r="D42" s="34">
        <f>+C42/$C$20</f>
        <v>1.7899447222953408E-2</v>
      </c>
      <c r="E42" s="32">
        <v>0</v>
      </c>
      <c r="F42" s="34">
        <f>+E42/$E$20</f>
        <v>0</v>
      </c>
      <c r="G42" s="34">
        <f>IF(C42=0,"",(E42-C42)/ABS(C42)+1)</f>
        <v>0</v>
      </c>
      <c r="H42" s="32">
        <v>0</v>
      </c>
      <c r="I42" s="34">
        <f>+H42/$H$20</f>
        <v>0</v>
      </c>
      <c r="J42" s="34" t="str">
        <f>IF(H42=0,"",(E42-H42)/ABS(H42))</f>
        <v/>
      </c>
      <c r="K42" s="32">
        <v>-480</v>
      </c>
      <c r="L42" s="34">
        <f>+K42/$K$20</f>
        <v>-7.1149057274991108E-3</v>
      </c>
      <c r="M42" s="32">
        <v>570.36</v>
      </c>
      <c r="N42" s="34">
        <f>+M42/$M$20</f>
        <v>9.4952766675501128E-3</v>
      </c>
      <c r="O42" s="34">
        <f>IF(K42=0,"",(M42-K42)/ABS(K42)+1)</f>
        <v>3.1882500000000005</v>
      </c>
      <c r="P42" s="32">
        <v>362.9</v>
      </c>
      <c r="Q42" s="34">
        <f>+P42/$P$20</f>
        <v>5.3212985082768255E-3</v>
      </c>
      <c r="R42" s="34">
        <f>IF(P42=0,"",(M42-P42)/ABS(P42))</f>
        <v>0.57167263709010763</v>
      </c>
      <c r="S42" s="34"/>
      <c r="T42" s="63"/>
      <c r="U42" s="96" t="s">
        <v>116</v>
      </c>
      <c r="V42" s="98">
        <f>+V41-V39</f>
        <v>13901</v>
      </c>
      <c r="W42" s="98">
        <f>+W41-W39</f>
        <v>20263.25</v>
      </c>
      <c r="X42" s="100">
        <f>+W42/V42</f>
        <v>1.4576829005107546</v>
      </c>
      <c r="Y42" s="96"/>
      <c r="Z42" s="96"/>
      <c r="AA42" s="96"/>
      <c r="AB42" s="96"/>
      <c r="AC42" s="96"/>
    </row>
    <row r="43" spans="1:34" x14ac:dyDescent="0.2">
      <c r="B43" s="20" t="s">
        <v>59</v>
      </c>
      <c r="C43" s="69">
        <f>C41-C42</f>
        <v>316</v>
      </c>
      <c r="D43" s="45">
        <f>+C43/$C$20</f>
        <v>4.1589892076862332E-2</v>
      </c>
      <c r="E43" s="69">
        <f>E41-E42</f>
        <v>-2037.1500000000005</v>
      </c>
      <c r="F43" s="45">
        <f>+E43/$E$20</f>
        <v>-0.33171261506095612</v>
      </c>
      <c r="G43" s="45">
        <f>IF(C43=0,"",(E43-C43)/ABS(C43)+1)</f>
        <v>-6.446677215189875</v>
      </c>
      <c r="H43" s="69">
        <f>H41-H42</f>
        <v>4768.2899999999991</v>
      </c>
      <c r="I43" s="45">
        <f>+H43/$H$20</f>
        <v>0.68259335342242189</v>
      </c>
      <c r="J43" s="45">
        <f>IF(H43=0,"",(E43-H43)/ABS(H43))</f>
        <v>-1.4272286291311982</v>
      </c>
      <c r="K43" s="69">
        <f>K41-K42</f>
        <v>-1125</v>
      </c>
      <c r="L43" s="45">
        <f>+K43/$K$20</f>
        <v>-1.6675560298826039E-2</v>
      </c>
      <c r="M43" s="69">
        <f>M41-M42</f>
        <v>-721.36999999999568</v>
      </c>
      <c r="N43" s="45">
        <f>+M43/$M$20</f>
        <v>-1.2009270863438152E-2</v>
      </c>
      <c r="O43" s="45">
        <f>IF(K43=0,"",(M43-K43)/ABS(K43)+1)</f>
        <v>1.3587822222222261</v>
      </c>
      <c r="P43" s="69">
        <f>P41-P42</f>
        <v>6394.169999999991</v>
      </c>
      <c r="Q43" s="45">
        <f>+P43/$P$20</f>
        <v>9.3759402818044596E-2</v>
      </c>
      <c r="R43" s="45">
        <f>IF(P43=0,"",(M43-P43)/ABS(P43))</f>
        <v>-1.1128168315825191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794</v>
      </c>
      <c r="D45" s="34">
        <f>+C45/$C$20</f>
        <v>0.10450118452224269</v>
      </c>
      <c r="E45" s="32">
        <v>-1707.4000000000005</v>
      </c>
      <c r="F45" s="34">
        <f>+E45/$E$20</f>
        <v>-0.27801885916848368</v>
      </c>
      <c r="G45" s="34">
        <f>IF(C45=0,"",(E45-C45)/ABS(C45)+1)</f>
        <v>-2.1503778337531494</v>
      </c>
      <c r="H45" s="32">
        <v>-344.50000000000074</v>
      </c>
      <c r="I45" s="34">
        <f>+H45/$H$20</f>
        <v>-4.931608821066355E-2</v>
      </c>
      <c r="J45" s="34">
        <f>IF(H45=0,"",(E45-H45)/ABS(H45))</f>
        <v>-3.9561683599419362</v>
      </c>
      <c r="K45" s="32">
        <v>1473</v>
      </c>
      <c r="L45" s="34">
        <f>+K45/$K$20</f>
        <v>2.1833866951262895E-2</v>
      </c>
      <c r="M45" s="32">
        <v>2985.9400000000041</v>
      </c>
      <c r="N45" s="34">
        <f>+M45/$M$20</f>
        <v>4.9709528039667272E-2</v>
      </c>
      <c r="O45" s="34">
        <f>IF(K45=0,"",(M45-K45)/ABS(K45)+1)</f>
        <v>2.0271147318397853</v>
      </c>
      <c r="P45" s="32">
        <v>3784.9899999999907</v>
      </c>
      <c r="Q45" s="34">
        <f>+P45/$P$20</f>
        <v>5.5500307635278738E-2</v>
      </c>
      <c r="R45" s="34">
        <f>IF(P45=0,"",(M45-P45)/ABS(P45))</f>
        <v>-0.21111020108375148</v>
      </c>
      <c r="S45" s="34"/>
      <c r="T45" s="63"/>
    </row>
    <row r="46" spans="1:34" x14ac:dyDescent="0.2">
      <c r="B46" s="3" t="s">
        <v>35</v>
      </c>
      <c r="C46" s="32">
        <v>5126</v>
      </c>
      <c r="D46" s="34">
        <f>+C46/$C$20</f>
        <v>0.6746512240063175</v>
      </c>
      <c r="E46" s="32">
        <v>6472.2</v>
      </c>
      <c r="F46" s="34">
        <f>+E46/$E$20</f>
        <v>1.0538793840402128</v>
      </c>
      <c r="G46" s="34">
        <f>IF(C46=0,"",(E46-C46)/ABS(C46)+1)</f>
        <v>1.2626219274287944</v>
      </c>
      <c r="H46" s="32">
        <v>4920.58</v>
      </c>
      <c r="I46" s="34">
        <f>+H46/$H$20</f>
        <v>0.70439407061720272</v>
      </c>
      <c r="J46" s="34">
        <f>IF(H46=0,"",(E46-H46)/ABS(H46))</f>
        <v>0.31533274532677041</v>
      </c>
      <c r="K46" s="32">
        <v>46744</v>
      </c>
      <c r="L46" s="34">
        <f>+K46/$K$20</f>
        <v>0.69287323609628837</v>
      </c>
      <c r="M46" s="32">
        <v>42630.33</v>
      </c>
      <c r="N46" s="34">
        <f>+M46/$M$20</f>
        <v>0.7097040076074087</v>
      </c>
      <c r="O46" s="34">
        <f>IF(K46=0,"",(M46-K46)/ABS(K46)+1)</f>
        <v>0.91199576416224548</v>
      </c>
      <c r="P46" s="32">
        <v>48060.07</v>
      </c>
      <c r="Q46" s="34">
        <f>+P46/$P$20</f>
        <v>0.70471749462298106</v>
      </c>
      <c r="R46" s="34">
        <f>IF(P46=0,"",(M46-P46)/ABS(P46))</f>
        <v>-0.11297819582867853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117</v>
      </c>
      <c r="C56" s="55" t="s">
        <v>118</v>
      </c>
      <c r="E56" s="55" t="s">
        <v>119</v>
      </c>
      <c r="N56" s="55" t="s">
        <v>120</v>
      </c>
      <c r="R56" s="55" t="s">
        <v>121</v>
      </c>
      <c r="S56" s="55"/>
    </row>
    <row r="57" spans="2:19" x14ac:dyDescent="0.2">
      <c r="B57" s="2" t="s">
        <v>111</v>
      </c>
      <c r="C57" s="55">
        <f>+C36</f>
        <v>464</v>
      </c>
      <c r="E57" s="55">
        <f>+E36</f>
        <v>-2037.1500000000005</v>
      </c>
      <c r="N57" s="55">
        <f>+K36</f>
        <v>-1497</v>
      </c>
      <c r="R57" s="55">
        <f>+M36</f>
        <v>-19.049999999995634</v>
      </c>
      <c r="S57" s="55"/>
    </row>
    <row r="58" spans="2:19" x14ac:dyDescent="0.2">
      <c r="B58" s="2" t="s">
        <v>122</v>
      </c>
      <c r="C58" s="55">
        <f>+'VENEZUELA USD'!C36</f>
        <v>0</v>
      </c>
      <c r="E58" s="55">
        <f>+'VENEZUELA USD'!E36</f>
        <v>273.24405733782294</v>
      </c>
      <c r="N58" s="55">
        <f>+'VENEZUELA USD'!K36</f>
        <v>0</v>
      </c>
      <c r="R58" s="55" t="str">
        <f>+'VENEZUELA USD'!O36</f>
        <v/>
      </c>
      <c r="S58" s="55"/>
    </row>
    <row r="59" spans="2:19" x14ac:dyDescent="0.2">
      <c r="B59" s="2" t="s">
        <v>123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-2350</v>
      </c>
      <c r="S59" s="55"/>
    </row>
    <row r="60" spans="2:19" x14ac:dyDescent="0.2">
      <c r="B60" s="2" t="s">
        <v>124</v>
      </c>
      <c r="C60" s="55">
        <f>SUM(C57:C59)</f>
        <v>464</v>
      </c>
      <c r="E60" s="55">
        <f>SUM(E57:E59)</f>
        <v>-1763.9059426621775</v>
      </c>
      <c r="N60" s="55">
        <f>SUM(N57:N59)</f>
        <v>-1497</v>
      </c>
      <c r="R60" s="55">
        <f>SUM(R57:R59)</f>
        <v>-2369.0499999999956</v>
      </c>
      <c r="S60" s="55"/>
    </row>
    <row r="61" spans="2:19" x14ac:dyDescent="0.2">
      <c r="B61" s="2" t="s">
        <v>125</v>
      </c>
      <c r="C61" s="55">
        <f>+C60-C58</f>
        <v>464</v>
      </c>
      <c r="E61" s="55">
        <f>+E60-E58</f>
        <v>-2037.1500000000005</v>
      </c>
    </row>
    <row r="62" spans="2:19" x14ac:dyDescent="0.2">
      <c r="B62" s="79" t="s">
        <v>126</v>
      </c>
    </row>
    <row r="63" spans="2:19" x14ac:dyDescent="0.2">
      <c r="B63" s="2" t="s">
        <v>111</v>
      </c>
      <c r="C63" s="55">
        <f>+C43</f>
        <v>316</v>
      </c>
      <c r="E63" s="55">
        <f>+E43</f>
        <v>-2037.1500000000005</v>
      </c>
      <c r="K63" s="2">
        <f>+E63/C63</f>
        <v>-6.446677215189875</v>
      </c>
    </row>
    <row r="64" spans="2:19" x14ac:dyDescent="0.2">
      <c r="B64" s="2" t="s">
        <v>127</v>
      </c>
      <c r="C64" s="55">
        <f>+'VENEZUELA USD'!C43</f>
        <v>0</v>
      </c>
      <c r="E64" s="55">
        <f>+'VENEZUELA USD'!E43</f>
        <v>3270.9713198283926</v>
      </c>
    </row>
    <row r="65" spans="2:6" x14ac:dyDescent="0.2">
      <c r="B65" s="2" t="s">
        <v>123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128</v>
      </c>
      <c r="C66" s="55">
        <f>SUM(C63:C65)</f>
        <v>316</v>
      </c>
      <c r="E66" s="55">
        <f>SUM(E63:E65)</f>
        <v>1233.821319828392</v>
      </c>
    </row>
    <row r="68" spans="2:6" x14ac:dyDescent="0.2">
      <c r="B68" s="79" t="s">
        <v>129</v>
      </c>
      <c r="C68" s="101">
        <f>+C63+C65</f>
        <v>316</v>
      </c>
      <c r="D68" s="79"/>
      <c r="E68" s="101">
        <f>+E63+E65</f>
        <v>-2037.1500000000005</v>
      </c>
      <c r="F68" s="102">
        <f>+E68/C68</f>
        <v>-6.446677215189875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97E16-7C3D-43DC-814F-BA34CA4E06D0}">
  <sheetPr>
    <tabColor theme="0" tint="-0.14999847407452621"/>
  </sheetPr>
  <dimension ref="A1:AH48"/>
  <sheetViews>
    <sheetView showGridLines="0" topLeftCell="J1" zoomScale="98" zoomScaleNormal="98" workbookViewId="0">
      <selection activeCell="Y32" sqref="Y32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130</v>
      </c>
      <c r="T3" s="18" t="s">
        <v>130</v>
      </c>
    </row>
    <row r="4" spans="1:34" x14ac:dyDescent="0.2">
      <c r="B4" s="3" t="s">
        <v>104</v>
      </c>
      <c r="C4" s="91"/>
      <c r="S4" s="103"/>
      <c r="T4" s="3" t="s">
        <v>21</v>
      </c>
    </row>
    <row r="5" spans="1:34" ht="15.75" customHeight="1" thickBot="1" x14ac:dyDescent="0.25">
      <c r="B5" s="3" t="s">
        <v>131</v>
      </c>
      <c r="E5" s="104"/>
      <c r="T5" s="3" t="s">
        <v>131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SEPTIEMBRE de 2025</v>
      </c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SEPTIEMBRE de 2025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2025</v>
      </c>
      <c r="D7" s="61"/>
      <c r="E7" s="61" t="str">
        <f>+'COL. CONS.$'!E7:E7</f>
        <v>Real 2025</v>
      </c>
      <c r="F7" s="61"/>
      <c r="G7" s="61" t="s">
        <v>24</v>
      </c>
      <c r="H7" s="61" t="str">
        <f>+'COL. CONS.$'!H7:H7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/>
      <c r="D10" s="68" t="str">
        <f t="shared" ref="D10:D20" si="0">IF($C$20=0," ",C10/$C$20)</f>
        <v xml:space="preserve"> </v>
      </c>
      <c r="E10" s="32">
        <v>465930</v>
      </c>
      <c r="F10" s="68">
        <f t="shared" ref="F10:F15" si="1">+E10/$E$20</f>
        <v>0.56483262125444555</v>
      </c>
      <c r="G10" s="68" t="str">
        <f t="shared" ref="G10:G15" si="2">IF(C10=0,"",(E10-C10)/ABS(C10)+1)</f>
        <v/>
      </c>
      <c r="H10" s="32">
        <v>102610</v>
      </c>
      <c r="I10" s="68">
        <f t="shared" ref="I10:I15" si="3">+H10/$H$20</f>
        <v>0.51201347991126767</v>
      </c>
      <c r="J10" s="68">
        <f t="shared" ref="J10:J15" si="4">IF(H10=0,"",(E10-H10)/ABS(H10))</f>
        <v>3.5407854984894258</v>
      </c>
      <c r="K10" s="32"/>
      <c r="L10" s="68" t="str">
        <f t="shared" ref="L10:L20" si="5">IF($K$20=0," ",K10/$K$20)</f>
        <v xml:space="preserve"> </v>
      </c>
      <c r="M10" s="32">
        <v>2435955</v>
      </c>
      <c r="N10" s="68">
        <f t="shared" ref="N10:N15" si="6">+M10/$M$20</f>
        <v>0.47575457739727228</v>
      </c>
      <c r="O10" s="68" t="str">
        <f>IF(K10=0,"",(M10-K10)/ABS(K10)+1)</f>
        <v/>
      </c>
      <c r="P10" s="32">
        <v>885912</v>
      </c>
      <c r="Q10" s="68">
        <f t="shared" ref="Q10:Q15" si="7">+P10/$P$20</f>
        <v>0.42932629197997901</v>
      </c>
      <c r="R10" s="68">
        <f t="shared" ref="R10:R15" si="8">IF(P10=0,"",(M10-P10)/ABS(P10))</f>
        <v>1.749657979573592</v>
      </c>
      <c r="T10" s="3" t="s">
        <v>31</v>
      </c>
      <c r="U10" s="32"/>
      <c r="V10" s="32">
        <v>728213.74</v>
      </c>
      <c r="W10" s="32">
        <v>262999.15000000002</v>
      </c>
      <c r="X10" s="32">
        <v>236652</v>
      </c>
      <c r="Y10" s="32">
        <v>238865</v>
      </c>
      <c r="Z10" s="63">
        <f>+Y10-X10</f>
        <v>2213</v>
      </c>
      <c r="AA10" s="68">
        <f>IF(X10=0,"",(Y10-X10)/ABS(X10)+1)</f>
        <v>1.0093512837415277</v>
      </c>
      <c r="AB10" s="32">
        <v>253979</v>
      </c>
      <c r="AC10" s="68">
        <f>IF(W10=0,"",(Y10-AB10)/ABS(AB10))</f>
        <v>-5.9508857031486853E-2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/>
      <c r="D11" s="68" t="str">
        <f t="shared" si="0"/>
        <v xml:space="preserve"> </v>
      </c>
      <c r="E11" s="32">
        <v>129173.41</v>
      </c>
      <c r="F11" s="68">
        <f t="shared" si="1"/>
        <v>0.15659295552266478</v>
      </c>
      <c r="G11" s="68" t="str">
        <f t="shared" si="2"/>
        <v/>
      </c>
      <c r="H11" s="32">
        <v>26718.84</v>
      </c>
      <c r="I11" s="68">
        <f t="shared" si="3"/>
        <v>0.13332429829054063</v>
      </c>
      <c r="J11" s="68">
        <f t="shared" si="4"/>
        <v>3.8345440894889151</v>
      </c>
      <c r="K11" s="32"/>
      <c r="L11" s="68" t="str">
        <f t="shared" si="5"/>
        <v xml:space="preserve"> </v>
      </c>
      <c r="M11" s="32">
        <v>737343.2300000001</v>
      </c>
      <c r="N11" s="68">
        <f t="shared" si="6"/>
        <v>0.1440069364111364</v>
      </c>
      <c r="O11" s="68" t="str">
        <f>IF(K11=0,"",(M11-K11)/ABS(K11)+1)</f>
        <v/>
      </c>
      <c r="P11" s="32">
        <v>263222.77</v>
      </c>
      <c r="Q11" s="68">
        <f t="shared" si="7"/>
        <v>0.12756171697504817</v>
      </c>
      <c r="R11" s="68">
        <f t="shared" si="8"/>
        <v>1.8012137019909031</v>
      </c>
      <c r="T11" s="3" t="s">
        <v>32</v>
      </c>
      <c r="U11" s="32"/>
      <c r="V11" s="32">
        <v>823879.71</v>
      </c>
      <c r="W11" s="32">
        <v>156855.04999999999</v>
      </c>
      <c r="X11" s="32">
        <f>+AD8+U11</f>
        <v>0</v>
      </c>
      <c r="Y11" s="32">
        <v>5389012</v>
      </c>
      <c r="Z11" s="63">
        <f>+Y11-X11</f>
        <v>5389012</v>
      </c>
      <c r="AA11" s="68" t="str">
        <f>IF(X11=0,"",(Y11-X11)/ABS(X11)+1)</f>
        <v/>
      </c>
      <c r="AB11" s="32">
        <v>1983590</v>
      </c>
      <c r="AC11" s="68">
        <f>IF(AB11=0,"",(Y11-AB11)/ABS(AB11))</f>
        <v>1.7167973220272335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/>
      <c r="D12" s="68" t="str">
        <f t="shared" si="0"/>
        <v xml:space="preserve"> </v>
      </c>
      <c r="E12" s="32">
        <v>100313.43</v>
      </c>
      <c r="F12" s="68">
        <f t="shared" si="1"/>
        <v>0.12160688861829959</v>
      </c>
      <c r="G12" s="68" t="str">
        <f t="shared" si="2"/>
        <v/>
      </c>
      <c r="H12" s="32">
        <v>33593.24</v>
      </c>
      <c r="I12" s="68">
        <f t="shared" si="3"/>
        <v>0.16762685619232426</v>
      </c>
      <c r="J12" s="68">
        <f t="shared" si="4"/>
        <v>1.9861195288099631</v>
      </c>
      <c r="K12" s="32"/>
      <c r="L12" s="68" t="str">
        <f t="shared" si="5"/>
        <v xml:space="preserve"> </v>
      </c>
      <c r="M12" s="32">
        <v>670319.88000000012</v>
      </c>
      <c r="N12" s="68">
        <f t="shared" si="6"/>
        <v>0.13091693041554148</v>
      </c>
      <c r="O12" s="68" t="str">
        <f>IF(K12=0,"",(M12-K12)/ABS(K12)+1)</f>
        <v/>
      </c>
      <c r="P12" s="32">
        <v>337074.04999999993</v>
      </c>
      <c r="Q12" s="68">
        <f t="shared" si="7"/>
        <v>0.16335115904195227</v>
      </c>
      <c r="R12" s="68">
        <f t="shared" si="8"/>
        <v>0.98864279228852014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/>
      <c r="D13" s="68" t="str">
        <f t="shared" si="0"/>
        <v xml:space="preserve"> </v>
      </c>
      <c r="E13" s="32"/>
      <c r="F13" s="68">
        <f t="shared" si="1"/>
        <v>0</v>
      </c>
      <c r="G13" s="68" t="str">
        <f t="shared" si="2"/>
        <v/>
      </c>
      <c r="H13" s="32">
        <v>0</v>
      </c>
      <c r="I13" s="68">
        <f t="shared" si="3"/>
        <v>0</v>
      </c>
      <c r="J13" s="68" t="str">
        <f t="shared" si="4"/>
        <v/>
      </c>
      <c r="K13" s="32"/>
      <c r="L13" s="68" t="str">
        <f t="shared" si="5"/>
        <v xml:space="preserve"> </v>
      </c>
      <c r="M13" s="32">
        <v>468480.73</v>
      </c>
      <c r="N13" s="68">
        <f t="shared" si="6"/>
        <v>9.1496703231346885E-2</v>
      </c>
      <c r="O13" s="68" t="str">
        <f>IF(K13=0,"",(M13-K13)/ABS(K13)+1)</f>
        <v/>
      </c>
      <c r="P13" s="32">
        <v>251986.59</v>
      </c>
      <c r="Q13" s="68">
        <f t="shared" si="7"/>
        <v>0.12211649499428755</v>
      </c>
      <c r="R13" s="68">
        <f t="shared" si="8"/>
        <v>0.85914944918299019</v>
      </c>
      <c r="T13" s="3" t="s">
        <v>33</v>
      </c>
      <c r="U13" s="32"/>
      <c r="V13" s="32"/>
      <c r="W13" s="32"/>
      <c r="X13" s="32">
        <f>+AD9+U13</f>
        <v>0</v>
      </c>
      <c r="Y13" s="32">
        <v>178575</v>
      </c>
      <c r="Z13" s="63">
        <f>+X13-Y13</f>
        <v>-178575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 t="str">
        <f t="shared" si="0"/>
        <v xml:space="preserve"> 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 t="str">
        <f t="shared" si="5"/>
        <v xml:space="preserve"> 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/>
      <c r="D15" s="68" t="str">
        <f t="shared" si="0"/>
        <v xml:space="preserve"> </v>
      </c>
      <c r="E15" s="32">
        <v>129482.4</v>
      </c>
      <c r="F15" s="68">
        <f t="shared" si="1"/>
        <v>0.15696753460458998</v>
      </c>
      <c r="G15" s="68" t="str">
        <f t="shared" si="2"/>
        <v/>
      </c>
      <c r="H15" s="32">
        <v>37482.800000000003</v>
      </c>
      <c r="I15" s="68">
        <f t="shared" si="3"/>
        <v>0.1870353656058675</v>
      </c>
      <c r="J15" s="68">
        <f t="shared" si="4"/>
        <v>2.4544484403513072</v>
      </c>
      <c r="K15" s="32"/>
      <c r="L15" s="68" t="str">
        <f t="shared" si="5"/>
        <v xml:space="preserve"> </v>
      </c>
      <c r="M15" s="32">
        <v>808093.62000000011</v>
      </c>
      <c r="N15" s="68">
        <f t="shared" si="6"/>
        <v>0.15782485254470299</v>
      </c>
      <c r="O15" s="68"/>
      <c r="P15" s="32">
        <v>325298.05999999994</v>
      </c>
      <c r="Q15" s="68">
        <f t="shared" si="7"/>
        <v>0.15764433700873304</v>
      </c>
      <c r="R15" s="68">
        <f t="shared" si="8"/>
        <v>1.4841636620888556</v>
      </c>
      <c r="T15" s="3" t="s">
        <v>35</v>
      </c>
      <c r="U15" s="32"/>
      <c r="V15" s="32">
        <v>243957.86</v>
      </c>
      <c r="W15" s="32">
        <v>111005.41</v>
      </c>
      <c r="X15" s="32">
        <f>+AD11+U15</f>
        <v>0</v>
      </c>
      <c r="Y15" s="32">
        <v>1411602</v>
      </c>
      <c r="Z15" s="63">
        <f>+X15-Y15</f>
        <v>-1411602</v>
      </c>
      <c r="AA15" s="68" t="str">
        <f>IF(X15=0,"",(Y15-X15)/ABS(X15)+1)</f>
        <v/>
      </c>
      <c r="AB15" s="32">
        <v>749673</v>
      </c>
      <c r="AC15" s="68">
        <f>IF(AB15=0,"",(Y15-AB15)/ABS(AB15))</f>
        <v>0.88295696923858802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 t="str">
        <f t="shared" si="0"/>
        <v xml:space="preserve"> </v>
      </c>
      <c r="E16" s="32"/>
      <c r="F16" s="68"/>
      <c r="G16" s="68"/>
      <c r="H16" s="32"/>
      <c r="I16" s="68"/>
      <c r="J16" s="68"/>
      <c r="K16" s="32"/>
      <c r="L16" s="68" t="str">
        <f t="shared" si="5"/>
        <v xml:space="preserve"> 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549050.78</v>
      </c>
      <c r="W16" s="32">
        <v>100314.37</v>
      </c>
      <c r="X16" s="32">
        <f>+AD13+U16</f>
        <v>0</v>
      </c>
      <c r="Y16" s="32">
        <v>2865288</v>
      </c>
      <c r="Z16" s="63">
        <f>+X16-Y16</f>
        <v>-2865288</v>
      </c>
      <c r="AA16" s="68" t="str">
        <f>IF(X16=0,"",(Y16-X16)/ABS(X16)+1)</f>
        <v/>
      </c>
      <c r="AB16" s="32">
        <v>880471</v>
      </c>
      <c r="AC16" s="68">
        <f>IF(AB16=0,"",(Y16-AB16)/ABS(AB16))</f>
        <v>2.2542673182875985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 t="str">
        <f t="shared" si="0"/>
        <v xml:space="preserve"> </v>
      </c>
      <c r="E17" s="32"/>
      <c r="F17" s="68"/>
      <c r="G17" s="68"/>
      <c r="H17" s="32"/>
      <c r="I17" s="68"/>
      <c r="J17" s="68"/>
      <c r="K17" s="32"/>
      <c r="L17" s="68" t="str">
        <f t="shared" si="5"/>
        <v xml:space="preserve"> 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793008.64000000001</v>
      </c>
      <c r="W17" s="32">
        <v>211319.78</v>
      </c>
      <c r="X17" s="32">
        <f>X13+X14+X15+X16</f>
        <v>0</v>
      </c>
      <c r="Y17" s="32">
        <f>Y13+Y14+Y15+Y16</f>
        <v>4455465</v>
      </c>
      <c r="Z17" s="63">
        <f>+Y17-X17</f>
        <v>4455465</v>
      </c>
      <c r="AA17" s="68" t="str">
        <f>IF(X17=0,"",(Y17-X17)/ABS(X17)+1)</f>
        <v/>
      </c>
      <c r="AB17" s="32">
        <v>1630144</v>
      </c>
      <c r="AC17" s="68">
        <f>IF(AB17=0,"",(Y17-AB17)/ABS(AB17))</f>
        <v>1.7331726522319502</v>
      </c>
      <c r="AD17" s="67"/>
      <c r="AE17" s="67"/>
      <c r="AF17" s="67"/>
      <c r="AG17" s="67"/>
      <c r="AH17" s="67"/>
    </row>
    <row r="18" spans="2:34" x14ac:dyDescent="0.2">
      <c r="B18" s="3" t="s">
        <v>132</v>
      </c>
      <c r="C18" s="32"/>
      <c r="D18" s="68" t="str">
        <f t="shared" si="0"/>
        <v xml:space="preserve"> </v>
      </c>
      <c r="E18" s="32"/>
      <c r="F18" s="68"/>
      <c r="G18" s="68"/>
      <c r="H18" s="32"/>
      <c r="I18" s="68"/>
      <c r="J18" s="68"/>
      <c r="K18" s="32"/>
      <c r="L18" s="68" t="str">
        <f t="shared" si="5"/>
        <v xml:space="preserve"> 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 t="str">
        <f t="shared" si="0"/>
        <v xml:space="preserve"> </v>
      </c>
      <c r="E19" s="32"/>
      <c r="F19" s="68"/>
      <c r="G19" s="68"/>
      <c r="H19" s="32"/>
      <c r="I19" s="68"/>
      <c r="J19" s="68"/>
      <c r="K19" s="32"/>
      <c r="L19" s="68" t="str">
        <f t="shared" si="5"/>
        <v xml:space="preserve"> 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30871.069999999949</v>
      </c>
      <c r="W19" s="32">
        <v>-54464.73000000001</v>
      </c>
      <c r="X19" s="32">
        <f>X11-X17</f>
        <v>0</v>
      </c>
      <c r="Y19" s="32">
        <f>+Y11-Y17</f>
        <v>933547</v>
      </c>
      <c r="Z19" s="63">
        <f>+Y19-X19</f>
        <v>933547</v>
      </c>
      <c r="AA19" s="68" t="str">
        <f>IF(X19=0,"",(Y19-X19)/ABS(X19)+1)</f>
        <v/>
      </c>
      <c r="AB19" s="32">
        <v>353446</v>
      </c>
      <c r="AC19" s="68">
        <f>IF(AB19=0,"",(Y19-AB19)/ABS(AB19))</f>
        <v>1.6412719340436728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0</v>
      </c>
      <c r="D20" s="68" t="str">
        <f t="shared" si="0"/>
        <v xml:space="preserve"> </v>
      </c>
      <c r="E20" s="32">
        <f>SUM(E10:E16)</f>
        <v>824899.24000000011</v>
      </c>
      <c r="F20" s="68">
        <f>+E20/$E$20</f>
        <v>1</v>
      </c>
      <c r="G20" s="68" t="str">
        <f>IF(C20=0,"",(E20-C20)/ABS(C20)+1)</f>
        <v/>
      </c>
      <c r="H20" s="32">
        <v>200404.88</v>
      </c>
      <c r="I20" s="68">
        <f>+H20/$H$20</f>
        <v>1</v>
      </c>
      <c r="J20" s="68">
        <f>IF(H20=0,"",(E20-H20)/ABS(H20))</f>
        <v>3.1161634387346262</v>
      </c>
      <c r="K20" s="32">
        <f>SUM(K10:K16)</f>
        <v>0</v>
      </c>
      <c r="L20" s="68" t="str">
        <f t="shared" si="5"/>
        <v xml:space="preserve"> </v>
      </c>
      <c r="M20" s="32">
        <f>SUM(M10:M19)</f>
        <v>5120192.46</v>
      </c>
      <c r="N20" s="68">
        <f>+M20/$M$20</f>
        <v>1</v>
      </c>
      <c r="O20" s="68" t="str">
        <f>IF(K20=0,"",(M20-K20)/ABS(K20)+1)</f>
        <v/>
      </c>
      <c r="P20" s="32">
        <v>2063493.4699999997</v>
      </c>
      <c r="Q20" s="68">
        <f>+P20/$P$20</f>
        <v>1</v>
      </c>
      <c r="R20" s="68">
        <f>IF(P20=0,"",(M20-P20)/ABS(P20))</f>
        <v>1.4813223470002066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0</v>
      </c>
      <c r="V21" s="32">
        <f>+V10+V19</f>
        <v>759084.80999999994</v>
      </c>
      <c r="W21" s="32">
        <v>208534.42</v>
      </c>
      <c r="X21" s="32">
        <f>+X10+X19</f>
        <v>236652</v>
      </c>
      <c r="Y21" s="32">
        <f>+Y10+Y19</f>
        <v>1172412</v>
      </c>
      <c r="Z21" s="63">
        <f>+Y21-X21</f>
        <v>935760</v>
      </c>
      <c r="AA21" s="68">
        <f>IF(X21=0,"",(Y21-X21)/ABS(X21)+1)</f>
        <v>4.9541605395263932</v>
      </c>
      <c r="AB21" s="32">
        <v>607425</v>
      </c>
      <c r="AC21" s="68">
        <f>IF(AB21=0,"",(Y21-AB21)/ABS(AB21))</f>
        <v>0.93013458451660702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 t="str">
        <f>IF($C$20=0," ",C22/$C$20)</f>
        <v xml:space="preserve"> 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 t="str">
        <f>IF($K$20=0," ",K22/$K$20)</f>
        <v xml:space="preserve"> </v>
      </c>
      <c r="M22" s="32">
        <v>474453.46</v>
      </c>
      <c r="N22" s="68">
        <f>+M22/$M$20</f>
        <v>9.2663208210731984E-2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0</v>
      </c>
      <c r="D24" s="68" t="str">
        <f>IF($C$20=0," ",C24/$C$20)</f>
        <v xml:space="preserve"> </v>
      </c>
      <c r="E24" s="32">
        <f>+E20-E22</f>
        <v>824899.24000000011</v>
      </c>
      <c r="F24" s="68">
        <f>+E24/$E$20</f>
        <v>1</v>
      </c>
      <c r="G24" s="68" t="str">
        <f>IF(C24=0,"",(E24-C24)/ABS(C24)+1)</f>
        <v/>
      </c>
      <c r="H24" s="32">
        <v>200404.88</v>
      </c>
      <c r="I24" s="68">
        <f>+H24/$H$20</f>
        <v>1</v>
      </c>
      <c r="J24" s="68">
        <f>IF(H24=0,"",(E24-H24)/ABS(H24))</f>
        <v>3.1161634387346262</v>
      </c>
      <c r="K24" s="32">
        <f>+K20-K22</f>
        <v>0</v>
      </c>
      <c r="L24" s="68" t="str">
        <f>IF($K$20=0," ",K24/$K$20)</f>
        <v xml:space="preserve"> </v>
      </c>
      <c r="M24" s="32">
        <f>+M20-M22</f>
        <v>4645739</v>
      </c>
      <c r="N24" s="68">
        <f>+M24/$M$20</f>
        <v>0.90733679178926807</v>
      </c>
      <c r="O24" s="68" t="str">
        <f>IF(K24=0,"",(M24-K24)/ABS(K24)+1)</f>
        <v/>
      </c>
      <c r="P24" s="32">
        <v>2063493.4699999997</v>
      </c>
      <c r="Q24" s="68">
        <f>+P24/$P$20</f>
        <v>1</v>
      </c>
      <c r="R24" s="68">
        <f>IF(P24=0,"",(M24-P24)/ABS(P24))</f>
        <v>1.2513950577221844</v>
      </c>
    </row>
    <row r="25" spans="2:34" x14ac:dyDescent="0.2">
      <c r="T25" s="3" t="s">
        <v>44</v>
      </c>
      <c r="U25" s="32"/>
      <c r="V25" s="32">
        <v>47918.62</v>
      </c>
      <c r="W25" s="32">
        <v>24257.35</v>
      </c>
      <c r="X25" s="32">
        <f>+AD22+U25</f>
        <v>0</v>
      </c>
      <c r="Y25" s="32">
        <v>461245</v>
      </c>
      <c r="Z25" s="63">
        <f>+Y25-X25</f>
        <v>461245</v>
      </c>
      <c r="AA25" s="68" t="str">
        <f>IF(X25=0,"",(Y25-X25)/ABS(X25)+1)</f>
        <v/>
      </c>
      <c r="AB25" s="32">
        <v>441941</v>
      </c>
      <c r="AC25" s="68">
        <f>IF(AB25=0,"",(Y25-AB25)/ABS(AB25))</f>
        <v>4.3680038738202608E-2</v>
      </c>
      <c r="AD25" s="67"/>
      <c r="AE25" s="67"/>
      <c r="AF25" s="67"/>
    </row>
    <row r="26" spans="2:34" x14ac:dyDescent="0.2">
      <c r="B26" s="3" t="s">
        <v>45</v>
      </c>
      <c r="C26" s="32"/>
      <c r="D26" s="68" t="str">
        <f>IF($C$20=0," ",C26/$C$20)</f>
        <v xml:space="preserve"> </v>
      </c>
      <c r="E26" s="32">
        <v>13334.19</v>
      </c>
      <c r="F26" s="68">
        <f>+E26/$E$20</f>
        <v>1.6164628785450209E-2</v>
      </c>
      <c r="G26" s="68" t="str">
        <f>IF(C26=0,"",(E26-C26)/ABS(C26)+1)</f>
        <v/>
      </c>
      <c r="H26" s="32">
        <v>3856.62</v>
      </c>
      <c r="I26" s="68">
        <f>+H26/$H$20</f>
        <v>1.92441421586141E-2</v>
      </c>
      <c r="J26" s="68">
        <f>IF(H26=0,"",(E26-H26)/ABS(H26))</f>
        <v>2.4574809029668465</v>
      </c>
      <c r="K26" s="32"/>
      <c r="L26" s="68" t="str">
        <f>IF($K$20=0," ",K26/$K$20)</f>
        <v xml:space="preserve"> </v>
      </c>
      <c r="M26" s="32">
        <v>70987.679999999993</v>
      </c>
      <c r="N26" s="68">
        <f>+M26/$M$20</f>
        <v>1.3864260094629332E-2</v>
      </c>
      <c r="O26" s="68" t="str">
        <f>IF(K26=0,"",(M26-K26)/ABS(K26)+1)</f>
        <v/>
      </c>
      <c r="P26" s="32">
        <v>33128.110000000008</v>
      </c>
      <c r="Q26" s="68">
        <f>+P26/$P$20</f>
        <v>1.6054380826317813E-2</v>
      </c>
      <c r="R26" s="68">
        <f>IF(P26=0,"",(M26-P26)/ABS(P26))</f>
        <v>1.1428231190973459</v>
      </c>
      <c r="AF26" s="67"/>
    </row>
    <row r="27" spans="2:34" x14ac:dyDescent="0.2">
      <c r="B27" s="3" t="s">
        <v>46</v>
      </c>
      <c r="C27" s="32"/>
      <c r="D27" s="68" t="str">
        <f>IF($C$20=0," ",C27/$C$20)</f>
        <v xml:space="preserve"> </v>
      </c>
      <c r="E27" s="32">
        <v>177947.96000000002</v>
      </c>
      <c r="F27" s="68">
        <f>+E27/$E$20</f>
        <v>0.21572084367540453</v>
      </c>
      <c r="G27" s="68" t="str">
        <f>IF(C27=0,"",(E27-C27)/ABS(C27)+1)</f>
        <v/>
      </c>
      <c r="H27" s="32">
        <v>40275.100000000006</v>
      </c>
      <c r="I27" s="68">
        <f>+H27/$H$20</f>
        <v>0.20096865904662603</v>
      </c>
      <c r="J27" s="68">
        <f>IF(H27=0,"",(E27-H27)/ABS(H27))</f>
        <v>3.4183120588154963</v>
      </c>
      <c r="K27" s="32"/>
      <c r="L27" s="68" t="str">
        <f>IF($K$20=0," ",K27/$K$20)</f>
        <v xml:space="preserve"> </v>
      </c>
      <c r="M27" s="32">
        <v>1001487.68</v>
      </c>
      <c r="N27" s="68">
        <f>+M27/$M$20</f>
        <v>0.19559571008781965</v>
      </c>
      <c r="O27" s="68" t="str">
        <f>IF(K27=0,"",(M27-K27)/ABS(K27)+1)</f>
        <v/>
      </c>
      <c r="P27" s="32">
        <v>291751.05999999994</v>
      </c>
      <c r="Q27" s="68">
        <f>+P27/$P$20</f>
        <v>0.14138695578232191</v>
      </c>
      <c r="R27" s="68">
        <f>IF(P27=0,"",(M27-P27)/ABS(P27))</f>
        <v>2.4326788050058852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0</v>
      </c>
      <c r="D28" s="68" t="str">
        <f>IF($C$20=0," ",C28/$C$20)</f>
        <v xml:space="preserve"> </v>
      </c>
      <c r="E28" s="32">
        <f>SUM(E26:E27)</f>
        <v>191282.15000000002</v>
      </c>
      <c r="F28" s="68">
        <f>+E28/$E$20</f>
        <v>0.23188547246085472</v>
      </c>
      <c r="G28" s="68" t="str">
        <f>IF(C28=0,"",(E28-C28)/ABS(C28)+1)</f>
        <v/>
      </c>
      <c r="H28" s="32">
        <v>44131.720000000008</v>
      </c>
      <c r="I28" s="68">
        <f>+H28/$H$20</f>
        <v>0.22021280120524014</v>
      </c>
      <c r="J28" s="68">
        <f>IF(H28=0,"",(E28-H28)/ABS(H28))</f>
        <v>3.3343461347076433</v>
      </c>
      <c r="K28" s="32">
        <f>+K26+K27</f>
        <v>0</v>
      </c>
      <c r="L28" s="68" t="str">
        <f>IF($K$20=0," ",K28/$K$20)</f>
        <v xml:space="preserve"> </v>
      </c>
      <c r="M28" s="32">
        <f>SUM(M26:M27)</f>
        <v>1072475.3600000001</v>
      </c>
      <c r="N28" s="68">
        <f>+M28/$M$20</f>
        <v>0.209459970182449</v>
      </c>
      <c r="O28" s="68" t="str">
        <f>IF(K28=0,"",(M28-K28)/ABS(K28)+1)</f>
        <v/>
      </c>
      <c r="P28" s="32">
        <v>324879.16999999993</v>
      </c>
      <c r="Q28" s="68">
        <f>+P28/$P$20</f>
        <v>0.15744133660863971</v>
      </c>
      <c r="R28" s="68">
        <f>IF(P28=0,"",(M28-P28)/ABS(P28))</f>
        <v>2.3011515019568671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/>
      <c r="D30" s="68" t="str">
        <f>IF($C$20=0," ",C30/$C$20)</f>
        <v xml:space="preserve"> </v>
      </c>
      <c r="E30" s="32">
        <v>380828.67</v>
      </c>
      <c r="F30" s="68">
        <f>+E30/$E$20</f>
        <v>0.46166689400756378</v>
      </c>
      <c r="G30" s="68" t="str">
        <f>IF(C30=0,"",(E30-C30)/ABS(C30)+1)</f>
        <v/>
      </c>
      <c r="H30" s="32">
        <v>143440.23000000001</v>
      </c>
      <c r="I30" s="68">
        <f>+H30/$H$20</f>
        <v>0.71575218128420826</v>
      </c>
      <c r="J30" s="68">
        <f>IF(H30=0,"",(E30-H30)/ABS(H30))</f>
        <v>1.6549641617278497</v>
      </c>
      <c r="K30" s="32"/>
      <c r="L30" s="68" t="str">
        <f>IF($K$20=0," ",K30/$K$20)</f>
        <v xml:space="preserve"> </v>
      </c>
      <c r="M30" s="32">
        <v>2218865.61</v>
      </c>
      <c r="N30" s="68">
        <f>+M30/$M$20</f>
        <v>0.43335589967256816</v>
      </c>
      <c r="O30" s="68" t="str">
        <f>IF(K30=0,"",(M30-K30)/ABS(K30)+1)</f>
        <v/>
      </c>
      <c r="P30" s="32">
        <v>1289176.0600000003</v>
      </c>
      <c r="Q30" s="68">
        <f>+P30/$P$20</f>
        <v>0.62475412631182226</v>
      </c>
      <c r="R30" s="68">
        <f>IF(P30=0,"",(M30-P30)/ABS(P30))</f>
        <v>0.72115018176803514</v>
      </c>
      <c r="T30" s="3" t="s">
        <v>51</v>
      </c>
      <c r="U30" s="32">
        <f>+U21-U25-U23+U27</f>
        <v>0</v>
      </c>
      <c r="V30" s="32">
        <f>+V21-V25-V23+V27</f>
        <v>711166.19</v>
      </c>
      <c r="W30" s="32">
        <v>184277.07</v>
      </c>
      <c r="X30" s="32">
        <f>+X21-X25-X23-X27</f>
        <v>236652</v>
      </c>
      <c r="Y30" s="32">
        <f>+Y21-Y25-Y23+Y27</f>
        <v>711167</v>
      </c>
      <c r="Z30" s="63">
        <f>+Y30-X30</f>
        <v>474515</v>
      </c>
      <c r="AA30" s="68" t="str">
        <f>IF(U30=0,"",(V30-U30)/ABS(U30)+1)</f>
        <v/>
      </c>
      <c r="AB30" s="32">
        <v>184277</v>
      </c>
      <c r="AC30" s="68">
        <f>IF(AB30=0,"",(Y30-AB30)/ABS(AB30))</f>
        <v>2.8592282270712026</v>
      </c>
      <c r="AD30" s="55"/>
      <c r="AF30" s="67"/>
    </row>
    <row r="31" spans="2:34" x14ac:dyDescent="0.2">
      <c r="B31" s="3" t="s">
        <v>52</v>
      </c>
      <c r="C31" s="32"/>
      <c r="D31" s="68" t="str">
        <f>IF($C$20=0," ",C31/$C$20)</f>
        <v xml:space="preserve"> </v>
      </c>
      <c r="E31" s="32">
        <v>204256.45</v>
      </c>
      <c r="F31" s="68">
        <f>+E31/$E$20</f>
        <v>0.24761381765850576</v>
      </c>
      <c r="G31" s="68" t="str">
        <f>IF(C31=0,"",(E31-C31)/ABS(C31)+1)</f>
        <v/>
      </c>
      <c r="H31" s="32">
        <v>42055.5</v>
      </c>
      <c r="I31" s="68">
        <f>+H31/$H$20</f>
        <v>0.20985267424625587</v>
      </c>
      <c r="J31" s="68">
        <f>IF(H31=0,"",(E31-H31)/ABS(H31))</f>
        <v>3.8568308544661223</v>
      </c>
      <c r="K31" s="32"/>
      <c r="L31" s="68" t="str">
        <f>IF($K$20=0," ",K31/$K$20)</f>
        <v xml:space="preserve"> </v>
      </c>
      <c r="M31" s="32">
        <v>1154429.95</v>
      </c>
      <c r="N31" s="68">
        <f>+M31/$M$20</f>
        <v>0.22546612437298891</v>
      </c>
      <c r="O31" s="68" t="str">
        <f>IF(K31=0,"",(M31-K31)/ABS(K31)+1)</f>
        <v/>
      </c>
      <c r="P31" s="32">
        <v>371051.65</v>
      </c>
      <c r="Q31" s="68">
        <f>+P31/$P$20</f>
        <v>0.17981721551074259</v>
      </c>
      <c r="R31" s="68">
        <f>IF(P31=0,"",(M31-P31)/ABS(P31))</f>
        <v>2.1112378829200731</v>
      </c>
      <c r="T31" s="61"/>
      <c r="U31" s="61"/>
      <c r="V31" s="61" t="s">
        <v>61</v>
      </c>
      <c r="W31" s="61" t="s">
        <v>61</v>
      </c>
      <c r="X31" s="32"/>
      <c r="Y31" s="32"/>
      <c r="Z31" s="61"/>
      <c r="AA31" s="61"/>
      <c r="AB31" s="32" t="s">
        <v>61</v>
      </c>
      <c r="AC31" s="61"/>
      <c r="AD31" s="55"/>
    </row>
    <row r="32" spans="2:34" x14ac:dyDescent="0.2">
      <c r="B32" s="3" t="s">
        <v>53</v>
      </c>
      <c r="C32" s="32">
        <f>SUM(C30:C31)</f>
        <v>0</v>
      </c>
      <c r="D32" s="68" t="str">
        <f>IF($C$20=0," ",C32/$C$20)</f>
        <v xml:space="preserve"> </v>
      </c>
      <c r="E32" s="32">
        <f>SUM(E30:E31)</f>
        <v>585085.12</v>
      </c>
      <c r="F32" s="68">
        <f>+E32/$E$20</f>
        <v>0.70928071166606954</v>
      </c>
      <c r="G32" s="68" t="str">
        <f>IF(C32=0,"",(E32-C32)/ABS(C32)+1)</f>
        <v/>
      </c>
      <c r="H32" s="32">
        <v>185495.73</v>
      </c>
      <c r="I32" s="68">
        <f>+H32/$H$20</f>
        <v>0.92560485553046412</v>
      </c>
      <c r="J32" s="68">
        <f>IF(H32=0,"",(E32-H32)/ABS(H32))</f>
        <v>2.1541702873699573</v>
      </c>
      <c r="K32" s="32">
        <f>+K30+K31</f>
        <v>0</v>
      </c>
      <c r="L32" s="68" t="str">
        <f>IF($K$20=0," ",K32/$K$20)</f>
        <v xml:space="preserve"> </v>
      </c>
      <c r="M32" s="32">
        <f>+M30+M31</f>
        <v>3373295.5599999996</v>
      </c>
      <c r="N32" s="68">
        <f>+M32/$M$20</f>
        <v>0.65882202404555701</v>
      </c>
      <c r="O32" s="68" t="str">
        <f>IF(K32=0,"",(M32-K32)/ABS(K32)+1)</f>
        <v/>
      </c>
      <c r="P32" s="32">
        <v>1660227.7100000004</v>
      </c>
      <c r="Q32" s="68">
        <f>+P32/$P$20</f>
        <v>0.80457134182256496</v>
      </c>
      <c r="R32" s="68">
        <f>IF(P32=0,"",(M32-P32)/ABS(P32))</f>
        <v>1.0318270437734103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0</v>
      </c>
      <c r="D34" s="68" t="str">
        <f>IF($C$20=0," ",C34/$C$20)</f>
        <v xml:space="preserve"> </v>
      </c>
      <c r="E34" s="32">
        <f>E28+E32</f>
        <v>776367.27</v>
      </c>
      <c r="F34" s="68">
        <f>+E34/$E$20</f>
        <v>0.94116618412692432</v>
      </c>
      <c r="G34" s="68" t="str">
        <f>IF(C34=0,"",(E34-C34)/ABS(C34)+1)</f>
        <v/>
      </c>
      <c r="H34" s="32">
        <v>229627.45</v>
      </c>
      <c r="I34" s="68">
        <f>+H34/$H$20</f>
        <v>1.1458176567357043</v>
      </c>
      <c r="J34" s="68">
        <f>IF(H34=0,"",(E34-H34)/ABS(H34))</f>
        <v>2.38098633242672</v>
      </c>
      <c r="K34" s="32">
        <f>K28+K32</f>
        <v>0</v>
      </c>
      <c r="L34" s="68" t="str">
        <f>IF($K$20=0," ",K34/$K$20)</f>
        <v xml:space="preserve"> </v>
      </c>
      <c r="M34" s="32">
        <f>M28+M32</f>
        <v>4445770.92</v>
      </c>
      <c r="N34" s="68">
        <f>+M34/$M$20</f>
        <v>0.868281994228006</v>
      </c>
      <c r="O34" s="68" t="str">
        <f>IF(K34=0,"",(M34-K34)/ABS(K34)+1)</f>
        <v/>
      </c>
      <c r="P34" s="32">
        <v>1985106.8800000004</v>
      </c>
      <c r="Q34" s="68">
        <f>+P34/$P$20</f>
        <v>0.96201267843120464</v>
      </c>
      <c r="R34" s="68">
        <f>IF(P34=0,"",(M34-P34)/ABS(P34))</f>
        <v>1.2395624965039662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0</v>
      </c>
      <c r="D36" s="68" t="str">
        <f>IF($C$20=0," ",C36/$C$20)</f>
        <v xml:space="preserve"> </v>
      </c>
      <c r="E36" s="32">
        <f>E24-E34</f>
        <v>48531.970000000088</v>
      </c>
      <c r="F36" s="68">
        <f>+E36/$E$20</f>
        <v>5.88338158730757E-2</v>
      </c>
      <c r="G36" s="68" t="str">
        <f>IF(C36=0,"",(E36-C36)/ABS(C36)+1)</f>
        <v/>
      </c>
      <c r="H36" s="32">
        <v>-29222.570000000007</v>
      </c>
      <c r="I36" s="68">
        <f>+H36/$H$20</f>
        <v>-0.14581765673570427</v>
      </c>
      <c r="J36" s="68">
        <f>IF(H36=0,"",(E36-H36)/ABS(H36))</f>
        <v>2.6607700828503473</v>
      </c>
      <c r="K36" s="32">
        <f>K24-K34</f>
        <v>0</v>
      </c>
      <c r="L36" s="68" t="str">
        <f>IF($K$20=0," ",K36/$K$20)</f>
        <v xml:space="preserve"> </v>
      </c>
      <c r="M36" s="32">
        <f>M24-M34</f>
        <v>199968.08000000007</v>
      </c>
      <c r="N36" s="68">
        <f>+M36/$M$20</f>
        <v>3.9054797561261997E-2</v>
      </c>
      <c r="O36" s="68" t="str">
        <f>IF(K36=0,"",(M36-K36)/ABS(K36)+1)</f>
        <v/>
      </c>
      <c r="P36" s="32">
        <v>78386.589999999385</v>
      </c>
      <c r="Q36" s="68">
        <f>+P36/$P$20</f>
        <v>3.7987321568795369E-2</v>
      </c>
      <c r="R36" s="68">
        <f>IF(P36=0,"",(M36-P36)/ABS(P36))</f>
        <v>1.5510496119298165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 t="str">
        <f>IF($C$20=0," ",C38/$C$20)</f>
        <v xml:space="preserve"> </v>
      </c>
      <c r="E38" s="32">
        <v>533414.33000000007</v>
      </c>
      <c r="F38" s="68">
        <f>+E38/$E$20</f>
        <v>0.64664180076102384</v>
      </c>
      <c r="G38" s="68" t="str">
        <f>IF(C38=0,"",(E38-C38)/ABS(C38)+1)</f>
        <v/>
      </c>
      <c r="H38" s="32">
        <v>-37</v>
      </c>
      <c r="I38" s="68">
        <f>+H38/$H$20</f>
        <v>-1.846262426344109E-4</v>
      </c>
      <c r="J38" s="68">
        <f>IF(H38=0,"",(E38-H38)/ABS(H38))</f>
        <v>14417.603513513515</v>
      </c>
      <c r="K38" s="32">
        <f>+S28+C38</f>
        <v>0</v>
      </c>
      <c r="L38" s="68" t="str">
        <f>IF($K$20=0," ",K38/$K$20)</f>
        <v xml:space="preserve"> </v>
      </c>
      <c r="M38" s="32">
        <v>2180021.58</v>
      </c>
      <c r="N38" s="68">
        <f>+M38/$M$20</f>
        <v>0.42576946023626622</v>
      </c>
      <c r="O38" s="68" t="str">
        <f>IF(K38=0,"",(M38-K38)/ABS(K38)+1)</f>
        <v/>
      </c>
      <c r="P38" s="32">
        <v>-6290.9999999999991</v>
      </c>
      <c r="Q38" s="68">
        <f>+P38/$P$20</f>
        <v>-3.0487133065654915E-3</v>
      </c>
      <c r="R38" s="68">
        <f>IF(P38=0,"",(M38-P38)/ABS(P38))</f>
        <v>347.53021459227472</v>
      </c>
      <c r="AD38" s="55"/>
    </row>
    <row r="39" spans="2:30" x14ac:dyDescent="0.2">
      <c r="B39" s="3" t="s">
        <v>57</v>
      </c>
      <c r="C39" s="32"/>
      <c r="D39" s="68" t="str">
        <f>IF($C$20=0," ",C39/$C$20)</f>
        <v xml:space="preserve"> </v>
      </c>
      <c r="E39" s="32">
        <v>976</v>
      </c>
      <c r="F39" s="68">
        <f>+E39/$E$20</f>
        <v>1.1831748081135337E-3</v>
      </c>
      <c r="G39" s="68" t="str">
        <f>IF(C39=0,"",(E39-C39)/ABS(C39)+1)</f>
        <v/>
      </c>
      <c r="H39" s="32">
        <v>123.77</v>
      </c>
      <c r="I39" s="68">
        <f>+H39/$H$20</f>
        <v>6.1759973110435233E-4</v>
      </c>
      <c r="J39" s="68">
        <f>IF(H39=0,"",(E39-H39)/ABS(H39))</f>
        <v>6.8855942473943612</v>
      </c>
      <c r="K39" s="32"/>
      <c r="L39" s="68" t="str">
        <f>IF($K$20=0," ",K39/$K$20)</f>
        <v xml:space="preserve"> </v>
      </c>
      <c r="M39" s="32">
        <v>45868</v>
      </c>
      <c r="N39" s="68">
        <f>+M39/$M$20</f>
        <v>8.9582570105187029E-3</v>
      </c>
      <c r="O39" s="68" t="str">
        <f>IF(K39=0,"",(M39-K39)/ABS(K39)+1)</f>
        <v/>
      </c>
      <c r="P39" s="32">
        <v>32026.01</v>
      </c>
      <c r="Q39" s="68">
        <f>+P39/$P$20</f>
        <v>1.5520286574980053E-2</v>
      </c>
      <c r="R39" s="68">
        <f>IF(P39=0,"",(M39-P39)/ABS(P39))</f>
        <v>0.43221088109321149</v>
      </c>
    </row>
    <row r="41" spans="2:30" x14ac:dyDescent="0.2">
      <c r="B41" s="3" t="s">
        <v>58</v>
      </c>
      <c r="C41" s="32">
        <f>C36+C38-C39</f>
        <v>0</v>
      </c>
      <c r="D41" s="68" t="str">
        <f>IF($C$20=0," ",C41/$C$20)</f>
        <v xml:space="preserve"> </v>
      </c>
      <c r="E41" s="32">
        <f>E36+E38-E39</f>
        <v>580970.30000000016</v>
      </c>
      <c r="F41" s="68">
        <f>+E41/$E$20</f>
        <v>0.70429244182598605</v>
      </c>
      <c r="G41" s="68" t="str">
        <f>IF(C41=0,"",(E41-C41)/ABS(C41)+1)</f>
        <v/>
      </c>
      <c r="H41" s="32">
        <v>-29383.340000000007</v>
      </c>
      <c r="I41" s="68">
        <f>+H41/$H$20</f>
        <v>-0.14661988270944304</v>
      </c>
      <c r="J41" s="68">
        <f>IF(H41=0,"",(E41-H41)/ABS(H41))</f>
        <v>20.772098747113159</v>
      </c>
      <c r="K41" s="32">
        <f>K36+K38-K39</f>
        <v>0</v>
      </c>
      <c r="L41" s="68" t="str">
        <f>IF($K$20=0," ",K41/$K$20)</f>
        <v xml:space="preserve"> </v>
      </c>
      <c r="M41" s="32">
        <f>M36+M38-M39</f>
        <v>2334121.66</v>
      </c>
      <c r="N41" s="68">
        <f>+M41/$M$20</f>
        <v>0.45586600078700951</v>
      </c>
      <c r="O41" s="68" t="str">
        <f>IF(K41=0,"",(M41-K41)/ABS(K41)+1)</f>
        <v/>
      </c>
      <c r="P41" s="32">
        <v>40069.579999999391</v>
      </c>
      <c r="Q41" s="68">
        <f>+P41/$P$20</f>
        <v>1.9418321687249825E-2</v>
      </c>
      <c r="R41" s="68">
        <f>IF(P41=0,"",(M41-P41)/ABS(P41))</f>
        <v>57.251712645853424</v>
      </c>
    </row>
    <row r="42" spans="2:30" x14ac:dyDescent="0.2">
      <c r="B42" s="3" t="s">
        <v>44</v>
      </c>
      <c r="C42" s="32"/>
      <c r="D42" s="68" t="str">
        <f>IF($C$20=0," ",C42/$C$20)</f>
        <v xml:space="preserve"> </v>
      </c>
      <c r="E42" s="32"/>
      <c r="F42" s="68">
        <f>+E42/$E$20</f>
        <v>0</v>
      </c>
      <c r="G42" s="68" t="str">
        <f>IF(C42=0,"",(E42-C42)/ABS(C42)+1)</f>
        <v/>
      </c>
      <c r="H42" s="32">
        <v>0</v>
      </c>
      <c r="I42" s="68">
        <f>+H42/$H$20</f>
        <v>0</v>
      </c>
      <c r="J42" s="68" t="str">
        <f>IF(H42=0,"",(E42-H42)/ABS(H42))</f>
        <v/>
      </c>
      <c r="K42" s="32"/>
      <c r="L42" s="68" t="str">
        <f>IF($K$20=0," ",K42/$K$20)</f>
        <v xml:space="preserve"> </v>
      </c>
      <c r="M42" s="32"/>
      <c r="N42" s="68">
        <f>+M42/$M$20</f>
        <v>0</v>
      </c>
      <c r="O42" s="68" t="str">
        <f>IF(K42=0,"",(M42-K42)/ABS(K42)+1)</f>
        <v/>
      </c>
      <c r="P42" s="32">
        <v>0</v>
      </c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0</v>
      </c>
      <c r="D43" s="72" t="str">
        <f>IF($C$20=0," ",C43/$C$20)</f>
        <v xml:space="preserve"> </v>
      </c>
      <c r="E43" s="69">
        <f>+E41-E42</f>
        <v>580970.30000000016</v>
      </c>
      <c r="F43" s="72">
        <f>+E43/$E$20</f>
        <v>0.70429244182598605</v>
      </c>
      <c r="G43" s="72" t="str">
        <f>IF(C43=0,"",(E43-C43)/ABS(C43)+1)</f>
        <v/>
      </c>
      <c r="H43" s="69">
        <v>-29383.340000000007</v>
      </c>
      <c r="I43" s="72">
        <f>+H43/$H$20</f>
        <v>-0.14661988270944304</v>
      </c>
      <c r="J43" s="72">
        <f>IF(H43=0,"",(E43-H43)/ABS(H43))</f>
        <v>20.772098747113159</v>
      </c>
      <c r="K43" s="69">
        <f>+K41-K42</f>
        <v>0</v>
      </c>
      <c r="L43" s="72" t="str">
        <f>IF($K$20=0," ",K43/$K$20)</f>
        <v xml:space="preserve"> </v>
      </c>
      <c r="M43" s="69">
        <f>+M41-M42</f>
        <v>2334121.66</v>
      </c>
      <c r="N43" s="72">
        <f>+M43/$M$20</f>
        <v>0.45586600078700951</v>
      </c>
      <c r="O43" s="72" t="str">
        <f>IF(K43=0,"",(M43-K43)/ABS(K43)+1)</f>
        <v/>
      </c>
      <c r="P43" s="69">
        <v>40069.579999999391</v>
      </c>
      <c r="Q43" s="72">
        <f>+P43/$P$20</f>
        <v>1.9418321687249825E-2</v>
      </c>
      <c r="R43" s="72">
        <f>IF(P43=0,"",(M43-P43)/ABS(P43))</f>
        <v>57.251712645853424</v>
      </c>
    </row>
    <row r="45" spans="2:30" x14ac:dyDescent="0.2">
      <c r="B45" s="3" t="s">
        <v>60</v>
      </c>
      <c r="C45" s="32"/>
      <c r="D45" s="68" t="str">
        <f>IF($C$20=0," ",C45/$C$20)</f>
        <v xml:space="preserve"> </v>
      </c>
      <c r="E45" s="32">
        <v>581428.30000000016</v>
      </c>
      <c r="F45" s="68">
        <f>+E45/$E$20</f>
        <v>0.70484766115192454</v>
      </c>
      <c r="G45" s="68" t="str">
        <f>IF(C45=0,"",(E45-C45)/ABS(C45)+1)</f>
        <v/>
      </c>
      <c r="H45" s="32">
        <v>-28924.670000000013</v>
      </c>
      <c r="I45" s="68">
        <f>+H45/$H$20</f>
        <v>-0.14433116598757481</v>
      </c>
      <c r="J45" s="68">
        <f>IF(H45=0,"",(E45-H45)/ABS(H45))</f>
        <v>21.101467017601237</v>
      </c>
      <c r="K45" s="32">
        <f>+K43</f>
        <v>0</v>
      </c>
      <c r="L45" s="68" t="str">
        <f>IF($K$20=0," ",K45/$K$20)</f>
        <v xml:space="preserve"> </v>
      </c>
      <c r="M45" s="32">
        <v>2338246.0700000008</v>
      </c>
      <c r="N45" s="68">
        <f>+M45/$M$20</f>
        <v>0.45667151933581823</v>
      </c>
      <c r="O45" s="68" t="str">
        <f>IF(K45=0,"",(M45-K45)/ABS(K45)+1)</f>
        <v/>
      </c>
      <c r="P45" s="32">
        <v>44194.589999999793</v>
      </c>
      <c r="Q45" s="68">
        <f>+P45/$P$20</f>
        <v>2.1417363632364583E-2</v>
      </c>
      <c r="R45" s="68">
        <f>IF(P45=0,"",(M45-P45)/ABS(P45))</f>
        <v>51.907970636225194</v>
      </c>
    </row>
    <row r="46" spans="2:30" x14ac:dyDescent="0.2">
      <c r="B46" s="3" t="s">
        <v>35</v>
      </c>
      <c r="C46" s="32"/>
      <c r="D46" s="68"/>
      <c r="E46" s="32">
        <v>209825.38</v>
      </c>
      <c r="F46" s="68">
        <f>+E46/$E$20</f>
        <v>0.25436486036767347</v>
      </c>
      <c r="G46" s="68"/>
      <c r="H46" s="32">
        <v>94561.8</v>
      </c>
      <c r="I46" s="68">
        <f>+H46/$H$20</f>
        <v>0.47185377920936855</v>
      </c>
      <c r="J46" s="68"/>
      <c r="K46" s="32"/>
      <c r="L46" s="68"/>
      <c r="M46" s="32">
        <v>1205853.2200000002</v>
      </c>
      <c r="N46" s="68">
        <f>+M46/$M$20</f>
        <v>0.23550935427142131</v>
      </c>
      <c r="O46" s="68" t="str">
        <f>IF(K46=0,"",(M46-K46)/ABS(K46)+1)</f>
        <v/>
      </c>
      <c r="P46" s="32">
        <v>838003.57</v>
      </c>
      <c r="Q46" s="68"/>
      <c r="R46" s="68">
        <f>IF(P46=0,"",(M46-P46)/ABS(P46))</f>
        <v>0.43895952615094502</v>
      </c>
    </row>
    <row r="47" spans="2:30" x14ac:dyDescent="0.2">
      <c r="B47" s="61"/>
      <c r="C47" s="61"/>
      <c r="D47" s="61"/>
      <c r="E47" s="61"/>
      <c r="F47" s="61"/>
      <c r="G47" s="61"/>
      <c r="H47" s="61" t="s">
        <v>61</v>
      </c>
      <c r="I47" s="61"/>
      <c r="J47" s="61"/>
      <c r="K47" s="61"/>
      <c r="L47" s="61"/>
      <c r="M47" s="32"/>
      <c r="N47" s="61"/>
      <c r="O47" s="61"/>
      <c r="P47" s="61" t="s">
        <v>61</v>
      </c>
      <c r="Q47" s="61"/>
      <c r="R47" s="61"/>
    </row>
    <row r="48" spans="2:30" x14ac:dyDescent="0.2">
      <c r="E48" s="2" t="s">
        <v>61</v>
      </c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39682-AF4C-40D2-BE53-F0FA6D81483A}">
  <sheetPr>
    <tabColor theme="2" tint="-0.249977111117893"/>
  </sheetPr>
  <dimension ref="A1:AY109"/>
  <sheetViews>
    <sheetView showGridLines="0" zoomScale="96" zoomScaleNormal="96" workbookViewId="0">
      <selection activeCell="A41" sqref="A41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6.140625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130</v>
      </c>
      <c r="S3" s="54"/>
      <c r="T3" s="18" t="s">
        <v>130</v>
      </c>
      <c r="AF3" s="2" t="str">
        <f>+B6</f>
        <v>SEPTIEMBRE de 2025</v>
      </c>
      <c r="AG3" s="2" t="s">
        <v>133</v>
      </c>
      <c r="AH3" s="106">
        <f>_xlfn.XLOOKUP(Paramet!E3,'VENEZUELA USD'!AL94:AL105,'VENEZUELA USD'!AM94:AM105,0,0)</f>
        <v>177.614</v>
      </c>
      <c r="AI3" s="2" t="s">
        <v>134</v>
      </c>
    </row>
    <row r="4" spans="1:35" x14ac:dyDescent="0.2">
      <c r="B4" s="2" t="s">
        <v>88</v>
      </c>
      <c r="S4" s="54"/>
      <c r="T4" s="3" t="s">
        <v>21</v>
      </c>
      <c r="AG4" s="2" t="s">
        <v>135</v>
      </c>
      <c r="AH4" s="106">
        <f>_xlfn.XLOOKUP(Paramet!E3,'VENEZUELA USD'!AL70:AL81,'VENEZUELA USD'!AM70:AM81,0,0)</f>
        <v>43.1</v>
      </c>
    </row>
    <row r="5" spans="1:35" ht="13.5" thickBot="1" x14ac:dyDescent="0.25">
      <c r="B5" s="3" t="s">
        <v>136</v>
      </c>
      <c r="S5" s="54"/>
      <c r="T5" s="3" t="s">
        <v>137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SEPTIEMBRE de 2025</v>
      </c>
      <c r="C6" s="91"/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SEPTIEMBRE de 2025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2025</v>
      </c>
      <c r="E7" s="2" t="str">
        <f>+'VZLA BFS'!E7</f>
        <v>Real 2025</v>
      </c>
      <c r="G7" s="2" t="str">
        <f>+'VZLA BFS'!G7</f>
        <v>Cump</v>
      </c>
      <c r="H7" s="2" t="str">
        <f>+'VZLA BFS'!H7</f>
        <v>Real 2024</v>
      </c>
      <c r="J7" s="51" t="s">
        <v>25</v>
      </c>
      <c r="K7" s="2" t="str">
        <f>+C7</f>
        <v>Ppto 2025</v>
      </c>
      <c r="M7" s="2" t="str">
        <f>+E7</f>
        <v>Real 2025</v>
      </c>
      <c r="O7" s="2" t="str">
        <f>+G7</f>
        <v>Cump</v>
      </c>
      <c r="P7" s="2" t="str">
        <f>+H7</f>
        <v>Real 2024</v>
      </c>
      <c r="Q7" s="51"/>
      <c r="R7" s="51" t="s">
        <v>25</v>
      </c>
      <c r="S7" s="51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54"/>
      <c r="AE7" s="54"/>
      <c r="AH7" s="2">
        <v>2819322440</v>
      </c>
      <c r="AI7" s="107">
        <f>1/AH4</f>
        <v>2.3201856148491878E-2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8">
        <f>+AI7*AH7</f>
        <v>65413513.689095125</v>
      </c>
    </row>
    <row r="9" spans="1:35" x14ac:dyDescent="0.2">
      <c r="S9" s="68"/>
      <c r="AD9" s="68"/>
      <c r="AE9" s="68"/>
      <c r="AH9" s="2">
        <f>+AH7/AH4</f>
        <v>65413513.689095125</v>
      </c>
    </row>
    <row r="10" spans="1:35" x14ac:dyDescent="0.2">
      <c r="B10" s="3" t="s">
        <v>65</v>
      </c>
      <c r="C10" s="32">
        <f>'VZLA BFS'!C10/'VENEZUELA USD'!$AH$3</f>
        <v>0</v>
      </c>
      <c r="D10" s="34" t="str">
        <f t="shared" ref="D10:D20" si="0">IF(DD19&lt;=0," ",C10/$C$20)</f>
        <v xml:space="preserve"> </v>
      </c>
      <c r="E10" s="32">
        <f>'VZLA BFS'!E10/'VENEZUELA USD'!$AH$3</f>
        <v>2623.2729401961556</v>
      </c>
      <c r="F10" s="34">
        <f t="shared" ref="F10:F20" si="1">+E10/$E$20</f>
        <v>0.56483262125444544</v>
      </c>
      <c r="G10" s="34" t="str">
        <f>IF(C10=0,"",(E10-C10)/ABS(C10)+1)</f>
        <v/>
      </c>
      <c r="H10" s="63">
        <f>+'VZLA BFS'!H10/'VENEZUELA USD'!$AH$4</f>
        <v>2380.7424593967517</v>
      </c>
      <c r="I10" s="34">
        <f t="shared" ref="I10:I20" si="2">IF($H$20&lt;=0," ",H10/$H$20)</f>
        <v>0.51201347991126755</v>
      </c>
      <c r="J10" s="34">
        <f>IF(E10=0,"",(E10-H10)/ABS(H10))</f>
        <v>0.10187178367073685</v>
      </c>
      <c r="K10" s="32">
        <f>'VZLA BFS'!K10/'VENEZUELA USD'!$AH$3</f>
        <v>0</v>
      </c>
      <c r="L10" s="34" t="str">
        <f t="shared" ref="L10:L22" si="3">IF($K$20&lt;=0," ",K10/$K$20)</f>
        <v xml:space="preserve"> </v>
      </c>
      <c r="M10" s="32">
        <f>'VZLA BFS'!M10/'VENEZUELA USD'!$AH$3</f>
        <v>13714.881709775131</v>
      </c>
      <c r="N10" s="34">
        <f t="shared" ref="N10:N15" si="4">+M10/$M$20</f>
        <v>0.47575457739727234</v>
      </c>
      <c r="O10" s="34" t="str">
        <f>IF(K10=0,"",(M10-K10)/ABS(K10)+1)</f>
        <v/>
      </c>
      <c r="P10" s="63">
        <f>+'VZLA BFS'!P10/'VENEZUELA USD'!$AH$4</f>
        <v>20554.802784222738</v>
      </c>
      <c r="Q10" s="34">
        <f t="shared" ref="Q10:Q22" si="5">IF($P$20&lt;=0," ",P10/$P$20)</f>
        <v>0.42932629197997907</v>
      </c>
      <c r="R10" s="34">
        <f>IF(M10=0,"",(M10-P10)/ABS(P10))</f>
        <v>-0.33276510342866095</v>
      </c>
      <c r="S10" s="68"/>
      <c r="T10" s="3" t="s">
        <v>31</v>
      </c>
      <c r="U10" s="32">
        <f>+'VZLA BFS'!U10/'VENEZUELA USD'!$AH$3</f>
        <v>0</v>
      </c>
      <c r="V10" s="32">
        <f>+'VZLA BFS'!V10/'VENEZUELA USD'!$AH$3</f>
        <v>4099.979393516277</v>
      </c>
      <c r="W10" s="32">
        <f>+'VZLA BFS'!W10/'VENEZUELA USD'!$AH$3</f>
        <v>1480.7343452655759</v>
      </c>
      <c r="X10" s="32">
        <f>+'VZLA BFS'!X10/'VENEZUELA USD'!$AH$3</f>
        <v>1332.3949688650669</v>
      </c>
      <c r="Y10" s="32">
        <f>+'VZLA BFS'!Y10/'VENEZUELA USD'!$AH$3</f>
        <v>1344.8545722747081</v>
      </c>
      <c r="Z10" s="63">
        <f>+Y10-X10</f>
        <v>12.459603409641204</v>
      </c>
      <c r="AA10" s="68">
        <f>IF(X10=0,"",(Y10-X10)/ABS(X10)+1)</f>
        <v>1.0093512837415277</v>
      </c>
      <c r="AB10" s="32">
        <f>+'VZLA BFS'!AB10/'VENEZUELA USD'!$AH$3</f>
        <v>1429.9492157149773</v>
      </c>
      <c r="AC10" s="68">
        <f>IF(W10=0,"",(Y10-AB10)/ABS(AB10))</f>
        <v>-5.9508857031486784E-2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0</v>
      </c>
      <c r="D11" s="34" t="str">
        <f t="shared" si="0"/>
        <v xml:space="preserve"> </v>
      </c>
      <c r="E11" s="32">
        <f>'VZLA BFS'!E11/'VENEZUELA USD'!$AH$3</f>
        <v>727.27042913283867</v>
      </c>
      <c r="F11" s="34">
        <f t="shared" si="1"/>
        <v>0.15659295552266478</v>
      </c>
      <c r="G11" s="34" t="str">
        <f t="shared" ref="G11:G22" si="6">IF(C11=0,"",(E11-C11)/ABS(C11)+1)</f>
        <v/>
      </c>
      <c r="H11" s="63">
        <f>+'VZLA BFS'!H11/'VENEZUELA USD'!$AH$4</f>
        <v>619.9266821345708</v>
      </c>
      <c r="I11" s="34">
        <f t="shared" si="2"/>
        <v>0.13332429829054063</v>
      </c>
      <c r="J11" s="34">
        <f t="shared" ref="J11:J20" si="7">IF(E11=0,"",(E11-H11)/ABS(H11))</f>
        <v>0.17315555224797727</v>
      </c>
      <c r="K11" s="32">
        <f>'VZLA BFS'!K11/'VENEZUELA USD'!$AH$3</f>
        <v>0</v>
      </c>
      <c r="L11" s="34" t="str">
        <f t="shared" si="3"/>
        <v xml:space="preserve"> </v>
      </c>
      <c r="M11" s="32">
        <f>'VZLA BFS'!M11/'VENEZUELA USD'!$AH$3</f>
        <v>4151.380127692637</v>
      </c>
      <c r="N11" s="34">
        <f t="shared" si="4"/>
        <v>0.1440069364111364</v>
      </c>
      <c r="O11" s="34" t="str">
        <f t="shared" ref="O11:O22" si="8">IF(K11=0,"",(M11-K11)/ABS(K11)+1)</f>
        <v/>
      </c>
      <c r="P11" s="63">
        <f>+'VZLA BFS'!P11/'VENEZUELA USD'!$AH$4</f>
        <v>6107.2568445475645</v>
      </c>
      <c r="Q11" s="34">
        <f t="shared" si="5"/>
        <v>0.12756171697504817</v>
      </c>
      <c r="R11" s="34">
        <f t="shared" ref="R11:R22" si="9">IF(M11=0,"",(M11-P11)/ABS(P11))</f>
        <v>-0.32025453761635958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4638.596675937707</v>
      </c>
      <c r="W11" s="32">
        <f>+'VZLA BFS'!W11/'VENEZUELA USD'!$AH$3</f>
        <v>883.12323352888836</v>
      </c>
      <c r="X11" s="32">
        <f>+'VZLA BFS'!X11/'VENEZUELA USD'!$AH$3</f>
        <v>0</v>
      </c>
      <c r="Y11" s="32">
        <f>+'VZLA BFS'!Y11/'VENEZUELA USD'!$AH$3</f>
        <v>30341.144279167183</v>
      </c>
      <c r="Z11" s="63">
        <f>+Y11-X11</f>
        <v>30341.144279167183</v>
      </c>
      <c r="AA11" s="68" t="str">
        <f>IF(X11=0,"",(Y11-X11)/ABS(X11)+1)</f>
        <v/>
      </c>
      <c r="AB11" s="32">
        <f>+'VZLA BFS'!AB11/'VENEZUELA USD'!$AH$3</f>
        <v>11167.982253651177</v>
      </c>
      <c r="AC11" s="68">
        <f>IF(AB11=0,"",(Y11-AB11)/ABS(AB11))</f>
        <v>1.7167973220272337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0</v>
      </c>
      <c r="D12" s="34" t="str">
        <f t="shared" si="0"/>
        <v xml:space="preserve"> </v>
      </c>
      <c r="E12" s="32">
        <f>'VZLA BFS'!E12/'VENEZUELA USD'!$AH$3</f>
        <v>564.78335041156663</v>
      </c>
      <c r="F12" s="34">
        <f t="shared" si="1"/>
        <v>0.12160688861829959</v>
      </c>
      <c r="G12" s="34" t="str">
        <f t="shared" si="6"/>
        <v/>
      </c>
      <c r="H12" s="63">
        <f>+'VZLA BFS'!H12/'VENEZUELA USD'!$AH$4</f>
        <v>779.42552204176332</v>
      </c>
      <c r="I12" s="34">
        <f t="shared" si="2"/>
        <v>0.16762685619232426</v>
      </c>
      <c r="J12" s="34">
        <f t="shared" si="7"/>
        <v>-0.27538509525313659</v>
      </c>
      <c r="K12" s="32">
        <f>'VZLA BFS'!K12/'VENEZUELA USD'!$AH$3</f>
        <v>0</v>
      </c>
      <c r="L12" s="34" t="str">
        <f t="shared" si="3"/>
        <v xml:space="preserve"> </v>
      </c>
      <c r="M12" s="32">
        <f>'VZLA BFS'!M12/'VENEZUELA USD'!$AH$3</f>
        <v>3774.0261465875442</v>
      </c>
      <c r="N12" s="34">
        <f t="shared" si="4"/>
        <v>0.13091693041554148</v>
      </c>
      <c r="O12" s="34" t="str">
        <f t="shared" si="8"/>
        <v/>
      </c>
      <c r="P12" s="63">
        <f>+'VZLA BFS'!P12/'VENEZUELA USD'!$AH$4</f>
        <v>7820.7436194895572</v>
      </c>
      <c r="Q12" s="34">
        <f t="shared" si="5"/>
        <v>0.16335115904195227</v>
      </c>
      <c r="R12" s="34">
        <f t="shared" si="9"/>
        <v>-0.51743384897792277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0</v>
      </c>
      <c r="D13" s="34" t="str">
        <f t="shared" si="0"/>
        <v xml:space="preserve"> </v>
      </c>
      <c r="E13" s="32">
        <f>'VZLA BFS'!E13/'VENEZUELA USD'!$AH$3</f>
        <v>0</v>
      </c>
      <c r="F13" s="34">
        <f t="shared" si="1"/>
        <v>0</v>
      </c>
      <c r="G13" s="34" t="str">
        <f t="shared" si="6"/>
        <v/>
      </c>
      <c r="H13" s="63">
        <f>+'VZLA BFS'!H13/'VENEZUELA USD'!$AH$4</f>
        <v>0</v>
      </c>
      <c r="I13" s="34">
        <f t="shared" si="2"/>
        <v>0</v>
      </c>
      <c r="J13" s="34" t="str">
        <f t="shared" si="7"/>
        <v/>
      </c>
      <c r="K13" s="32">
        <f>'VZLA BFS'!K13/'VENEZUELA USD'!$AH$3</f>
        <v>0</v>
      </c>
      <c r="L13" s="34" t="str">
        <f t="shared" si="3"/>
        <v xml:space="preserve"> </v>
      </c>
      <c r="M13" s="32">
        <f>'VZLA BFS'!M13/'VENEZUELA USD'!$AH$3</f>
        <v>2637.6340265970025</v>
      </c>
      <c r="N13" s="34">
        <f t="shared" si="4"/>
        <v>9.1496703231346899E-2</v>
      </c>
      <c r="O13" s="34" t="str">
        <f t="shared" si="8"/>
        <v/>
      </c>
      <c r="P13" s="63">
        <f>+'VZLA BFS'!P13/'VENEZUELA USD'!$AH$4</f>
        <v>5846.5566125290025</v>
      </c>
      <c r="Q13" s="34">
        <f t="shared" si="5"/>
        <v>0.12211649499428756</v>
      </c>
      <c r="R13" s="34">
        <f t="shared" si="9"/>
        <v>-0.54885683977734367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1005.410609524024</v>
      </c>
      <c r="Z13" s="63">
        <f>+X13-Y13</f>
        <v>-1005.410609524024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 t="str">
        <f t="shared" si="3"/>
        <v xml:space="preserve"> 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0</v>
      </c>
      <c r="D15" s="34" t="str">
        <f t="shared" si="0"/>
        <v xml:space="preserve"> </v>
      </c>
      <c r="E15" s="32">
        <f>'VZLA BFS'!E15/'VENEZUELA USD'!$AH$3</f>
        <v>729.01010055513632</v>
      </c>
      <c r="F15" s="34">
        <f t="shared" si="1"/>
        <v>0.15696753460458995</v>
      </c>
      <c r="G15" s="34" t="str">
        <f t="shared" si="6"/>
        <v/>
      </c>
      <c r="H15" s="63">
        <f>+'VZLA BFS'!H15/'VENEZUELA USD'!$AH$4</f>
        <v>869.67053364269145</v>
      </c>
      <c r="I15" s="34">
        <f t="shared" si="2"/>
        <v>0.18703536560586748</v>
      </c>
      <c r="J15" s="34">
        <f t="shared" si="7"/>
        <v>-0.16173990913361933</v>
      </c>
      <c r="K15" s="32">
        <f>'VZLA BFS'!K15/'VENEZUELA USD'!$AH$3</f>
        <v>0</v>
      </c>
      <c r="L15" s="34" t="str">
        <f t="shared" si="3"/>
        <v xml:space="preserve"> </v>
      </c>
      <c r="M15" s="32">
        <f>'VZLA BFS'!M15/'VENEZUELA USD'!$AH$3</f>
        <v>4549.7180402445756</v>
      </c>
      <c r="N15" s="34">
        <f t="shared" si="4"/>
        <v>0.15782485254470299</v>
      </c>
      <c r="O15" s="34" t="str">
        <f t="shared" si="8"/>
        <v/>
      </c>
      <c r="P15" s="63">
        <f>+'VZLA BFS'!P15/'VENEZUELA USD'!$AH$4</f>
        <v>7547.5187935034783</v>
      </c>
      <c r="Q15" s="34">
        <f t="shared" si="5"/>
        <v>0.15764433700873304</v>
      </c>
      <c r="R15" s="34">
        <f t="shared" si="9"/>
        <v>-0.39719023367510625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1373.528325469839</v>
      </c>
      <c r="W15" s="32">
        <f>+'VZLA BFS'!W15/'VENEZUELA USD'!$AH$3</f>
        <v>624.98119517605596</v>
      </c>
      <c r="X15" s="32">
        <f>+'VZLA BFS'!X15/'VENEZUELA USD'!$AH$3</f>
        <v>0</v>
      </c>
      <c r="Y15" s="32">
        <f>+'VZLA BFS'!Y15/'VENEZUELA USD'!$AH$3</f>
        <v>7947.5829608026388</v>
      </c>
      <c r="Z15" s="63">
        <f>+X15-Y15</f>
        <v>-7947.5829608026388</v>
      </c>
      <c r="AA15" s="68" t="str">
        <f>IF(X15=0,"",(Y15-X15)/ABS(X15)+1)</f>
        <v/>
      </c>
      <c r="AB15" s="32">
        <f>+'VZLA BFS'!AB15/'VENEZUELA USD'!$AH$3</f>
        <v>4220.7990361120183</v>
      </c>
      <c r="AC15" s="68">
        <f>IF(AB15=0,"",(Y15-AB15)/ABS(AB15))</f>
        <v>0.8829569692385878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 t="str">
        <f t="shared" si="3"/>
        <v xml:space="preserve"> 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3091.2584593556817</v>
      </c>
      <c r="W16" s="32">
        <f>+'VZLA BFS'!W16/'VENEZUELA USD'!$AH$3</f>
        <v>564.78864278716765</v>
      </c>
      <c r="X16" s="32">
        <f>+'VZLA BFS'!X16/'VENEZUELA USD'!$AH$3</f>
        <v>0</v>
      </c>
      <c r="Y16" s="32">
        <f>+'VZLA BFS'!Y16/'VENEZUELA USD'!$AH$3</f>
        <v>16132.106703300415</v>
      </c>
      <c r="Z16" s="63">
        <f>+X16-Y16</f>
        <v>-16132.106703300415</v>
      </c>
      <c r="AA16" s="68" t="str">
        <f>IF(X16=0,"",(Y16-X16)/ABS(X16)+1)</f>
        <v/>
      </c>
      <c r="AB16" s="32">
        <f>+'VZLA BFS'!AB16/'VENEZUELA USD'!$AH$3</f>
        <v>4957.2162104338622</v>
      </c>
      <c r="AC16" s="68">
        <f>IF(AB16=0,"",(Y16-AB16)/ABS(AB16))</f>
        <v>2.2542673182875981</v>
      </c>
      <c r="AD16" s="68"/>
      <c r="AE16" s="68"/>
    </row>
    <row r="17" spans="2:33" x14ac:dyDescent="0.2">
      <c r="B17" s="3" t="s">
        <v>77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 t="str">
        <f t="shared" si="3"/>
        <v xml:space="preserve"> 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4464.78678482552</v>
      </c>
      <c r="W17" s="32">
        <f>+'VZLA BFS'!W17/'VENEZUELA USD'!$AH$3</f>
        <v>1189.7698379632236</v>
      </c>
      <c r="X17" s="32">
        <f>+'VZLA BFS'!X17/'VENEZUELA USD'!$AH$3</f>
        <v>0</v>
      </c>
      <c r="Y17" s="32">
        <f>+'VZLA BFS'!Y17/'VENEZUELA USD'!$AH$3</f>
        <v>25085.100273627078</v>
      </c>
      <c r="Z17" s="63">
        <f>+Y17-X17</f>
        <v>25085.100273627078</v>
      </c>
      <c r="AA17" s="68" t="str">
        <f>IF(X17=0,"",(Y17-X17)/ABS(X17)+1)</f>
        <v/>
      </c>
      <c r="AB17" s="32">
        <f>+'VZLA BFS'!AB17/'VENEZUELA USD'!$AH$3</f>
        <v>9178.0152465458796</v>
      </c>
      <c r="AC17" s="68">
        <f>IF(AB17=0,"",(Y17-AB17)/ABS(AB17))</f>
        <v>1.7331726522319502</v>
      </c>
      <c r="AD17" s="68"/>
      <c r="AE17" s="68"/>
    </row>
    <row r="18" spans="2:33" x14ac:dyDescent="0.2">
      <c r="B18" s="3" t="s">
        <v>132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 t="str">
        <f t="shared" si="3"/>
        <v xml:space="preserve"> 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81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 t="str">
        <f t="shared" si="3"/>
        <v xml:space="preserve"> 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173.80989111218696</v>
      </c>
      <c r="W19" s="32">
        <f>+'VZLA BFS'!W19/'VENEZUELA USD'!$AH$3</f>
        <v>-306.64660443433519</v>
      </c>
      <c r="X19" s="32">
        <f>+'VZLA BFS'!X19/'VENEZUELA USD'!$AH$3</f>
        <v>0</v>
      </c>
      <c r="Y19" s="32">
        <f>Y11-Y17</f>
        <v>5256.044005540105</v>
      </c>
      <c r="Z19" s="63">
        <f>+Y19-X19</f>
        <v>5256.044005540105</v>
      </c>
      <c r="AA19" s="68" t="str">
        <f>IF(X19=0,"",(Y19-X19)/ABS(X19)+1)</f>
        <v/>
      </c>
      <c r="AB19" s="32">
        <f>+'VZLA BFS'!AB19/'VENEZUELA USD'!$AH$3</f>
        <v>1989.9670071052958</v>
      </c>
      <c r="AC19" s="68">
        <f>IF(AB19=0,"",(Y19-AB19)/ABS(AB19))</f>
        <v>1.6412719340436732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0</v>
      </c>
      <c r="D20" s="34" t="str">
        <f t="shared" si="0"/>
        <v xml:space="preserve"> </v>
      </c>
      <c r="E20" s="32">
        <f>'VZLA BFS'!E20/'VENEZUELA USD'!$AH$3</f>
        <v>4644.3368202956981</v>
      </c>
      <c r="F20" s="34">
        <f t="shared" si="1"/>
        <v>1</v>
      </c>
      <c r="G20" s="34" t="str">
        <f t="shared" si="6"/>
        <v/>
      </c>
      <c r="H20" s="63">
        <f>+'VZLA BFS'!H20/'VENEZUELA USD'!$AH$4</f>
        <v>4649.7651972157773</v>
      </c>
      <c r="I20" s="34">
        <f t="shared" si="2"/>
        <v>1</v>
      </c>
      <c r="J20" s="34">
        <f t="shared" si="7"/>
        <v>-1.1674518367787024E-3</v>
      </c>
      <c r="K20" s="32">
        <f>'VZLA BFS'!K20/'VENEZUELA USD'!$AH$3</f>
        <v>0</v>
      </c>
      <c r="L20" s="34" t="str">
        <f t="shared" si="3"/>
        <v xml:space="preserve"> </v>
      </c>
      <c r="M20" s="32">
        <f>'VZLA BFS'!M20/'VENEZUELA USD'!$AH$3</f>
        <v>28827.640050896887</v>
      </c>
      <c r="N20" s="34">
        <f>+M20/$M$20</f>
        <v>1</v>
      </c>
      <c r="O20" s="34" t="str">
        <f t="shared" si="8"/>
        <v/>
      </c>
      <c r="P20" s="63">
        <f>+'VZLA BFS'!P20/'VENEZUELA USD'!$AH$4</f>
        <v>47876.878654292334</v>
      </c>
      <c r="Q20" s="34">
        <f t="shared" si="5"/>
        <v>1</v>
      </c>
      <c r="R20" s="34">
        <f t="shared" si="9"/>
        <v>-0.39787971018214269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 t="str">
        <f t="shared" si="3"/>
        <v xml:space="preserve"> 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0</v>
      </c>
      <c r="V21" s="32">
        <f>+V10+V19</f>
        <v>4273.789284628464</v>
      </c>
      <c r="W21" s="32">
        <f>+'VZLA BFS'!W21/'VENEZUELA USD'!$AH$3</f>
        <v>1174.0877408312408</v>
      </c>
      <c r="X21" s="32">
        <f>+'VZLA BFS'!X21/'VENEZUELA USD'!$AH$3</f>
        <v>1332.3949688650669</v>
      </c>
      <c r="Y21" s="32">
        <f>+Y10+Y19</f>
        <v>6600.8985778148126</v>
      </c>
      <c r="Z21" s="63">
        <f>+Y21-X21</f>
        <v>5268.5036089497462</v>
      </c>
      <c r="AA21" s="68">
        <f>IF(X21=0,"",(Y21-X21)/ABS(X21)+1)</f>
        <v>4.954160539526395</v>
      </c>
      <c r="AB21" s="32">
        <f>+'VZLA BFS'!AB21/'VENEZUELA USD'!$AH$3</f>
        <v>3419.9162228202731</v>
      </c>
      <c r="AC21" s="68">
        <f>IF(AB21=0,"",(Y21-AB21)/ABS(AB21))</f>
        <v>0.93013458451660724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 t="str">
        <f t="shared" si="3"/>
        <v xml:space="preserve"> </v>
      </c>
      <c r="M22" s="32">
        <f>'VZLA BFS'!M22/'VENEZUELA USD'!$AH$3</f>
        <v>2671.2616122602949</v>
      </c>
      <c r="N22" s="34">
        <f>+M22/$M$20</f>
        <v>9.2663208210731998E-2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e">
        <f t="shared" si="9"/>
        <v>#DIV/0!</v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4644.3368202956981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4649.7651972157773</v>
      </c>
      <c r="I24" s="34">
        <f>IF($H$20&lt;=0," ",H24/$H$20)</f>
        <v>1</v>
      </c>
      <c r="J24" s="34">
        <f>IF(E24=0,"",(E24-H24)/ABS(H24))</f>
        <v>-1.1674518367787024E-3</v>
      </c>
      <c r="K24" s="32">
        <f>'VZLA BFS'!K22/'VENEZUELA USD'!$AH$3</f>
        <v>0</v>
      </c>
      <c r="L24" s="34" t="str">
        <f>IF($K$20&lt;=0," ",K24/$K$20)</f>
        <v xml:space="preserve"> </v>
      </c>
      <c r="M24" s="32">
        <f>'VZLA BFS'!M24/'VENEZUELA USD'!$AH$3</f>
        <v>26156.378438636595</v>
      </c>
      <c r="N24" s="34">
        <f>+M24/$M$20</f>
        <v>0.90733679178926807</v>
      </c>
      <c r="O24" s="34" t="str">
        <f>IF(K24=0,"",(M24-K24)/ABS(K24)+1)</f>
        <v/>
      </c>
      <c r="P24" s="63">
        <f>+'VZLA BFS'!P24/'VENEZUELA USD'!$AH$4</f>
        <v>47876.878654292334</v>
      </c>
      <c r="Q24" s="34">
        <f>IF($P$20&lt;=0," ",P24/$P$20)</f>
        <v>1</v>
      </c>
      <c r="R24" s="34">
        <f>IF(M24=0,"",(M24-P24)/ABS(P24))</f>
        <v>-0.453674107965441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136.57341200581035</v>
      </c>
      <c r="X25" s="32">
        <f>+'VZLA BFS'!X25/'VENEZUELA USD'!$AH$3</f>
        <v>0</v>
      </c>
      <c r="Y25" s="32">
        <f>+'VZLA BFS'!Y25/'VENEZUELA USD'!$AH$3</f>
        <v>2596.8955149931876</v>
      </c>
      <c r="Z25" s="63">
        <f>+Y25-X25</f>
        <v>2596.8955149931876</v>
      </c>
      <c r="AA25" s="68" t="str">
        <f>IF(X25=0,"",(Y25-X25)/ABS(X25)+1)</f>
        <v/>
      </c>
      <c r="AB25" s="32">
        <f>+'VZLA BFS'!AB25/'VENEZUELA USD'!$AH$3</f>
        <v>2488.2103888207012</v>
      </c>
      <c r="AC25" s="68">
        <f>IF(AB25=0,"",(Y25-AB25)/ABS(AB25))</f>
        <v>4.3680038738202621E-2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75.073980654678124</v>
      </c>
      <c r="F26" s="34">
        <f>+E26/$E$20</f>
        <v>1.6164628785450205E-2</v>
      </c>
      <c r="G26" s="34" t="str">
        <f>IF(C26=0,"",(E26-C26)/ABS(C26)+1)</f>
        <v/>
      </c>
      <c r="H26" s="63">
        <f>+'VZLA BFS'!H26/'VENEZUELA USD'!$AH$4</f>
        <v>89.480742459396751</v>
      </c>
      <c r="I26" s="34">
        <f>IF($H$20&lt;=0," ",H26/$H$20)</f>
        <v>1.92441421586141E-2</v>
      </c>
      <c r="J26" s="34">
        <f>IF(E26=0,"",(E26-H26)/ABS(H26))</f>
        <v>-0.16100404856671718</v>
      </c>
      <c r="K26" s="32">
        <f>'VZLA BFS'!K23/'VENEZUELA USD'!$AH$3</f>
        <v>0</v>
      </c>
      <c r="L26" s="34" t="str">
        <f>IF($K$20&lt;=0," ",K26/$K$20)</f>
        <v xml:space="preserve"> </v>
      </c>
      <c r="M26" s="32">
        <f>'VZLA BFS'!M26/'VENEZUELA USD'!$AH$3</f>
        <v>399.67389957998802</v>
      </c>
      <c r="N26" s="34">
        <f>+M26/$M$20</f>
        <v>1.3864260094629332E-2</v>
      </c>
      <c r="O26" s="34" t="str">
        <f>IF(K26=0,"",(M26-K26)/ABS(K26)+1)</f>
        <v/>
      </c>
      <c r="P26" s="63">
        <f>+'VZLA BFS'!P26/'VENEZUELA USD'!$AH$4</f>
        <v>768.6336426914155</v>
      </c>
      <c r="Q26" s="34">
        <f>IF($P$20&lt;=0," ",P26/$P$20)</f>
        <v>1.6054380826317816E-2</v>
      </c>
      <c r="R26" s="34">
        <f>IF(M26=0,"",(M26-P26)/ABS(P26))</f>
        <v>-0.48002028875485264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0</v>
      </c>
      <c r="D27" s="34" t="str">
        <f>IF(DD33&lt;=0," ",C27/$C$20)</f>
        <v xml:space="preserve"> </v>
      </c>
      <c r="E27" s="32">
        <f>'VZLA BFS'!E27/'VENEZUELA USD'!$AH$3</f>
        <v>1001.8802571869336</v>
      </c>
      <c r="F27" s="34">
        <f>+E27/$E$20</f>
        <v>0.21572084367540453</v>
      </c>
      <c r="G27" s="34" t="str">
        <f>IF(C27=0,"",(E27-C27)/ABS(C27)+1)</f>
        <v/>
      </c>
      <c r="H27" s="63">
        <f>+'VZLA BFS'!H27/'VENEZUELA USD'!$AH$4</f>
        <v>934.45707656612535</v>
      </c>
      <c r="I27" s="34">
        <f>IF($H$20&lt;=0," ",H27/$H$20)</f>
        <v>0.20096865904662603</v>
      </c>
      <c r="J27" s="34">
        <f>IF(E27=0,"",(E27-H27)/ABS(H27))</f>
        <v>7.2152250019412362E-2</v>
      </c>
      <c r="K27" s="32">
        <f>'VZLA BFS'!K24/'VENEZUELA USD'!$AH$3</f>
        <v>0</v>
      </c>
      <c r="L27" s="34" t="str">
        <f>IF($K$20&lt;=0," ",K27/$K$20)</f>
        <v xml:space="preserve"> </v>
      </c>
      <c r="M27" s="32">
        <f>'VZLA BFS'!M27/'VENEZUELA USD'!$AH$3</f>
        <v>5638.5627259112462</v>
      </c>
      <c r="N27" s="34">
        <f>+M27/$M$20</f>
        <v>0.19559571008781965</v>
      </c>
      <c r="O27" s="34" t="str">
        <f>IF(K27=0,"",(M27-K27)/ABS(K27)+1)</f>
        <v/>
      </c>
      <c r="P27" s="63">
        <f>+'VZLA BFS'!P27/'VENEZUELA USD'!$AH$4</f>
        <v>6769.1661252900212</v>
      </c>
      <c r="Q27" s="34">
        <f>IF($P$20&lt;=0," ",P27/$P$20)</f>
        <v>0.14138695578232191</v>
      </c>
      <c r="R27" s="34">
        <f>IF(M27=0,"",(M27-P27)/ABS(P27))</f>
        <v>-0.16702255173717354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1076.9542378416118</v>
      </c>
      <c r="F28" s="34">
        <f>+E28/$E$20</f>
        <v>0.23188547246085472</v>
      </c>
      <c r="G28" s="34" t="str">
        <f>IF(C28=0,"",(E28-C28)/ABS(C28)+1)</f>
        <v/>
      </c>
      <c r="H28" s="63">
        <f>+'VZLA BFS'!H28/'VENEZUELA USD'!$AH$4</f>
        <v>1023.9378190255222</v>
      </c>
      <c r="I28" s="34">
        <f>IF($H$20&lt;=0," ",H28/$H$20)</f>
        <v>0.22021280120524014</v>
      </c>
      <c r="J28" s="34">
        <f>IF(E28=0,"",(E28-H28)/ABS(H28))</f>
        <v>5.17769905857614E-2</v>
      </c>
      <c r="K28" s="32">
        <f>'VZLA BFS'!K25/'VENEZUELA USD'!$AH$3</f>
        <v>0</v>
      </c>
      <c r="L28" s="34" t="str">
        <f>IF($K$20&lt;=0," ",K28/$K$20)</f>
        <v xml:space="preserve"> </v>
      </c>
      <c r="M28" s="32">
        <f>'VZLA BFS'!M28/'VENEZUELA USD'!$AH$3</f>
        <v>6038.236625491234</v>
      </c>
      <c r="N28" s="34">
        <f>+M28/$M$20</f>
        <v>0.20945997018244897</v>
      </c>
      <c r="O28" s="34" t="str">
        <f>IF(K28=0,"",(M28-K28)/ABS(K28)+1)</f>
        <v/>
      </c>
      <c r="P28" s="63">
        <f>+'VZLA BFS'!P28/'VENEZUELA USD'!$AH$4</f>
        <v>7537.7997679814362</v>
      </c>
      <c r="Q28" s="34">
        <f>IF($P$20&lt;=0," ",P28/$P$20)</f>
        <v>0.15744133660863971</v>
      </c>
      <c r="R28" s="34">
        <f>IF(M28=0,"",(M28-P28)/ABS(P28))</f>
        <v>-0.19893910539517734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0</v>
      </c>
      <c r="D30" s="34" t="str">
        <f>IF(DD35&lt;=0," ",C30/$C$20)</f>
        <v xml:space="preserve"> </v>
      </c>
      <c r="E30" s="32">
        <f>'VZLA BFS'!E30/'VENEZUELA USD'!$AH$3</f>
        <v>2144.1365545508797</v>
      </c>
      <c r="F30" s="34">
        <f>+E30/$E$20</f>
        <v>0.46166689400756378</v>
      </c>
      <c r="G30" s="34" t="str">
        <f>IF(C30=0,"",(E30-C30)/ABS(C30)+1)</f>
        <v/>
      </c>
      <c r="H30" s="63">
        <f>+'VZLA BFS'!H30/'VENEZUELA USD'!$AH$4</f>
        <v>3328.0795823665894</v>
      </c>
      <c r="I30" s="34">
        <f>IF($H$20&lt;=0," ",H30/$H$20)</f>
        <v>0.71575218128420826</v>
      </c>
      <c r="J30" s="34">
        <f>IF(E30=0,"",(E30-H30)/ABS(H30))</f>
        <v>-0.35574360483706063</v>
      </c>
      <c r="K30" s="32">
        <f>'VZLA BFS'!K26/'VENEZUELA USD'!$AH$3</f>
        <v>0</v>
      </c>
      <c r="L30" s="34" t="str">
        <f>IF($K$20&lt;=0," ",K30/$K$20)</f>
        <v xml:space="preserve"> </v>
      </c>
      <c r="M30" s="32">
        <f>'VZLA BFS'!M30/'VENEZUELA USD'!$AH$3</f>
        <v>12492.627889693378</v>
      </c>
      <c r="N30" s="34">
        <f>+M30/$M$20</f>
        <v>0.4333558996725681</v>
      </c>
      <c r="O30" s="34" t="str">
        <f>IF(K30=0,"",(M30-K30)/ABS(K30)+1)</f>
        <v/>
      </c>
      <c r="P30" s="63">
        <f>+'VZLA BFS'!P30/'VENEZUELA USD'!$AH$4</f>
        <v>29911.277494199541</v>
      </c>
      <c r="Q30" s="34">
        <f>IF($P$20&lt;=0," ",P30/$P$20)</f>
        <v>0.62475412631182226</v>
      </c>
      <c r="R30" s="34">
        <f>IF(M30=0,"",(M30-P30)/ABS(P30))</f>
        <v>-0.58234388711361551</v>
      </c>
      <c r="S30" s="68"/>
      <c r="T30" s="3" t="s">
        <v>51</v>
      </c>
      <c r="U30" s="32">
        <f>+'VZLA BFS'!U30/'VENEZUELA USD'!$AH$3</f>
        <v>0</v>
      </c>
      <c r="V30" s="32">
        <f>+V21-V25-V23+V27</f>
        <v>2537.6992846284638</v>
      </c>
      <c r="W30" s="32">
        <f>+W21-W25-W23+W27</f>
        <v>1037.5143288254305</v>
      </c>
      <c r="X30" s="32">
        <f>+X21-X25-X23-X27</f>
        <v>1332.3949688650669</v>
      </c>
      <c r="Y30" s="32">
        <f>+Y21-Y25-Y23+Y27</f>
        <v>4004.003062821625</v>
      </c>
      <c r="Z30" s="63">
        <f>+Y30-X30</f>
        <v>2671.6080939565582</v>
      </c>
      <c r="AA30" s="68" t="str">
        <f>IF(U30=0,"",(V30-U30)/ABS(U30)+1)</f>
        <v/>
      </c>
      <c r="AB30" s="32">
        <f>+AB21-AB25-AB23-AB27</f>
        <v>931.70583399957195</v>
      </c>
      <c r="AC30" s="68">
        <f>IF(AB30=0,"",(Y30-AB30)/ABS(AB30))</f>
        <v>3.2974970389886651</v>
      </c>
    </row>
    <row r="31" spans="2:33" x14ac:dyDescent="0.2">
      <c r="B31" s="3" t="s">
        <v>52</v>
      </c>
      <c r="C31" s="32">
        <f>'VZLA BFS'!C27/'VENEZUELA USD'!$AH$3</f>
        <v>0</v>
      </c>
      <c r="D31" s="34" t="str">
        <f>IF(DD36&lt;=0," ",C31/$C$20)</f>
        <v xml:space="preserve"> </v>
      </c>
      <c r="E31" s="32">
        <f>'VZLA BFS'!E31/'VENEZUELA USD'!$AH$3</f>
        <v>1150.0019705653833</v>
      </c>
      <c r="F31" s="34">
        <f>+E31/$E$20</f>
        <v>0.24761381765850574</v>
      </c>
      <c r="G31" s="34" t="str">
        <f>IF(C31=0,"",(E31-C31)/ABS(C31)+1)</f>
        <v/>
      </c>
      <c r="H31" s="63">
        <f>+'VZLA BFS'!H31/'VENEZUELA USD'!$AH$4</f>
        <v>975.76566125290014</v>
      </c>
      <c r="I31" s="34">
        <f>IF($H$20&lt;=0," ",H31/$H$20)</f>
        <v>0.20985267424625587</v>
      </c>
      <c r="J31" s="34">
        <f>IF(E31=0,"",(E31-H31)/ABS(H31))</f>
        <v>0.17856368207173914</v>
      </c>
      <c r="K31" s="32">
        <f>'VZLA BFS'!K27/'VENEZUELA USD'!$AH$3</f>
        <v>0</v>
      </c>
      <c r="L31" s="34" t="str">
        <f>IF($K$20&lt;=0," ",K31/$K$20)</f>
        <v xml:space="preserve"> </v>
      </c>
      <c r="M31" s="32">
        <f>'VZLA BFS'!M31/'VENEZUELA USD'!$AH$3</f>
        <v>6499.6562770952733</v>
      </c>
      <c r="N31" s="34">
        <f>+M31/$M$20</f>
        <v>0.22546612437298888</v>
      </c>
      <c r="O31" s="34" t="str">
        <f>IF(K31=0,"",(M31-K31)/ABS(K31)+1)</f>
        <v/>
      </c>
      <c r="P31" s="63">
        <f>+'VZLA BFS'!P31/'VENEZUELA USD'!$AH$4</f>
        <v>8609.0870069605571</v>
      </c>
      <c r="Q31" s="34">
        <f>IF($P$20&lt;=0," ",P31/$P$20)</f>
        <v>0.17981721551074262</v>
      </c>
      <c r="R31" s="34">
        <f>IF(M31=0,"",(M31-P31)/ABS(P31))</f>
        <v>-0.24502374388361764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0</v>
      </c>
      <c r="D32" s="34" t="str">
        <f>IF(DD37&lt;=0," ",C32/$C$20)</f>
        <v xml:space="preserve"> </v>
      </c>
      <c r="E32" s="32">
        <f>'VZLA BFS'!E32/'VENEZUELA USD'!$AH$3</f>
        <v>3294.1385251162633</v>
      </c>
      <c r="F32" s="34">
        <f>+E32/$E$20</f>
        <v>0.70928071166606954</v>
      </c>
      <c r="G32" s="34" t="str">
        <f>IF(C32=0,"",(E32-C32)/ABS(C32)+1)</f>
        <v/>
      </c>
      <c r="H32" s="63">
        <f>+'VZLA BFS'!H32/'VENEZUELA USD'!$AH$4</f>
        <v>4303.8452436194893</v>
      </c>
      <c r="I32" s="34">
        <f>IF($H$20&lt;=0," ",H32/$H$20)</f>
        <v>0.92560485553046412</v>
      </c>
      <c r="J32" s="34">
        <f>IF(E32=0,"",(E32-H32)/ABS(H32))</f>
        <v>-0.23460572147665634</v>
      </c>
      <c r="K32" s="32">
        <f>'VZLA BFS'!K28/'VENEZUELA USD'!$AH$3</f>
        <v>0</v>
      </c>
      <c r="L32" s="34" t="str">
        <f>IF($K$20&lt;=0," ",K32/$K$20)</f>
        <v xml:space="preserve"> </v>
      </c>
      <c r="M32" s="32">
        <f>'VZLA BFS'!M32/'VENEZUELA USD'!$AH$3</f>
        <v>18992.28416678865</v>
      </c>
      <c r="N32" s="34">
        <f>+M32/$M$20</f>
        <v>0.6588220240455569</v>
      </c>
      <c r="O32" s="34" t="str">
        <f>IF(K32=0,"",(M32-K32)/ABS(K32)+1)</f>
        <v/>
      </c>
      <c r="P32" s="63">
        <f>+'VZLA BFS'!P32/'VENEZUELA USD'!$AH$4</f>
        <v>38520.364501160104</v>
      </c>
      <c r="Q32" s="34">
        <f>IF($P$20&lt;=0," ",P32/$P$20)</f>
        <v>0.80457134182256507</v>
      </c>
      <c r="R32" s="34">
        <f>IF(M32=0,"",(M32-P32)/ABS(P32))</f>
        <v>-0.50695471310463158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4371.0927629578746</v>
      </c>
      <c r="F34" s="34">
        <f>+E34/$E$20</f>
        <v>0.94116618412692421</v>
      </c>
      <c r="G34" s="34" t="str">
        <f>IF(C34=0,"",(E34-C34)/ABS(C34)+1)</f>
        <v/>
      </c>
      <c r="H34" s="63">
        <f>+'VZLA BFS'!H34/'VENEZUELA USD'!$AH$4</f>
        <v>5327.7830626450113</v>
      </c>
      <c r="I34" s="34">
        <f>IF($H$20&lt;=0," ",H34/$H$20)</f>
        <v>1.1458176567357041</v>
      </c>
      <c r="J34" s="34">
        <f>IF(E34=0,"",(E34-H34)/ABS(H34))</f>
        <v>-0.17956630148754252</v>
      </c>
      <c r="K34" s="32">
        <f>'VZLA BFS'!K29/'VENEZUELA USD'!$AH$3</f>
        <v>0</v>
      </c>
      <c r="L34" s="34" t="str">
        <f>IF($K$20&lt;=0," ",K34/$K$20)</f>
        <v xml:space="preserve"> </v>
      </c>
      <c r="M34" s="32">
        <f>'VZLA BFS'!M34/'VENEZUELA USD'!$AH$3</f>
        <v>25030.520792279887</v>
      </c>
      <c r="N34" s="34">
        <f>+M34/$M$20</f>
        <v>0.868281994228006</v>
      </c>
      <c r="O34" s="34" t="str">
        <f>IF(K34=0,"",(M34-K34)/ABS(K34)+1)</f>
        <v/>
      </c>
      <c r="P34" s="63">
        <f>+'VZLA BFS'!P34/'VENEZUELA USD'!$AH$4</f>
        <v>46058.16426914154</v>
      </c>
      <c r="Q34" s="34">
        <f>IF($P$20&lt;=0," ",P34/$P$20)</f>
        <v>0.96201267843120475</v>
      </c>
      <c r="R34" s="34">
        <f>IF(M34=0,"",(M34-P34)/ABS(P34))</f>
        <v>-0.45654540971251739</v>
      </c>
      <c r="S34" s="68"/>
      <c r="AL34" s="79" t="s">
        <v>138</v>
      </c>
      <c r="AT34" s="79" t="s">
        <v>139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9" t="s">
        <v>6</v>
      </c>
      <c r="AM35" s="110">
        <v>1788641</v>
      </c>
      <c r="AN35"/>
      <c r="AO35"/>
      <c r="AP35"/>
      <c r="AQ35"/>
      <c r="AT35" s="109" t="s">
        <v>6</v>
      </c>
      <c r="AU35" s="110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0</v>
      </c>
      <c r="D36" s="34" t="str">
        <f>IF(DD39&lt;=0," ",C36/$C$20)</f>
        <v xml:space="preserve"> </v>
      </c>
      <c r="E36" s="32">
        <f>'VZLA BFS'!E36/'VENEZUELA USD'!$AH$3</f>
        <v>273.24405733782294</v>
      </c>
      <c r="F36" s="34">
        <f>+E36/$E$20</f>
        <v>5.8833815873075693E-2</v>
      </c>
      <c r="G36" s="34" t="str">
        <f>IF(C36=0,"",(E36-C36)/ABS(C36)+1)</f>
        <v/>
      </c>
      <c r="H36" s="63">
        <f>+'VZLA BFS'!H36/'VENEZUELA USD'!$AH$4</f>
        <v>-678.01786542923446</v>
      </c>
      <c r="I36" s="34">
        <f>IF($H$20&lt;=0," ",H36/$H$20)</f>
        <v>-0.14581765673570427</v>
      </c>
      <c r="J36" s="34">
        <f>IF(E36=0,"",(E36-H36)/ABS(H36))</f>
        <v>1.4030042145937256</v>
      </c>
      <c r="K36" s="32">
        <f>'VZLA BFS'!K30/'VENEZUELA USD'!$AH$3</f>
        <v>0</v>
      </c>
      <c r="L36" s="34" t="str">
        <f>IF($K$20&lt;=0," ",K36/$K$20)</f>
        <v xml:space="preserve"> </v>
      </c>
      <c r="M36" s="32">
        <f>'VZLA BFS'!M36/'VENEZUELA USD'!$AH$3</f>
        <v>1125.8576463567065</v>
      </c>
      <c r="N36" s="34">
        <f>+M36/$M$20</f>
        <v>3.9054797561261997E-2</v>
      </c>
      <c r="O36" s="34" t="str">
        <f>IF(K36=0,"",(M36-K36)/ABS(K36)+1)</f>
        <v/>
      </c>
      <c r="P36" s="63">
        <f>+'VZLA BFS'!P36/'VENEZUELA USD'!$AH$4</f>
        <v>1818.7143851507979</v>
      </c>
      <c r="Q36" s="34">
        <f>IF($P$20&lt;=0," ",P36/$P$20)</f>
        <v>3.7987321568795369E-2</v>
      </c>
      <c r="R36" s="34">
        <f>IF(M36=0,"",(M36-P36)/ABS(P36))</f>
        <v>-0.3809596187565446</v>
      </c>
      <c r="AL36" s="109" t="s">
        <v>9</v>
      </c>
      <c r="AM36" s="110">
        <v>1899023</v>
      </c>
      <c r="AN36"/>
      <c r="AO36"/>
      <c r="AP36"/>
      <c r="AQ36"/>
      <c r="AT36" s="109" t="s">
        <v>9</v>
      </c>
      <c r="AU36" s="110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9" t="s">
        <v>10</v>
      </c>
      <c r="AM37" s="110">
        <v>2115582</v>
      </c>
      <c r="AN37"/>
      <c r="AO37"/>
      <c r="AP37"/>
      <c r="AQ37"/>
      <c r="AT37" s="109" t="s">
        <v>10</v>
      </c>
      <c r="AU37" s="110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0</v>
      </c>
      <c r="D38" s="34" t="str">
        <f>IF(DD40&lt;=0," ",C38/$C$20)</f>
        <v xml:space="preserve"> </v>
      </c>
      <c r="E38" s="32">
        <f>'VZLA BFS'!E38/'VENEZUELA USD'!$AH$3</f>
        <v>3003.2223248167379</v>
      </c>
      <c r="F38" s="34">
        <f>+E38/$E$20</f>
        <v>0.64664180076102384</v>
      </c>
      <c r="G38" s="34" t="str">
        <f>IF(C38=0,"",(E38-C38)/ABS(C38)+1)</f>
        <v/>
      </c>
      <c r="H38" s="63">
        <f>+'VZLA BFS'!H38/'VENEZUELA USD'!$AH$4</f>
        <v>-0.85846867749419953</v>
      </c>
      <c r="I38" s="34">
        <f>IF($H$20&lt;=0," ",H38/$H$20)</f>
        <v>-1.846262426344109E-4</v>
      </c>
      <c r="J38" s="34">
        <f>IF(E38=0,"",(E38-H38)/ABS(H38))</f>
        <v>3499.348167556795</v>
      </c>
      <c r="K38" s="32">
        <f>'VZLA BFS'!K31/'VENEZUELA USD'!$AH$3</f>
        <v>0</v>
      </c>
      <c r="L38" s="34" t="str">
        <f>IF($K$20&lt;=0," ",K38/$K$20)</f>
        <v xml:space="preserve"> </v>
      </c>
      <c r="M38" s="32">
        <f>'VZLA BFS'!M38/'VENEZUELA USD'!$AH$3</f>
        <v>12273.928744355739</v>
      </c>
      <c r="N38" s="34">
        <f>+M38/$M$20</f>
        <v>0.42576946023626627</v>
      </c>
      <c r="O38" s="34" t="str">
        <f>IF(K38=0,"",(M38-K38)/ABS(K38)+1)</f>
        <v/>
      </c>
      <c r="P38" s="63">
        <f>+'VZLA BFS'!P38/'VENEZUELA USD'!$AH$4</f>
        <v>-145.96287703016239</v>
      </c>
      <c r="Q38" s="34">
        <f>IF($P$20&lt;=0," ",P38/$P$20)</f>
        <v>-3.0487133065654915E-3</v>
      </c>
      <c r="R38" s="34">
        <f>IF(M38=0,"",(M38-P38)/ABS(P38))</f>
        <v>85.089386247294939</v>
      </c>
      <c r="AL38" s="109" t="s">
        <v>11</v>
      </c>
      <c r="AM38" s="110">
        <v>2900823</v>
      </c>
      <c r="AN38"/>
      <c r="AO38"/>
      <c r="AP38"/>
      <c r="AQ38"/>
      <c r="AT38" s="109" t="s">
        <v>11</v>
      </c>
      <c r="AU38" s="110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0</v>
      </c>
      <c r="D39" s="34" t="str">
        <f>IF(DD41&lt;=0," ",C39/$C$20)</f>
        <v xml:space="preserve"> </v>
      </c>
      <c r="E39" s="32">
        <f>'VZLA BFS'!E39/'VENEZUELA USD'!$AH$3</f>
        <v>5.4950623261679823</v>
      </c>
      <c r="F39" s="34">
        <f>+E39/$E$20</f>
        <v>1.1831748081135337E-3</v>
      </c>
      <c r="G39" s="34" t="str">
        <f>IF(C39=0,"",(E39-C39)/ABS(C39)+1)</f>
        <v/>
      </c>
      <c r="H39" s="63">
        <f>+'VZLA BFS'!H39/'VENEZUELA USD'!$AH$4</f>
        <v>2.8716937354988397</v>
      </c>
      <c r="I39" s="34">
        <f>IF($H$20&lt;=0," ",H39/$H$20)</f>
        <v>6.1759973110435233E-4</v>
      </c>
      <c r="J39" s="34">
        <f>IF(E39=0,"",(E39-H39)/ABS(H39))</f>
        <v>0.91352659172529738</v>
      </c>
      <c r="K39" s="32">
        <f>'VZLA BFS'!K32/'VENEZUELA USD'!$AH$3</f>
        <v>0</v>
      </c>
      <c r="L39" s="34" t="str">
        <f>IF($K$20&lt;=0," ",K39/$K$20)</f>
        <v xml:space="preserve"> </v>
      </c>
      <c r="M39" s="32">
        <f>'VZLA BFS'!M39/'VENEZUELA USD'!$AH$3</f>
        <v>258.24540858265675</v>
      </c>
      <c r="N39" s="34">
        <f>+M39/$M$20</f>
        <v>8.9582570105187012E-3</v>
      </c>
      <c r="O39" s="34" t="str">
        <f>IF(K39=0,"",(M39-K39)/ABS(K39)+1)</f>
        <v/>
      </c>
      <c r="P39" s="63">
        <f>+'VZLA BFS'!P39/'VENEZUELA USD'!$AH$4</f>
        <v>743.06287703016233</v>
      </c>
      <c r="Q39" s="34">
        <f>IF($P$20&lt;=0," ",P39/$P$20)</f>
        <v>1.5520286574980053E-2</v>
      </c>
      <c r="R39" s="34">
        <f>IF(M39=0,"",(M39-P39)/ABS(P39))</f>
        <v>-0.6524582016332191</v>
      </c>
      <c r="AL39" s="109" t="s">
        <v>12</v>
      </c>
      <c r="AM39" s="110">
        <v>3143738</v>
      </c>
      <c r="AN39"/>
      <c r="AO39"/>
      <c r="AP39"/>
      <c r="AQ39"/>
      <c r="AT39" s="109" t="s">
        <v>12</v>
      </c>
      <c r="AU39" s="110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9" t="s">
        <v>13</v>
      </c>
      <c r="AM40" s="110">
        <v>3267940</v>
      </c>
      <c r="AN40"/>
      <c r="AO40"/>
      <c r="AP40"/>
      <c r="AQ40"/>
      <c r="AT40" s="109" t="s">
        <v>13</v>
      </c>
      <c r="AU40" s="110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3270.9713198283926</v>
      </c>
      <c r="F41" s="34">
        <f>+E41/$E$20</f>
        <v>0.70429244182598594</v>
      </c>
      <c r="G41" s="34" t="str">
        <f>IF(C41=0,"",(E41-C41)/ABS(C41)+1)</f>
        <v/>
      </c>
      <c r="H41" s="63">
        <f>+'VZLA BFS'!H41/'VENEZUELA USD'!$AH$4</f>
        <v>-681.74802784222754</v>
      </c>
      <c r="I41" s="34">
        <f>IF($H$20&lt;=0," ",H41/$H$20)</f>
        <v>-0.14661988270944304</v>
      </c>
      <c r="J41" s="34">
        <f>IF(E41=0,"",(E41-H41)/ABS(H41))</f>
        <v>5.7979182722115219</v>
      </c>
      <c r="K41" s="32">
        <f>'VZLA BFS'!K33/'VENEZUELA USD'!$AH$3</f>
        <v>0</v>
      </c>
      <c r="L41" s="34" t="str">
        <f>IF($K$20&lt;=0," ",K41/$K$20)</f>
        <v xml:space="preserve"> </v>
      </c>
      <c r="M41" s="32">
        <f>'VZLA BFS'!M41/'VENEZUELA USD'!$AH$3</f>
        <v>13141.540982129787</v>
      </c>
      <c r="N41" s="34">
        <f>+M41/$M$20</f>
        <v>0.45586600078700951</v>
      </c>
      <c r="O41" s="34" t="str">
        <f>IF(K41=0,"",(M41-K41)/ABS(K41)+1)</f>
        <v/>
      </c>
      <c r="P41" s="63">
        <f>+'VZLA BFS'!P41/'VENEZUELA USD'!$AH$4</f>
        <v>929.68863109047311</v>
      </c>
      <c r="Q41" s="34">
        <f>IF($P$20&lt;=0," ",P41/$P$20)</f>
        <v>1.9418321687249825E-2</v>
      </c>
      <c r="R41" s="34">
        <f>IF(M41=0,"",(M41-P41)/ABS(P41))</f>
        <v>13.135421841950986</v>
      </c>
      <c r="AL41" s="109" t="s">
        <v>14</v>
      </c>
      <c r="AM41" s="110">
        <v>4139112</v>
      </c>
      <c r="AN41"/>
      <c r="AO41"/>
      <c r="AP41"/>
      <c r="AQ41"/>
      <c r="AT41" s="109" t="s">
        <v>14</v>
      </c>
      <c r="AU41" s="110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0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 t="str">
        <f>IF(C42=0,"",(E42-C42)/ABS(C42)+1)</f>
        <v/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0</v>
      </c>
      <c r="L42" s="34" t="str">
        <f>IF($K$20&lt;=0," ",K42/$K$20)</f>
        <v xml:space="preserve"> </v>
      </c>
      <c r="M42" s="32">
        <f>'VZLA BFS'!M42/'VENEZUELA USD'!$AH$3</f>
        <v>0</v>
      </c>
      <c r="N42" s="34">
        <f>+M42/$M$20</f>
        <v>0</v>
      </c>
      <c r="O42" s="34" t="str">
        <f>IF(K42=0,"",(M42-K42)/ABS(K42)+1)</f>
        <v/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9" t="s">
        <v>15</v>
      </c>
      <c r="AM42" s="110">
        <v>4148043</v>
      </c>
      <c r="AN42"/>
      <c r="AO42"/>
      <c r="AP42"/>
      <c r="AQ42"/>
      <c r="AT42" s="109" t="s">
        <v>15</v>
      </c>
      <c r="AU42" s="110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3270.9713198283926</v>
      </c>
      <c r="F43" s="34">
        <f>+E43/$E$20</f>
        <v>0.70429244182598594</v>
      </c>
      <c r="G43" s="34" t="str">
        <f>IF(C43=0,"",(E43-C43)/ABS(C43)+1)</f>
        <v/>
      </c>
      <c r="H43" s="63">
        <f>+'VZLA BFS'!H43/'VENEZUELA USD'!$AH$4</f>
        <v>-681.74802784222754</v>
      </c>
      <c r="I43" s="34">
        <f>IF($H$20&lt;=0," ",H43/$H$20)</f>
        <v>-0.14661988270944304</v>
      </c>
      <c r="J43" s="34">
        <f>IF(E43=0,"",(E43-H43)/ABS(H43))</f>
        <v>5.7979182722115219</v>
      </c>
      <c r="K43" s="32">
        <f>'VZLA BFS'!K35/'VENEZUELA USD'!$AH$3</f>
        <v>0</v>
      </c>
      <c r="L43" s="34" t="str">
        <f>IF($K$20&lt;=0," ",K43/$K$20)</f>
        <v xml:space="preserve"> </v>
      </c>
      <c r="M43" s="32">
        <f>'VZLA BFS'!M43/'VENEZUELA USD'!$AH$3</f>
        <v>13141.540982129787</v>
      </c>
      <c r="N43" s="34">
        <f>+M43/$M$20</f>
        <v>0.45586600078700951</v>
      </c>
      <c r="O43" s="34" t="str">
        <f>IF(K43=0,"",(M43-K43)/ABS(K43)+1)</f>
        <v/>
      </c>
      <c r="P43" s="63">
        <f>+'VZLA BFS'!P43/'VENEZUELA USD'!$AH$4</f>
        <v>929.68863109047311</v>
      </c>
      <c r="Q43" s="34">
        <f>IF($P$20&lt;=0," ",P43/$P$20)</f>
        <v>1.9418321687249825E-2</v>
      </c>
      <c r="R43" s="34">
        <f>IF(M43=0,"",(M43-P43)/ABS(P43))</f>
        <v>13.135421841950986</v>
      </c>
      <c r="AL43" s="109" t="s">
        <v>7</v>
      </c>
      <c r="AM43" s="110">
        <v>4549688</v>
      </c>
      <c r="AN43"/>
      <c r="AO43"/>
      <c r="AP43"/>
      <c r="AQ43"/>
      <c r="AT43" s="109" t="s">
        <v>7</v>
      </c>
      <c r="AU43" s="110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9" t="s">
        <v>16</v>
      </c>
      <c r="AM44" s="110">
        <v>4.5599999999999996</v>
      </c>
      <c r="AN44"/>
      <c r="AO44"/>
      <c r="AP44"/>
      <c r="AQ44"/>
      <c r="AT44" s="109" t="s">
        <v>16</v>
      </c>
      <c r="AU44" s="110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0</v>
      </c>
      <c r="D45" s="34" t="str">
        <f>IF(DD45&lt;=0," ",C45/$C$20)</f>
        <v xml:space="preserve"> </v>
      </c>
      <c r="E45" s="32">
        <f>'VZLA BFS'!E45/'VENEZUELA USD'!$AH$3</f>
        <v>3273.5499453871889</v>
      </c>
      <c r="F45" s="34">
        <f>+E45/$E$20</f>
        <v>0.70484766115192454</v>
      </c>
      <c r="G45" s="34" t="str">
        <f>IF(C45=0,"",(E45-C45)/ABS(C45)+1)</f>
        <v/>
      </c>
      <c r="H45" s="63">
        <f>+'VZLA BFS'!H45/'VENEZUELA USD'!$AH$4</f>
        <v>-671.10603248259883</v>
      </c>
      <c r="I45" s="34">
        <f>IF($H$20&lt;=0," ",H45/$H$20)</f>
        <v>-0.14433116598757481</v>
      </c>
      <c r="J45" s="34">
        <f>IF(E45=0,"",(E45-H45)/ABS(H45))</f>
        <v>5.8778431230568158</v>
      </c>
      <c r="K45" s="32">
        <f>'VZLA BFS'!K36/'VENEZUELA USD'!$AH$3</f>
        <v>0</v>
      </c>
      <c r="L45" s="34" t="str">
        <f>IF($K$20&lt;=0," ",K45/$K$20)</f>
        <v xml:space="preserve"> </v>
      </c>
      <c r="M45" s="32">
        <f>'VZLA BFS'!M45/'VENEZUELA USD'!$AH$3</f>
        <v>13164.762180909167</v>
      </c>
      <c r="N45" s="34">
        <f>+M45/$M$20</f>
        <v>0.45667151933581829</v>
      </c>
      <c r="O45" s="34" t="str">
        <f>IF(K45=0,"",(M45-K45)/ABS(K45)+1)</f>
        <v/>
      </c>
      <c r="P45" s="63">
        <f>+'VZLA BFS'!P45/'VENEZUELA USD'!$AH$4</f>
        <v>1025.396519721573</v>
      </c>
      <c r="Q45" s="34">
        <f>IF($P$20&lt;=0," ",P45/$P$20)</f>
        <v>2.1417363632364586E-2</v>
      </c>
      <c r="R45" s="34">
        <f>IF(M45=0,"",(M45-P45)/ABS(P45))</f>
        <v>11.838703786983604</v>
      </c>
      <c r="AL45" s="109" t="s">
        <v>17</v>
      </c>
      <c r="AM45" s="110">
        <v>4.99</v>
      </c>
      <c r="AN45"/>
      <c r="AO45"/>
      <c r="AP45" s="111" t="s">
        <v>140</v>
      </c>
      <c r="AQ45" t="s">
        <v>141</v>
      </c>
      <c r="AT45" s="109" t="s">
        <v>17</v>
      </c>
      <c r="AU45" s="110">
        <v>13.1</v>
      </c>
      <c r="AV45"/>
      <c r="AW45"/>
      <c r="AX45" s="111" t="s">
        <v>140</v>
      </c>
      <c r="AY45" t="s">
        <v>141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1181.3560867949598</v>
      </c>
      <c r="F46" s="34">
        <f>+E46/$E$20</f>
        <v>0.25436486036767347</v>
      </c>
      <c r="G46" s="34" t="str">
        <f>IF(C46=0,"",(E46-C46)/ABS(C46)+1)</f>
        <v/>
      </c>
      <c r="H46" s="63">
        <f>+'VZLA BFS'!H46/'VENEZUELA USD'!$AH$4</f>
        <v>2194.0092807424594</v>
      </c>
      <c r="I46" s="34">
        <f>IF($H$20&lt;=0," ",H46/$H$20)</f>
        <v>0.47185377920936855</v>
      </c>
      <c r="J46" s="34">
        <f>IF(E46=0,"",(E46-H46)/ABS(H46))</f>
        <v>-0.46155374219967504</v>
      </c>
      <c r="K46" s="32">
        <f>'VZLA BFS'!K37/'VENEZUELA USD'!$AH$3</f>
        <v>0</v>
      </c>
      <c r="L46" s="34" t="str">
        <f>IF($K$20&lt;=0," ",K46/$K$20)</f>
        <v xml:space="preserve"> </v>
      </c>
      <c r="M46" s="32">
        <f>'VZLA BFS'!M46/'VENEZUELA USD'!$AH$3</f>
        <v>6789.1788935556888</v>
      </c>
      <c r="N46" s="34">
        <f>+M46/$M$20</f>
        <v>0.23550935427142131</v>
      </c>
      <c r="O46" s="34" t="str">
        <f>IF(K46=0,"",(M46-K46)/ABS(K46)+1)</f>
        <v/>
      </c>
      <c r="P46" s="63">
        <f>+'VZLA BFS'!P46/'VENEZUELA USD'!$AH$4</f>
        <v>19443.238283062645</v>
      </c>
      <c r="Q46" s="34">
        <f>IF($P$20&lt;=0," ",P46/$P$20)</f>
        <v>0.406109145574374</v>
      </c>
      <c r="R46" s="34">
        <f>IF(M46=0,"",(M46-P46)/ABS(P46))</f>
        <v>-0.65082056832735191</v>
      </c>
      <c r="AL46" s="109" t="s">
        <v>18</v>
      </c>
      <c r="AM46" s="110">
        <v>4.6900000000000004</v>
      </c>
      <c r="AN46" s="112">
        <f>1/AM46</f>
        <v>0.21321961620469082</v>
      </c>
      <c r="AO46" t="s">
        <v>142</v>
      </c>
      <c r="AP46">
        <v>11272</v>
      </c>
      <c r="AQ46" s="113">
        <f>+AP46*AN46</f>
        <v>2403.4115138592751</v>
      </c>
      <c r="AT46" s="109" t="s">
        <v>18</v>
      </c>
      <c r="AU46" s="110">
        <v>18.600000000000001</v>
      </c>
      <c r="AV46" s="112">
        <f>1/AU46</f>
        <v>5.3763440860215048E-2</v>
      </c>
      <c r="AW46" t="s">
        <v>142</v>
      </c>
      <c r="AX46" s="114">
        <v>11272</v>
      </c>
      <c r="AY46" s="113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t="s">
        <v>143</v>
      </c>
      <c r="AM47" s="115">
        <f>AVERAGE(AM35:AM46)</f>
        <v>2329383.6866666665</v>
      </c>
      <c r="AN47" s="112">
        <f>1/AM47</f>
        <v>4.2929810392507461E-7</v>
      </c>
      <c r="AO47" t="s">
        <v>144</v>
      </c>
      <c r="AP47" s="116">
        <v>11272</v>
      </c>
      <c r="AQ47" s="117">
        <f>+AP47*AN47</f>
        <v>4.8390482274434411E-3</v>
      </c>
      <c r="AT47" t="s">
        <v>143</v>
      </c>
      <c r="AU47" s="115">
        <f>AVERAGE(AU35:AU46)</f>
        <v>7.725833333333334</v>
      </c>
      <c r="AV47" s="112">
        <f>1/AU47</f>
        <v>0.12943587531010678</v>
      </c>
      <c r="AW47" t="s">
        <v>144</v>
      </c>
      <c r="AX47" s="116">
        <v>11272</v>
      </c>
      <c r="AY47" s="117">
        <f>+AX47*AV47</f>
        <v>1459.0011864955236</v>
      </c>
    </row>
    <row r="51" spans="35:43" x14ac:dyDescent="0.2">
      <c r="AL51" s="79" t="s">
        <v>145</v>
      </c>
    </row>
    <row r="52" spans="35:43" ht="15" x14ac:dyDescent="0.25">
      <c r="AL52" s="109" t="s">
        <v>6</v>
      </c>
      <c r="AM52" s="110">
        <v>23.11</v>
      </c>
      <c r="AN52"/>
      <c r="AO52"/>
      <c r="AP52"/>
      <c r="AQ52"/>
    </row>
    <row r="53" spans="35:43" ht="15" x14ac:dyDescent="0.25">
      <c r="AL53" s="109" t="s">
        <v>9</v>
      </c>
      <c r="AM53" s="110">
        <v>25.1</v>
      </c>
      <c r="AN53"/>
      <c r="AO53"/>
      <c r="AP53"/>
      <c r="AQ53"/>
    </row>
    <row r="54" spans="35:43" ht="15" x14ac:dyDescent="0.25">
      <c r="AL54" s="109" t="s">
        <v>10</v>
      </c>
      <c r="AM54" s="110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09" t="s">
        <v>11</v>
      </c>
      <c r="AM55" s="110">
        <v>28.23</v>
      </c>
      <c r="AN55"/>
      <c r="AO55"/>
      <c r="AP55"/>
      <c r="AQ55"/>
    </row>
    <row r="56" spans="35:43" ht="15" x14ac:dyDescent="0.25">
      <c r="AL56" s="109" t="s">
        <v>12</v>
      </c>
      <c r="AM56" s="110">
        <v>28.23</v>
      </c>
      <c r="AN56"/>
      <c r="AO56"/>
      <c r="AP56"/>
      <c r="AQ56"/>
    </row>
    <row r="57" spans="35:43" ht="15" x14ac:dyDescent="0.25">
      <c r="AL57" s="109" t="s">
        <v>13</v>
      </c>
      <c r="AM57" s="110">
        <v>28.35</v>
      </c>
      <c r="AN57"/>
      <c r="AO57"/>
      <c r="AP57"/>
      <c r="AQ57"/>
    </row>
    <row r="58" spans="35:43" ht="15" x14ac:dyDescent="0.25">
      <c r="AL58" s="109" t="s">
        <v>14</v>
      </c>
      <c r="AM58" s="110">
        <v>33.93</v>
      </c>
      <c r="AN58"/>
      <c r="AO58"/>
      <c r="AP58"/>
      <c r="AQ58"/>
    </row>
    <row r="59" spans="35:43" ht="15" x14ac:dyDescent="0.25">
      <c r="AL59" s="109" t="s">
        <v>15</v>
      </c>
      <c r="AM59" s="110">
        <v>34.659999999999997</v>
      </c>
      <c r="AN59"/>
      <c r="AO59"/>
      <c r="AP59"/>
      <c r="AQ59"/>
    </row>
    <row r="60" spans="35:43" ht="15" x14ac:dyDescent="0.25">
      <c r="AL60" s="109" t="s">
        <v>7</v>
      </c>
      <c r="AM60" s="110">
        <v>35.74</v>
      </c>
      <c r="AN60"/>
      <c r="AO60"/>
      <c r="AP60"/>
      <c r="AQ60"/>
    </row>
    <row r="61" spans="35:43" ht="15" x14ac:dyDescent="0.25">
      <c r="AL61" s="109" t="s">
        <v>16</v>
      </c>
      <c r="AM61" s="110">
        <v>37.29</v>
      </c>
      <c r="AN61"/>
      <c r="AO61"/>
      <c r="AP61"/>
      <c r="AQ61"/>
    </row>
    <row r="62" spans="35:43" ht="23.25" x14ac:dyDescent="0.25">
      <c r="AL62" s="109" t="s">
        <v>17</v>
      </c>
      <c r="AM62" s="110">
        <v>37.950000000000003</v>
      </c>
      <c r="AN62"/>
      <c r="AO62"/>
      <c r="AP62" s="111" t="s">
        <v>140</v>
      </c>
      <c r="AQ62" t="s">
        <v>141</v>
      </c>
    </row>
    <row r="63" spans="35:43" ht="15" x14ac:dyDescent="0.25">
      <c r="AL63" s="109" t="s">
        <v>18</v>
      </c>
      <c r="AM63" s="110">
        <v>39.08</v>
      </c>
      <c r="AN63" s="112">
        <f>1/AM63</f>
        <v>2.5588536335721598E-2</v>
      </c>
      <c r="AO63" t="s">
        <v>142</v>
      </c>
      <c r="AP63" s="114">
        <v>394358</v>
      </c>
      <c r="AQ63" s="113">
        <f>+AP63*AN63</f>
        <v>10091.044012282498</v>
      </c>
    </row>
    <row r="64" spans="35:43" ht="15" x14ac:dyDescent="0.25">
      <c r="AL64" t="s">
        <v>143</v>
      </c>
      <c r="AM64" s="115">
        <f>AVERAGE(AM52:AM63)</f>
        <v>31.385000000000002</v>
      </c>
      <c r="AN64" s="112">
        <f>1/AM64</f>
        <v>3.186235462800701E-2</v>
      </c>
      <c r="AO64" t="s">
        <v>144</v>
      </c>
      <c r="AP64" s="114">
        <v>394358</v>
      </c>
      <c r="AQ64" s="117">
        <f>+AP64*AN64</f>
        <v>12565.174446391589</v>
      </c>
    </row>
    <row r="69" spans="38:43" x14ac:dyDescent="0.2">
      <c r="AL69" s="79" t="s">
        <v>146</v>
      </c>
    </row>
    <row r="70" spans="38:43" ht="15" x14ac:dyDescent="0.25">
      <c r="AL70" s="109" t="s">
        <v>6</v>
      </c>
      <c r="AM70" s="110">
        <v>38.53</v>
      </c>
      <c r="AN70"/>
      <c r="AO70"/>
      <c r="AP70"/>
      <c r="AQ70"/>
    </row>
    <row r="71" spans="38:43" ht="15" x14ac:dyDescent="0.25">
      <c r="AL71" s="109" t="s">
        <v>9</v>
      </c>
      <c r="AM71" s="110">
        <v>38.92</v>
      </c>
      <c r="AN71"/>
      <c r="AO71"/>
      <c r="AP71"/>
      <c r="AQ71"/>
    </row>
    <row r="72" spans="38:43" ht="15" x14ac:dyDescent="0.25">
      <c r="AL72" s="109" t="s">
        <v>10</v>
      </c>
      <c r="AM72" s="110">
        <v>39.119999999999997</v>
      </c>
      <c r="AN72"/>
      <c r="AO72"/>
      <c r="AP72"/>
      <c r="AQ72"/>
    </row>
    <row r="73" spans="38:43" ht="15" x14ac:dyDescent="0.25">
      <c r="AL73" s="109" t="s">
        <v>11</v>
      </c>
      <c r="AM73" s="110">
        <v>40.86</v>
      </c>
      <c r="AN73"/>
      <c r="AO73"/>
      <c r="AP73"/>
      <c r="AQ73"/>
    </row>
    <row r="74" spans="38:43" ht="15" x14ac:dyDescent="0.25">
      <c r="AL74" s="109" t="s">
        <v>12</v>
      </c>
      <c r="AM74" s="110">
        <v>36.46</v>
      </c>
      <c r="AN74"/>
      <c r="AO74"/>
      <c r="AP74"/>
      <c r="AQ74"/>
    </row>
    <row r="75" spans="38:43" ht="15" x14ac:dyDescent="0.25">
      <c r="AL75" s="109" t="s">
        <v>13</v>
      </c>
      <c r="AM75" s="110">
        <v>40.46</v>
      </c>
      <c r="AN75"/>
      <c r="AO75"/>
      <c r="AP75"/>
      <c r="AQ75"/>
    </row>
    <row r="76" spans="38:43" ht="15" x14ac:dyDescent="0.25">
      <c r="AL76" s="109" t="s">
        <v>14</v>
      </c>
      <c r="AM76" s="110">
        <v>45.57</v>
      </c>
      <c r="AN76"/>
      <c r="AO76"/>
      <c r="AP76"/>
      <c r="AQ76"/>
    </row>
    <row r="77" spans="38:43" ht="15" x14ac:dyDescent="0.25">
      <c r="AL77" s="109" t="s">
        <v>15</v>
      </c>
      <c r="AM77" s="110">
        <v>43.18</v>
      </c>
      <c r="AN77"/>
      <c r="AO77"/>
      <c r="AP77"/>
      <c r="AQ77"/>
    </row>
    <row r="78" spans="38:43" ht="15" x14ac:dyDescent="0.25">
      <c r="AL78" s="109" t="s">
        <v>7</v>
      </c>
      <c r="AM78" s="110">
        <v>43.1</v>
      </c>
      <c r="AN78"/>
      <c r="AO78"/>
      <c r="AP78"/>
      <c r="AQ78"/>
    </row>
    <row r="79" spans="38:43" ht="15" x14ac:dyDescent="0.25">
      <c r="AL79" s="109" t="s">
        <v>16</v>
      </c>
      <c r="AM79" s="110">
        <v>43.45</v>
      </c>
      <c r="AN79"/>
      <c r="AO79"/>
      <c r="AP79"/>
      <c r="AQ79"/>
    </row>
    <row r="80" spans="38:43" ht="23.25" x14ac:dyDescent="0.25">
      <c r="AL80" s="109" t="s">
        <v>17</v>
      </c>
      <c r="AM80" s="110">
        <v>43.45</v>
      </c>
      <c r="AN80"/>
      <c r="AO80"/>
      <c r="AP80" s="111" t="s">
        <v>140</v>
      </c>
      <c r="AQ80" t="s">
        <v>141</v>
      </c>
    </row>
    <row r="81" spans="38:43" ht="15" x14ac:dyDescent="0.25">
      <c r="AL81" s="109" t="s">
        <v>18</v>
      </c>
      <c r="AM81" s="110">
        <v>53.85</v>
      </c>
      <c r="AN81" s="112">
        <f>1/AM81</f>
        <v>1.8570102135561744E-2</v>
      </c>
      <c r="AO81" t="s">
        <v>142</v>
      </c>
      <c r="AP81" s="114"/>
      <c r="AQ81" s="113">
        <f>+AP81*AN81</f>
        <v>0</v>
      </c>
    </row>
    <row r="82" spans="38:43" ht="15" x14ac:dyDescent="0.25">
      <c r="AL82" t="s">
        <v>143</v>
      </c>
      <c r="AM82" s="115">
        <f>AVERAGE(AM70:AM81)</f>
        <v>42.245833333333337</v>
      </c>
      <c r="AN82" s="112">
        <f>1/AM82</f>
        <v>2.3670973468783902E-2</v>
      </c>
      <c r="AO82" t="s">
        <v>144</v>
      </c>
      <c r="AP82" s="114"/>
      <c r="AQ82" s="117">
        <f>+AP82*AN82</f>
        <v>0</v>
      </c>
    </row>
    <row r="93" spans="38:43" x14ac:dyDescent="0.2">
      <c r="AL93" s="79" t="s">
        <v>147</v>
      </c>
    </row>
    <row r="94" spans="38:43" ht="15" x14ac:dyDescent="0.25">
      <c r="AL94" s="109" t="s">
        <v>6</v>
      </c>
      <c r="AM94" s="110">
        <v>64.319999999999993</v>
      </c>
      <c r="AN94"/>
      <c r="AO94"/>
    </row>
    <row r="95" spans="38:43" ht="15" x14ac:dyDescent="0.25">
      <c r="AL95" s="109" t="s">
        <v>9</v>
      </c>
      <c r="AM95" s="110">
        <v>68.3</v>
      </c>
      <c r="AN95"/>
      <c r="AO95"/>
    </row>
    <row r="96" spans="38:43" ht="15" x14ac:dyDescent="0.25">
      <c r="AL96" s="109" t="s">
        <v>10</v>
      </c>
      <c r="AM96" s="110">
        <v>68.52</v>
      </c>
      <c r="AN96"/>
      <c r="AO96"/>
    </row>
    <row r="97" spans="38:41" ht="15" x14ac:dyDescent="0.25">
      <c r="AL97" s="109" t="s">
        <v>11</v>
      </c>
      <c r="AM97" s="110">
        <v>69.83</v>
      </c>
      <c r="AN97"/>
      <c r="AO97"/>
    </row>
    <row r="98" spans="38:41" ht="15" x14ac:dyDescent="0.25">
      <c r="AL98" s="109" t="s">
        <v>12</v>
      </c>
      <c r="AM98" s="110">
        <v>97.191000000000003</v>
      </c>
      <c r="AN98"/>
      <c r="AO98"/>
    </row>
    <row r="99" spans="38:41" ht="15" x14ac:dyDescent="0.25">
      <c r="AL99" s="109" t="s">
        <v>13</v>
      </c>
      <c r="AM99" s="110">
        <v>125.26</v>
      </c>
      <c r="AN99"/>
      <c r="AO99"/>
    </row>
    <row r="100" spans="38:41" ht="15" x14ac:dyDescent="0.25">
      <c r="AL100" s="109" t="s">
        <v>14</v>
      </c>
      <c r="AM100" s="110">
        <v>141.6</v>
      </c>
      <c r="AN100"/>
      <c r="AO100"/>
    </row>
    <row r="101" spans="38:41" ht="15" x14ac:dyDescent="0.25">
      <c r="AL101" s="109" t="s">
        <v>15</v>
      </c>
      <c r="AM101" s="110">
        <v>147.08250000000001</v>
      </c>
      <c r="AN101"/>
      <c r="AO101"/>
    </row>
    <row r="102" spans="38:41" ht="15" x14ac:dyDescent="0.25">
      <c r="AL102" s="109" t="s">
        <v>7</v>
      </c>
      <c r="AM102" s="110">
        <v>177.614</v>
      </c>
      <c r="AN102"/>
      <c r="AO102"/>
    </row>
    <row r="103" spans="38:41" ht="15" x14ac:dyDescent="0.25">
      <c r="AL103" s="109" t="s">
        <v>16</v>
      </c>
      <c r="AM103" s="110">
        <v>217.8973</v>
      </c>
      <c r="AN103"/>
      <c r="AO103"/>
    </row>
    <row r="104" spans="38:41" ht="15" x14ac:dyDescent="0.25">
      <c r="AL104" s="109" t="s">
        <v>17</v>
      </c>
      <c r="AM104" s="110"/>
      <c r="AN104"/>
      <c r="AO104"/>
    </row>
    <row r="105" spans="38:41" ht="15" x14ac:dyDescent="0.25">
      <c r="AL105" s="109" t="s">
        <v>18</v>
      </c>
      <c r="AM105" s="110"/>
      <c r="AN105" s="112" t="e">
        <f>1/AM105</f>
        <v>#DIV/0!</v>
      </c>
      <c r="AO105" t="s">
        <v>142</v>
      </c>
    </row>
    <row r="106" spans="38:41" ht="15" x14ac:dyDescent="0.25">
      <c r="AL106" t="s">
        <v>143</v>
      </c>
      <c r="AM106" s="115">
        <f>AVERAGE(AM94:AM105)</f>
        <v>117.76148000000001</v>
      </c>
      <c r="AN106" s="112">
        <f>1/AM106</f>
        <v>8.4917411024385894E-3</v>
      </c>
      <c r="AO106" t="s">
        <v>144</v>
      </c>
    </row>
    <row r="108" spans="38:41" x14ac:dyDescent="0.2">
      <c r="AN108" s="2">
        <v>5000</v>
      </c>
    </row>
    <row r="109" spans="38:41" x14ac:dyDescent="0.2">
      <c r="AN109" s="118">
        <f>+AN108*AN106</f>
        <v>42.45870551219295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9479-A367-4798-ABC1-3A9EEC246805}">
  <sheetPr>
    <tabColor theme="2" tint="-0.249977111117893"/>
  </sheetPr>
  <dimension ref="A1:AH48"/>
  <sheetViews>
    <sheetView showGridLines="0" zoomScale="93" zoomScaleNormal="93" workbookViewId="0">
      <selection activeCell="A42" sqref="A4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148</v>
      </c>
      <c r="T3" s="18" t="s">
        <v>148</v>
      </c>
    </row>
    <row r="4" spans="1:34" ht="14.25" customHeight="1" x14ac:dyDescent="0.2">
      <c r="A4" s="78" t="str">
        <f>+Paramet!A3</f>
        <v>202401</v>
      </c>
      <c r="B4" s="2" t="s">
        <v>20</v>
      </c>
      <c r="K4" s="119"/>
      <c r="L4" s="119"/>
      <c r="M4" s="119"/>
      <c r="N4" s="119"/>
      <c r="O4" s="119"/>
      <c r="P4" s="119"/>
      <c r="Q4" s="119"/>
      <c r="R4" s="119"/>
      <c r="S4" s="119"/>
      <c r="T4" s="3" t="s">
        <v>21</v>
      </c>
    </row>
    <row r="5" spans="1:34" ht="14.25" customHeight="1" x14ac:dyDescent="0.2">
      <c r="A5" s="78" t="str">
        <f>+Paramet!A4</f>
        <v>202409</v>
      </c>
      <c r="B5" s="3" t="s">
        <v>149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149</v>
      </c>
    </row>
    <row r="6" spans="1:34" ht="14.25" customHeight="1" thickBot="1" x14ac:dyDescent="0.25">
      <c r="A6" s="78" t="str">
        <f>+Paramet!B3</f>
        <v>202501</v>
      </c>
      <c r="B6" s="20" t="str">
        <f>+'COLOMB$ '!B6</f>
        <v>SEPTIEMBRE de 2025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SEPTIEMBRE de 2025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202509</v>
      </c>
      <c r="B7" s="61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T7" s="54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120" t="str">
        <f>+K7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7873.1</v>
      </c>
      <c r="Y10" s="32">
        <v>7873.1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-0.20270709554329766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77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79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81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7873.1</v>
      </c>
      <c r="Y21" s="32">
        <f>+Y10+Y19</f>
        <v>7873.1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-0.85110762004236562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150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7873.1</v>
      </c>
      <c r="Y30" s="69">
        <f>Y21-Y23-Y25-Y27-Y28</f>
        <v>7873.1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151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2350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2250</v>
      </c>
      <c r="Q31" s="34" t="e">
        <f>+P31/$P$20</f>
        <v>#DIV/0!</v>
      </c>
      <c r="R31" s="34">
        <f t="shared" si="9"/>
        <v>4.4444444444444446E-2</v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2350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2250</v>
      </c>
      <c r="Q32" s="34" t="e">
        <f>+P32/$P$20</f>
        <v>#DIV/0!</v>
      </c>
      <c r="R32" s="34">
        <f t="shared" si="9"/>
        <v>4.4444444444444446E-2</v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2350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2250</v>
      </c>
      <c r="Q34" s="34" t="e">
        <f>+P34/$P$20</f>
        <v>#DIV/0!</v>
      </c>
      <c r="R34" s="34">
        <f t="shared" si="9"/>
        <v>4.4444444444444446E-2</v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-2350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-2250</v>
      </c>
      <c r="Q36" s="45" t="e">
        <f>+P36/$P$20</f>
        <v>#DIV/0!</v>
      </c>
      <c r="R36" s="45">
        <f t="shared" si="9"/>
        <v>-4.4444444444444446E-2</v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-2350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-2250</v>
      </c>
      <c r="Q41" s="34" t="e">
        <f>+P41/$P$20</f>
        <v>#DIV/0!</v>
      </c>
      <c r="R41" s="34">
        <f t="shared" si="9"/>
        <v>-4.4444444444444446E-2</v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-2350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-2250</v>
      </c>
      <c r="Q43" s="45" t="e">
        <f>+P43/$P$20</f>
        <v>#DIV/0!</v>
      </c>
      <c r="R43" s="45">
        <f t="shared" si="9"/>
        <v>-4.4444444444444446E-2</v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-2350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-2250</v>
      </c>
      <c r="Q45" s="34" t="e">
        <f>+P45/$P$20</f>
        <v>#DIV/0!</v>
      </c>
      <c r="R45" s="34">
        <f t="shared" si="9"/>
        <v>-4.4444444444444446E-2</v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2025-10-29T13:24:57Z</dcterms:created>
  <dcterms:modified xsi:type="dcterms:W3CDTF">2025-10-29T13:28:02Z</dcterms:modified>
</cp:coreProperties>
</file>