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5/Consolidados/"/>
    </mc:Choice>
  </mc:AlternateContent>
  <xr:revisionPtr revIDLastSave="0" documentId="8_{E1650B6E-5413-458A-B1A0-3E5780F25D67}" xr6:coauthVersionLast="47" xr6:coauthVersionMax="47" xr10:uidLastSave="{00000000-0000-0000-0000-000000000000}"/>
  <bookViews>
    <workbookView xWindow="-28920" yWindow="720" windowWidth="29040" windowHeight="15720" activeTab="2" xr2:uid="{ABC85588-23B2-4878-B095-650B355AF542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4" r:id="rId13"/>
    <pivotCache cacheId="6" r:id="rId14"/>
    <pivotCache cacheId="5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7" i="12" l="1"/>
  <c r="C436" i="12"/>
  <c r="C435" i="12"/>
  <c r="C434" i="12"/>
  <c r="C433" i="12"/>
  <c r="C432" i="12"/>
  <c r="C431" i="12"/>
  <c r="C430" i="12"/>
  <c r="C429" i="12"/>
  <c r="C428" i="12"/>
  <c r="C438" i="12" s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H28" i="10"/>
  <c r="J28" i="10" s="1"/>
  <c r="E28" i="10"/>
  <c r="I28" i="10" s="1"/>
  <c r="AC27" i="10"/>
  <c r="AA27" i="10"/>
  <c r="Y27" i="10"/>
  <c r="Z27" i="10" s="1"/>
  <c r="X27" i="10"/>
  <c r="R27" i="10"/>
  <c r="K27" i="10"/>
  <c r="O27" i="10" s="1"/>
  <c r="J27" i="10"/>
  <c r="I27" i="10"/>
  <c r="G27" i="10"/>
  <c r="C27" i="10"/>
  <c r="R26" i="10"/>
  <c r="J26" i="10"/>
  <c r="I26" i="10"/>
  <c r="C26" i="10"/>
  <c r="G26" i="10" s="1"/>
  <c r="AC25" i="10"/>
  <c r="Y25" i="10"/>
  <c r="X25" i="10"/>
  <c r="Z25" i="10" s="1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O15" i="10"/>
  <c r="K15" i="10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106" i="9"/>
  <c r="AN106" i="9" s="1"/>
  <c r="AN109" i="9" s="1"/>
  <c r="AN105" i="9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D14" i="9"/>
  <c r="D13" i="9"/>
  <c r="D12" i="9"/>
  <c r="D11" i="9"/>
  <c r="P10" i="9"/>
  <c r="D10" i="9"/>
  <c r="G7" i="9"/>
  <c r="O7" i="9" s="1"/>
  <c r="AH4" i="9"/>
  <c r="H15" i="9" s="1"/>
  <c r="AH3" i="9"/>
  <c r="X13" i="9" s="1"/>
  <c r="AA13" i="9" s="1"/>
  <c r="R46" i="8"/>
  <c r="O46" i="8"/>
  <c r="I46" i="8"/>
  <c r="R45" i="8"/>
  <c r="Q45" i="8"/>
  <c r="J45" i="8"/>
  <c r="I45" i="8"/>
  <c r="G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D39" i="8"/>
  <c r="R38" i="8"/>
  <c r="Q38" i="8"/>
  <c r="K38" i="8"/>
  <c r="O38" i="8" s="1"/>
  <c r="J38" i="8"/>
  <c r="I38" i="8"/>
  <c r="G38" i="8"/>
  <c r="Q36" i="8"/>
  <c r="I36" i="8"/>
  <c r="Q34" i="8"/>
  <c r="I34" i="8"/>
  <c r="Q32" i="8"/>
  <c r="M32" i="8"/>
  <c r="K32" i="8"/>
  <c r="J32" i="8"/>
  <c r="I32" i="8"/>
  <c r="E32" i="8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D30" i="8"/>
  <c r="AC28" i="8"/>
  <c r="AA28" i="8"/>
  <c r="Z28" i="8"/>
  <c r="Q28" i="8"/>
  <c r="O28" i="8"/>
  <c r="M28" i="8"/>
  <c r="K28" i="8"/>
  <c r="K34" i="8" s="1"/>
  <c r="I28" i="8"/>
  <c r="E28" i="8"/>
  <c r="D28" i="8"/>
  <c r="C28" i="8"/>
  <c r="G28" i="8" s="1"/>
  <c r="AC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Q24" i="8"/>
  <c r="I24" i="8"/>
  <c r="AC23" i="8"/>
  <c r="AA23" i="8"/>
  <c r="Z23" i="8"/>
  <c r="R22" i="8"/>
  <c r="Q22" i="8"/>
  <c r="K22" i="8"/>
  <c r="J22" i="8"/>
  <c r="I22" i="8"/>
  <c r="G22" i="8"/>
  <c r="AC20" i="8"/>
  <c r="Q20" i="8"/>
  <c r="M20" i="8"/>
  <c r="K20" i="8"/>
  <c r="I20" i="8"/>
  <c r="E20" i="8"/>
  <c r="F22" i="8" s="1"/>
  <c r="D20" i="8"/>
  <c r="C20" i="8"/>
  <c r="D36" i="8" s="1"/>
  <c r="D19" i="8"/>
  <c r="B19" i="8"/>
  <c r="Y17" i="8"/>
  <c r="V17" i="8"/>
  <c r="V17" i="9" s="1"/>
  <c r="U17" i="8"/>
  <c r="U17" i="9" s="1"/>
  <c r="D17" i="8"/>
  <c r="B17" i="8"/>
  <c r="AC16" i="8"/>
  <c r="AA16" i="8"/>
  <c r="X16" i="8"/>
  <c r="Z16" i="8" s="1"/>
  <c r="B16" i="8"/>
  <c r="AC15" i="8"/>
  <c r="X15" i="8"/>
  <c r="R15" i="8"/>
  <c r="Q15" i="8"/>
  <c r="J15" i="8"/>
  <c r="I15" i="8"/>
  <c r="G15" i="8"/>
  <c r="F15" i="8"/>
  <c r="B15" i="8"/>
  <c r="AC14" i="8"/>
  <c r="X14" i="8"/>
  <c r="R14" i="8"/>
  <c r="Q14" i="8"/>
  <c r="O14" i="8"/>
  <c r="J14" i="8"/>
  <c r="I14" i="8"/>
  <c r="G14" i="8"/>
  <c r="D14" i="8"/>
  <c r="B14" i="8"/>
  <c r="AC13" i="8"/>
  <c r="X13" i="8"/>
  <c r="AA13" i="8" s="1"/>
  <c r="R13" i="8"/>
  <c r="Q13" i="8"/>
  <c r="O13" i="8"/>
  <c r="J13" i="8"/>
  <c r="I13" i="8"/>
  <c r="G13" i="8"/>
  <c r="B13" i="8"/>
  <c r="R12" i="8"/>
  <c r="Q12" i="8"/>
  <c r="O12" i="8"/>
  <c r="N12" i="8"/>
  <c r="J12" i="8"/>
  <c r="I12" i="8"/>
  <c r="G12" i="8"/>
  <c r="D12" i="8"/>
  <c r="B12" i="8"/>
  <c r="AC11" i="8"/>
  <c r="X11" i="8"/>
  <c r="R11" i="8"/>
  <c r="Q11" i="8"/>
  <c r="O11" i="8"/>
  <c r="J11" i="8"/>
  <c r="I11" i="8"/>
  <c r="G11" i="8"/>
  <c r="D11" i="8"/>
  <c r="B11" i="8"/>
  <c r="AC10" i="8"/>
  <c r="AA10" i="8"/>
  <c r="Z10" i="8"/>
  <c r="R10" i="8"/>
  <c r="Q10" i="8"/>
  <c r="O10" i="8"/>
  <c r="J10" i="8"/>
  <c r="I10" i="8"/>
  <c r="G10" i="8"/>
  <c r="F10" i="8"/>
  <c r="D10" i="8"/>
  <c r="B10" i="8"/>
  <c r="W39" i="7"/>
  <c r="V39" i="7"/>
  <c r="AA28" i="7"/>
  <c r="Z28" i="7"/>
  <c r="AD28" i="7" s="1"/>
  <c r="Y28" i="7"/>
  <c r="AB28" i="7" s="1"/>
  <c r="AD27" i="7"/>
  <c r="AA27" i="7"/>
  <c r="Z27" i="7"/>
  <c r="Y27" i="7"/>
  <c r="AB27" i="7" s="1"/>
  <c r="AD25" i="7"/>
  <c r="AB25" i="7"/>
  <c r="Z25" i="7"/>
  <c r="Y25" i="7"/>
  <c r="Z23" i="7"/>
  <c r="AD23" i="7" s="1"/>
  <c r="Y23" i="7"/>
  <c r="AB23" i="7" s="1"/>
  <c r="B19" i="7"/>
  <c r="Y17" i="7"/>
  <c r="AB17" i="7" s="1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AD16" i="7"/>
  <c r="Z16" i="7"/>
  <c r="Y16" i="7"/>
  <c r="AB16" i="7" s="1"/>
  <c r="R16" i="7"/>
  <c r="K16" i="7"/>
  <c r="B16" i="7"/>
  <c r="AD15" i="7"/>
  <c r="Z15" i="7"/>
  <c r="Y15" i="7"/>
  <c r="AB15" i="7" s="1"/>
  <c r="B15" i="7"/>
  <c r="AD14" i="7"/>
  <c r="AB14" i="7"/>
  <c r="AA14" i="7"/>
  <c r="Z14" i="7"/>
  <c r="Y14" i="7"/>
  <c r="R14" i="7"/>
  <c r="B14" i="7"/>
  <c r="AB13" i="7"/>
  <c r="AA13" i="7"/>
  <c r="Z13" i="7"/>
  <c r="Z17" i="7" s="1"/>
  <c r="Y13" i="7"/>
  <c r="B13" i="7"/>
  <c r="B12" i="7"/>
  <c r="Z11" i="7"/>
  <c r="AD11" i="7" s="1"/>
  <c r="Y11" i="7"/>
  <c r="B11" i="7"/>
  <c r="AD10" i="7"/>
  <c r="AB10" i="7"/>
  <c r="AA10" i="7"/>
  <c r="B10" i="7"/>
  <c r="E7" i="7"/>
  <c r="M7" i="7" s="1"/>
  <c r="W7" i="7" s="1"/>
  <c r="Z7" i="7" s="1"/>
  <c r="U3" i="7"/>
  <c r="Z27" i="6"/>
  <c r="Y27" i="6"/>
  <c r="AE20" i="6"/>
  <c r="B19" i="6"/>
  <c r="B17" i="6"/>
  <c r="H16" i="6"/>
  <c r="J16" i="6" s="1"/>
  <c r="E16" i="6"/>
  <c r="B16" i="6"/>
  <c r="B15" i="6"/>
  <c r="P14" i="6"/>
  <c r="M14" i="6"/>
  <c r="B14" i="6"/>
  <c r="B13" i="6"/>
  <c r="B12" i="6"/>
  <c r="B11" i="6"/>
  <c r="AD10" i="6"/>
  <c r="Z10" i="6"/>
  <c r="Y10" i="6"/>
  <c r="X10" i="6"/>
  <c r="B10" i="6"/>
  <c r="M7" i="6"/>
  <c r="X7" i="6" s="1"/>
  <c r="AA7" i="6" s="1"/>
  <c r="E7" i="6"/>
  <c r="C7" i="6"/>
  <c r="K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E7" i="5"/>
  <c r="M7" i="5" s="1"/>
  <c r="C7" i="5"/>
  <c r="K7" i="5" s="1"/>
  <c r="AA27" i="4"/>
  <c r="AC20" i="4"/>
  <c r="AC10" i="4"/>
  <c r="AA10" i="4"/>
  <c r="Z10" i="4"/>
  <c r="I7" i="4"/>
  <c r="H7" i="6" s="1"/>
  <c r="Y7" i="6" s="1"/>
  <c r="AD7" i="6" s="1"/>
  <c r="F7" i="4"/>
  <c r="E7" i="10" s="1"/>
  <c r="M7" i="10" s="1"/>
  <c r="V7" i="10" s="1"/>
  <c r="Y7" i="10" s="1"/>
  <c r="D7" i="4"/>
  <c r="C7" i="10" s="1"/>
  <c r="B6" i="4"/>
  <c r="T3" i="4"/>
  <c r="X27" i="3"/>
  <c r="AA27" i="3" s="1"/>
  <c r="W27" i="3"/>
  <c r="AC20" i="3"/>
  <c r="B19" i="3"/>
  <c r="B18" i="3"/>
  <c r="B18" i="7" s="1"/>
  <c r="B17" i="3"/>
  <c r="J16" i="3"/>
  <c r="B16" i="3"/>
  <c r="B15" i="3"/>
  <c r="R14" i="3"/>
  <c r="B14" i="3"/>
  <c r="B13" i="3"/>
  <c r="B12" i="3"/>
  <c r="B11" i="3"/>
  <c r="AB10" i="3"/>
  <c r="AA10" i="3"/>
  <c r="Y10" i="3"/>
  <c r="X10" i="3"/>
  <c r="W10" i="3"/>
  <c r="V10" i="3"/>
  <c r="U10" i="3"/>
  <c r="W10" i="6" s="1"/>
  <c r="B10" i="3"/>
  <c r="E7" i="3"/>
  <c r="M7" i="3" s="1"/>
  <c r="V7" i="3" s="1"/>
  <c r="Y7" i="3" s="1"/>
  <c r="C7" i="3"/>
  <c r="K7" i="3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B4" i="2" s="1"/>
  <c r="E22" i="2"/>
  <c r="D22" i="2"/>
  <c r="E4" i="2"/>
  <c r="A4" i="2" s="1"/>
  <c r="D4" i="2"/>
  <c r="B3" i="2"/>
  <c r="A6" i="10" s="1"/>
  <c r="A3" i="2"/>
  <c r="A4" i="10" s="1"/>
  <c r="K42" i="6" l="1"/>
  <c r="C42" i="6"/>
  <c r="K10" i="6"/>
  <c r="M11" i="6"/>
  <c r="H22" i="6"/>
  <c r="C32" i="6"/>
  <c r="C38" i="6"/>
  <c r="K12" i="6"/>
  <c r="H14" i="6"/>
  <c r="P15" i="6"/>
  <c r="P22" i="6"/>
  <c r="K32" i="6"/>
  <c r="K38" i="6"/>
  <c r="P10" i="6"/>
  <c r="C13" i="6"/>
  <c r="C39" i="6"/>
  <c r="H10" i="6"/>
  <c r="K39" i="6"/>
  <c r="H15" i="6"/>
  <c r="C12" i="6"/>
  <c r="C46" i="6"/>
  <c r="C10" i="6"/>
  <c r="E11" i="6"/>
  <c r="K13" i="6"/>
  <c r="K46" i="6"/>
  <c r="M18" i="6"/>
  <c r="M30" i="6"/>
  <c r="M12" i="6"/>
  <c r="H17" i="6"/>
  <c r="P17" i="6"/>
  <c r="H26" i="6"/>
  <c r="P26" i="6"/>
  <c r="H27" i="6"/>
  <c r="P27" i="6"/>
  <c r="E32" i="6"/>
  <c r="T22" i="6" s="1"/>
  <c r="M32" i="6"/>
  <c r="E38" i="6"/>
  <c r="M38" i="6"/>
  <c r="E39" i="6"/>
  <c r="M39" i="6"/>
  <c r="E42" i="6"/>
  <c r="M42" i="6"/>
  <c r="E46" i="6"/>
  <c r="M46" i="6"/>
  <c r="E18" i="6"/>
  <c r="E30" i="6"/>
  <c r="E12" i="6"/>
  <c r="H11" i="6"/>
  <c r="P11" i="6"/>
  <c r="E13" i="6"/>
  <c r="M13" i="6"/>
  <c r="C14" i="6"/>
  <c r="K14" i="6"/>
  <c r="C15" i="6"/>
  <c r="K15" i="6"/>
  <c r="K16" i="6"/>
  <c r="C22" i="6"/>
  <c r="K22" i="6"/>
  <c r="P18" i="6"/>
  <c r="H30" i="6"/>
  <c r="P30" i="6"/>
  <c r="H18" i="6"/>
  <c r="H12" i="6"/>
  <c r="P12" i="6"/>
  <c r="E14" i="6"/>
  <c r="E15" i="6"/>
  <c r="M15" i="6"/>
  <c r="C16" i="6"/>
  <c r="C17" i="6"/>
  <c r="K17" i="6"/>
  <c r="H19" i="6"/>
  <c r="E22" i="6"/>
  <c r="M22" i="6"/>
  <c r="C26" i="6"/>
  <c r="K26" i="6"/>
  <c r="C27" i="6"/>
  <c r="K27" i="6"/>
  <c r="H32" i="6"/>
  <c r="J32" i="6" s="1"/>
  <c r="P32" i="6"/>
  <c r="R32" i="6" s="1"/>
  <c r="H38" i="6"/>
  <c r="P38" i="6"/>
  <c r="H39" i="6"/>
  <c r="P39" i="6"/>
  <c r="H42" i="6"/>
  <c r="P42" i="6"/>
  <c r="H46" i="6"/>
  <c r="P46" i="6"/>
  <c r="E10" i="6"/>
  <c r="M10" i="6"/>
  <c r="C11" i="6"/>
  <c r="K11" i="6"/>
  <c r="H13" i="6"/>
  <c r="P13" i="6"/>
  <c r="E17" i="6"/>
  <c r="M17" i="6"/>
  <c r="C18" i="6"/>
  <c r="K18" i="6"/>
  <c r="E26" i="6"/>
  <c r="M26" i="6"/>
  <c r="E27" i="6"/>
  <c r="M27" i="6"/>
  <c r="C30" i="6"/>
  <c r="K30" i="6"/>
  <c r="X27" i="6"/>
  <c r="V27" i="3"/>
  <c r="X23" i="3"/>
  <c r="AA23" i="3" s="1"/>
  <c r="Z23" i="6"/>
  <c r="Y28" i="6"/>
  <c r="W28" i="3"/>
  <c r="U13" i="3"/>
  <c r="W13" i="6"/>
  <c r="V11" i="3"/>
  <c r="X11" i="6"/>
  <c r="AD14" i="6"/>
  <c r="AB14" i="3"/>
  <c r="W25" i="3"/>
  <c r="Y25" i="6"/>
  <c r="W11" i="3"/>
  <c r="Y11" i="6"/>
  <c r="V13" i="3"/>
  <c r="V17" i="3" s="1"/>
  <c r="V19" i="3" s="1"/>
  <c r="X13" i="6"/>
  <c r="W14" i="6"/>
  <c r="W11" i="11" s="1"/>
  <c r="U14" i="3"/>
  <c r="AB15" i="3"/>
  <c r="AD15" i="6"/>
  <c r="AD16" i="6"/>
  <c r="AB16" i="3"/>
  <c r="AC16" i="3" s="1"/>
  <c r="Y23" i="3"/>
  <c r="Z23" i="3" s="1"/>
  <c r="AA23" i="6"/>
  <c r="X25" i="3"/>
  <c r="AA25" i="3" s="1"/>
  <c r="Z25" i="6"/>
  <c r="AA27" i="6"/>
  <c r="Y27" i="3"/>
  <c r="Z27" i="3" s="1"/>
  <c r="X28" i="3"/>
  <c r="AA28" i="3" s="1"/>
  <c r="Z28" i="6"/>
  <c r="X14" i="6"/>
  <c r="V14" i="3"/>
  <c r="W16" i="6"/>
  <c r="U16" i="3"/>
  <c r="Y28" i="3"/>
  <c r="AA28" i="6"/>
  <c r="AA11" i="6"/>
  <c r="Y11" i="3"/>
  <c r="X13" i="3"/>
  <c r="X17" i="3" s="1"/>
  <c r="AA17" i="3" s="1"/>
  <c r="Z13" i="6"/>
  <c r="W14" i="3"/>
  <c r="Y14" i="6"/>
  <c r="X15" i="6"/>
  <c r="V15" i="3"/>
  <c r="X16" i="6"/>
  <c r="V16" i="3"/>
  <c r="Z11" i="6"/>
  <c r="X11" i="3"/>
  <c r="W13" i="3"/>
  <c r="Y13" i="6"/>
  <c r="AA13" i="6"/>
  <c r="Y13" i="3"/>
  <c r="Z14" i="6"/>
  <c r="X14" i="3"/>
  <c r="W15" i="3"/>
  <c r="Y15" i="6"/>
  <c r="W16" i="3"/>
  <c r="Y16" i="6"/>
  <c r="AD23" i="6"/>
  <c r="AB23" i="3"/>
  <c r="AB27" i="3"/>
  <c r="AC27" i="3" s="1"/>
  <c r="AD27" i="6"/>
  <c r="AA14" i="6"/>
  <c r="Y14" i="3"/>
  <c r="Z15" i="6"/>
  <c r="X15" i="3"/>
  <c r="X16" i="3"/>
  <c r="Z16" i="6"/>
  <c r="W23" i="6"/>
  <c r="W19" i="11" s="1"/>
  <c r="U23" i="3"/>
  <c r="AD25" i="6"/>
  <c r="AB25" i="3"/>
  <c r="AB28" i="3"/>
  <c r="AC28" i="3" s="1"/>
  <c r="AD28" i="6"/>
  <c r="U15" i="3"/>
  <c r="W15" i="6"/>
  <c r="AB11" i="3"/>
  <c r="AD11" i="6"/>
  <c r="Y15" i="3"/>
  <c r="AA15" i="6"/>
  <c r="Y16" i="3"/>
  <c r="AA16" i="6"/>
  <c r="X23" i="6"/>
  <c r="V23" i="3"/>
  <c r="W25" i="6"/>
  <c r="U25" i="3"/>
  <c r="U28" i="3"/>
  <c r="W28" i="6"/>
  <c r="Y25" i="3"/>
  <c r="AA25" i="6"/>
  <c r="U11" i="3"/>
  <c r="W11" i="6"/>
  <c r="AD13" i="6"/>
  <c r="AB13" i="3"/>
  <c r="AC13" i="3" s="1"/>
  <c r="P16" i="3"/>
  <c r="Y23" i="6"/>
  <c r="W23" i="3"/>
  <c r="X25" i="6"/>
  <c r="V25" i="3"/>
  <c r="W27" i="6"/>
  <c r="W21" i="11" s="1"/>
  <c r="U27" i="3"/>
  <c r="X28" i="6"/>
  <c r="V28" i="3"/>
  <c r="B5" i="2"/>
  <c r="C59" i="12"/>
  <c r="A7" i="10"/>
  <c r="A8" i="5"/>
  <c r="A5" i="10"/>
  <c r="A6" i="5"/>
  <c r="O34" i="8"/>
  <c r="K42" i="9"/>
  <c r="O42" i="9" s="1"/>
  <c r="U7" i="10"/>
  <c r="K7" i="10"/>
  <c r="X7" i="10" s="1"/>
  <c r="H7" i="5"/>
  <c r="P7" i="5" s="1"/>
  <c r="H7" i="3"/>
  <c r="X8" i="11"/>
  <c r="AG8" i="11"/>
  <c r="C7" i="7"/>
  <c r="K7" i="7" s="1"/>
  <c r="Y19" i="7"/>
  <c r="AD13" i="7"/>
  <c r="C7" i="8"/>
  <c r="D13" i="8"/>
  <c r="L36" i="8"/>
  <c r="K20" i="9"/>
  <c r="C10" i="9"/>
  <c r="G10" i="9" s="1"/>
  <c r="M10" i="9"/>
  <c r="Y10" i="9"/>
  <c r="M11" i="9"/>
  <c r="H13" i="9"/>
  <c r="C14" i="9"/>
  <c r="G14" i="9" s="1"/>
  <c r="Y14" i="9"/>
  <c r="K15" i="9"/>
  <c r="O15" i="9" s="1"/>
  <c r="T6" i="4"/>
  <c r="B6" i="10"/>
  <c r="T6" i="10" s="1"/>
  <c r="AC10" i="6"/>
  <c r="E7" i="8"/>
  <c r="X11" i="9"/>
  <c r="AA11" i="9" s="1"/>
  <c r="F13" i="8"/>
  <c r="N45" i="8"/>
  <c r="M20" i="9"/>
  <c r="N20" i="9" s="1"/>
  <c r="O22" i="8"/>
  <c r="K24" i="9"/>
  <c r="O24" i="9" s="1"/>
  <c r="AA25" i="8"/>
  <c r="X25" i="9"/>
  <c r="AA25" i="9" s="1"/>
  <c r="AA27" i="8"/>
  <c r="X27" i="9"/>
  <c r="AA27" i="9" s="1"/>
  <c r="AB10" i="9"/>
  <c r="E12" i="9"/>
  <c r="U7" i="3"/>
  <c r="X7" i="3" s="1"/>
  <c r="P7" i="4"/>
  <c r="H7" i="10"/>
  <c r="P7" i="10" s="1"/>
  <c r="A5" i="5"/>
  <c r="N7" i="4"/>
  <c r="V7" i="4" s="1"/>
  <c r="Y7" i="4" s="1"/>
  <c r="W7" i="6"/>
  <c r="Z7" i="6" s="1"/>
  <c r="AA10" i="6"/>
  <c r="AE10" i="6" s="1"/>
  <c r="H7" i="7"/>
  <c r="P7" i="7" s="1"/>
  <c r="F11" i="8"/>
  <c r="Z11" i="8"/>
  <c r="U19" i="8"/>
  <c r="F27" i="8"/>
  <c r="Z27" i="8"/>
  <c r="K32" i="9"/>
  <c r="O32" i="9" s="1"/>
  <c r="O32" i="8"/>
  <c r="K39" i="9"/>
  <c r="O39" i="9" s="1"/>
  <c r="E10" i="9"/>
  <c r="C11" i="9"/>
  <c r="G11" i="9" s="1"/>
  <c r="P11" i="9"/>
  <c r="K12" i="9"/>
  <c r="O12" i="9" s="1"/>
  <c r="M13" i="9"/>
  <c r="N13" i="9" s="1"/>
  <c r="AB14" i="9"/>
  <c r="AC14" i="9" s="1"/>
  <c r="W7" i="4"/>
  <c r="AB7" i="4" s="1"/>
  <c r="B6" i="5"/>
  <c r="AA8" i="11"/>
  <c r="AJ8" i="11"/>
  <c r="B18" i="6"/>
  <c r="AA15" i="7"/>
  <c r="AA16" i="7"/>
  <c r="AA11" i="8"/>
  <c r="AA14" i="8"/>
  <c r="X14" i="9"/>
  <c r="V19" i="8"/>
  <c r="V21" i="8" s="1"/>
  <c r="V30" i="8" s="1"/>
  <c r="F26" i="8"/>
  <c r="R28" i="8"/>
  <c r="M28" i="9"/>
  <c r="N32" i="8"/>
  <c r="M32" i="9"/>
  <c r="U11" i="9"/>
  <c r="M12" i="9"/>
  <c r="P13" i="9"/>
  <c r="U15" i="9"/>
  <c r="A7" i="5"/>
  <c r="AA25" i="7"/>
  <c r="F14" i="8"/>
  <c r="X17" i="8"/>
  <c r="X17" i="9" s="1"/>
  <c r="AA17" i="9" s="1"/>
  <c r="X15" i="9"/>
  <c r="D26" i="8"/>
  <c r="C20" i="9"/>
  <c r="G20" i="9" s="1"/>
  <c r="C32" i="9"/>
  <c r="G32" i="9" s="1"/>
  <c r="D42" i="8"/>
  <c r="U10" i="9"/>
  <c r="E11" i="9"/>
  <c r="J11" i="9" s="1"/>
  <c r="W11" i="9"/>
  <c r="P12" i="9"/>
  <c r="U13" i="9"/>
  <c r="M14" i="9"/>
  <c r="M14" i="11" s="1"/>
  <c r="V15" i="9"/>
  <c r="T6" i="3"/>
  <c r="B6" i="11"/>
  <c r="B6" i="6"/>
  <c r="V6" i="6" s="1"/>
  <c r="R14" i="6"/>
  <c r="P14" i="11"/>
  <c r="R14" i="11" s="1"/>
  <c r="X21" i="11"/>
  <c r="AG21" i="11"/>
  <c r="R32" i="8"/>
  <c r="D45" i="8"/>
  <c r="H10" i="9"/>
  <c r="V10" i="9"/>
  <c r="H11" i="9"/>
  <c r="Y11" i="9"/>
  <c r="U12" i="9"/>
  <c r="P14" i="9"/>
  <c r="AC27" i="6"/>
  <c r="Z21" i="11"/>
  <c r="AD21" i="11" s="1"/>
  <c r="B6" i="7"/>
  <c r="U6" i="7" s="1"/>
  <c r="E24" i="8"/>
  <c r="E24" i="9" s="1"/>
  <c r="F24" i="9" s="1"/>
  <c r="E20" i="9"/>
  <c r="F20" i="9" s="1"/>
  <c r="J28" i="8"/>
  <c r="E28" i="9"/>
  <c r="G32" i="8"/>
  <c r="C39" i="9"/>
  <c r="G39" i="9" s="1"/>
  <c r="C34" i="8"/>
  <c r="E44" i="9"/>
  <c r="E42" i="9"/>
  <c r="E39" i="9"/>
  <c r="U29" i="9"/>
  <c r="Y28" i="9"/>
  <c r="Z28" i="9" s="1"/>
  <c r="E27" i="9"/>
  <c r="K26" i="9"/>
  <c r="O26" i="9" s="1"/>
  <c r="E25" i="9"/>
  <c r="E22" i="9"/>
  <c r="J22" i="9" s="1"/>
  <c r="C19" i="9"/>
  <c r="M17" i="9"/>
  <c r="R17" i="9" s="1"/>
  <c r="AB16" i="9"/>
  <c r="E16" i="9"/>
  <c r="W15" i="9"/>
  <c r="C15" i="9"/>
  <c r="G15" i="9" s="1"/>
  <c r="U14" i="9"/>
  <c r="E14" i="9"/>
  <c r="V13" i="9"/>
  <c r="E46" i="9"/>
  <c r="C43" i="9"/>
  <c r="E37" i="9"/>
  <c r="C34" i="9"/>
  <c r="G34" i="9" s="1"/>
  <c r="M31" i="9"/>
  <c r="U28" i="9"/>
  <c r="U27" i="9"/>
  <c r="Y25" i="9"/>
  <c r="Z25" i="9" s="1"/>
  <c r="U24" i="9"/>
  <c r="C24" i="9"/>
  <c r="G24" i="9" s="1"/>
  <c r="E23" i="9"/>
  <c r="M21" i="9"/>
  <c r="R21" i="9" s="1"/>
  <c r="AB19" i="9"/>
  <c r="M19" i="9"/>
  <c r="U18" i="9"/>
  <c r="K17" i="9"/>
  <c r="O17" i="9" s="1"/>
  <c r="E45" i="9"/>
  <c r="C36" i="9"/>
  <c r="K31" i="9"/>
  <c r="O31" i="9" s="1"/>
  <c r="M30" i="9"/>
  <c r="N30" i="9" s="1"/>
  <c r="M29" i="9"/>
  <c r="U22" i="9"/>
  <c r="C22" i="9"/>
  <c r="G22" i="9" s="1"/>
  <c r="K19" i="9"/>
  <c r="E18" i="9"/>
  <c r="W17" i="9"/>
  <c r="C46" i="9"/>
  <c r="G46" i="9" s="1"/>
  <c r="C41" i="9"/>
  <c r="G41" i="9" s="1"/>
  <c r="M39" i="9"/>
  <c r="E38" i="9"/>
  <c r="K34" i="9"/>
  <c r="O34" i="9" s="1"/>
  <c r="M33" i="9"/>
  <c r="K30" i="9"/>
  <c r="O30" i="9" s="1"/>
  <c r="U26" i="9"/>
  <c r="W25" i="9"/>
  <c r="AB21" i="9"/>
  <c r="Y16" i="9"/>
  <c r="M16" i="9"/>
  <c r="R16" i="9" s="1"/>
  <c r="K43" i="9"/>
  <c r="O43" i="9" s="1"/>
  <c r="M42" i="9"/>
  <c r="M35" i="9"/>
  <c r="E29" i="9"/>
  <c r="C28" i="9"/>
  <c r="G28" i="9" s="1"/>
  <c r="M27" i="9"/>
  <c r="E26" i="9"/>
  <c r="U25" i="9"/>
  <c r="M22" i="9"/>
  <c r="R22" i="9" s="1"/>
  <c r="W19" i="9"/>
  <c r="C18" i="9"/>
  <c r="G18" i="9" s="1"/>
  <c r="K16" i="9"/>
  <c r="O16" i="9" s="1"/>
  <c r="M46" i="9"/>
  <c r="M40" i="9"/>
  <c r="C38" i="9"/>
  <c r="G38" i="9" s="1"/>
  <c r="K36" i="9"/>
  <c r="E33" i="9"/>
  <c r="E31" i="9"/>
  <c r="E30" i="9"/>
  <c r="F30" i="9" s="1"/>
  <c r="AB28" i="9"/>
  <c r="AC28" i="9" s="1"/>
  <c r="AB27" i="9"/>
  <c r="U23" i="9"/>
  <c r="W21" i="9"/>
  <c r="E21" i="9"/>
  <c r="M18" i="9"/>
  <c r="R18" i="9" s="1"/>
  <c r="AB17" i="9"/>
  <c r="E17" i="9"/>
  <c r="W16" i="9"/>
  <c r="K14" i="9"/>
  <c r="O14" i="9" s="1"/>
  <c r="Y13" i="9"/>
  <c r="K13" i="9"/>
  <c r="O13" i="9" s="1"/>
  <c r="K46" i="9"/>
  <c r="O46" i="9" s="1"/>
  <c r="M45" i="9"/>
  <c r="M44" i="9"/>
  <c r="K41" i="9"/>
  <c r="O41" i="9" s="1"/>
  <c r="M38" i="9"/>
  <c r="E35" i="9"/>
  <c r="K28" i="9"/>
  <c r="O28" i="9" s="1"/>
  <c r="C26" i="9"/>
  <c r="G26" i="9" s="1"/>
  <c r="M25" i="9"/>
  <c r="K22" i="9"/>
  <c r="O22" i="9" s="1"/>
  <c r="E19" i="9"/>
  <c r="K18" i="9"/>
  <c r="O18" i="9" s="1"/>
  <c r="V16" i="9"/>
  <c r="Y15" i="9"/>
  <c r="E15" i="9"/>
  <c r="E40" i="9"/>
  <c r="K38" i="9"/>
  <c r="O38" i="9" s="1"/>
  <c r="M37" i="9"/>
  <c r="C31" i="9"/>
  <c r="G31" i="9" s="1"/>
  <c r="C30" i="9"/>
  <c r="G30" i="9" s="1"/>
  <c r="Y27" i="9"/>
  <c r="Z27" i="9" s="1"/>
  <c r="M26" i="9"/>
  <c r="AB25" i="9"/>
  <c r="M23" i="9"/>
  <c r="U20" i="9"/>
  <c r="C17" i="9"/>
  <c r="G17" i="9" s="1"/>
  <c r="U16" i="9"/>
  <c r="M15" i="9"/>
  <c r="V14" i="9"/>
  <c r="W13" i="9"/>
  <c r="E13" i="9"/>
  <c r="F13" i="9" s="1"/>
  <c r="V11" i="9"/>
  <c r="V19" i="9" s="1"/>
  <c r="K10" i="9"/>
  <c r="O10" i="9" s="1"/>
  <c r="W10" i="9"/>
  <c r="AC10" i="9" s="1"/>
  <c r="K11" i="9"/>
  <c r="O11" i="9" s="1"/>
  <c r="AB11" i="9"/>
  <c r="AC11" i="9" s="1"/>
  <c r="C13" i="9"/>
  <c r="G13" i="9" s="1"/>
  <c r="AB13" i="9"/>
  <c r="AC13" i="9" s="1"/>
  <c r="AB15" i="9"/>
  <c r="B6" i="8"/>
  <c r="F12" i="8"/>
  <c r="X16" i="9"/>
  <c r="Y19" i="8"/>
  <c r="Y17" i="9"/>
  <c r="Z17" i="9" s="1"/>
  <c r="F28" i="8"/>
  <c r="F32" i="8"/>
  <c r="E32" i="9"/>
  <c r="AH9" i="9"/>
  <c r="H45" i="9"/>
  <c r="H41" i="9"/>
  <c r="P39" i="9"/>
  <c r="H38" i="9"/>
  <c r="H37" i="9"/>
  <c r="P31" i="9"/>
  <c r="H23" i="9"/>
  <c r="P20" i="9"/>
  <c r="P19" i="9"/>
  <c r="H18" i="9"/>
  <c r="P30" i="9"/>
  <c r="P29" i="9"/>
  <c r="H26" i="9"/>
  <c r="P43" i="9"/>
  <c r="P33" i="9"/>
  <c r="P28" i="9"/>
  <c r="P27" i="9"/>
  <c r="P24" i="9"/>
  <c r="P16" i="9"/>
  <c r="P46" i="9"/>
  <c r="P42" i="9"/>
  <c r="Q42" i="9" s="1"/>
  <c r="P38" i="9"/>
  <c r="P36" i="9"/>
  <c r="P35" i="9"/>
  <c r="H32" i="9"/>
  <c r="H29" i="9"/>
  <c r="P22" i="9"/>
  <c r="H21" i="9"/>
  <c r="H17" i="9"/>
  <c r="I17" i="9" s="1"/>
  <c r="P45" i="9"/>
  <c r="P41" i="9"/>
  <c r="P40" i="9"/>
  <c r="H34" i="9"/>
  <c r="H33" i="9"/>
  <c r="H31" i="9"/>
  <c r="H30" i="9"/>
  <c r="P26" i="9"/>
  <c r="Q26" i="9" s="1"/>
  <c r="H20" i="9"/>
  <c r="H19" i="9"/>
  <c r="P18" i="9"/>
  <c r="P44" i="9"/>
  <c r="H39" i="9"/>
  <c r="H35" i="9"/>
  <c r="P25" i="9"/>
  <c r="P15" i="9"/>
  <c r="H43" i="9"/>
  <c r="H40" i="9"/>
  <c r="P37" i="9"/>
  <c r="H27" i="9"/>
  <c r="H24" i="9"/>
  <c r="P23" i="9"/>
  <c r="H16" i="9"/>
  <c r="P47" i="9"/>
  <c r="H46" i="9"/>
  <c r="H44" i="9"/>
  <c r="H42" i="9"/>
  <c r="H36" i="9"/>
  <c r="P34" i="9"/>
  <c r="P32" i="9"/>
  <c r="H28" i="9"/>
  <c r="H25" i="9"/>
  <c r="H22" i="9"/>
  <c r="P21" i="9"/>
  <c r="P17" i="9"/>
  <c r="H14" i="9"/>
  <c r="H12" i="9"/>
  <c r="X10" i="9"/>
  <c r="AA10" i="9" s="1"/>
  <c r="C12" i="9"/>
  <c r="G12" i="9" s="1"/>
  <c r="W14" i="9"/>
  <c r="C16" i="9"/>
  <c r="G16" i="9" s="1"/>
  <c r="C28" i="10"/>
  <c r="AC10" i="10"/>
  <c r="X10" i="10"/>
  <c r="Z8" i="11" s="1"/>
  <c r="AD8" i="11" s="1"/>
  <c r="AA23" i="10"/>
  <c r="AA25" i="10"/>
  <c r="W7" i="10"/>
  <c r="AB7" i="10" s="1"/>
  <c r="G28" i="10"/>
  <c r="G30" i="10"/>
  <c r="K31" i="10"/>
  <c r="J13" i="9"/>
  <c r="R13" i="9"/>
  <c r="I14" i="9"/>
  <c r="Q14" i="9"/>
  <c r="J24" i="9"/>
  <c r="L27" i="9"/>
  <c r="J30" i="9"/>
  <c r="R30" i="9"/>
  <c r="AB30" i="9"/>
  <c r="I31" i="9"/>
  <c r="Q31" i="9"/>
  <c r="I32" i="9"/>
  <c r="Q32" i="9"/>
  <c r="I36" i="9"/>
  <c r="Q36" i="9"/>
  <c r="I41" i="9"/>
  <c r="Q41" i="9"/>
  <c r="I42" i="9"/>
  <c r="I43" i="9"/>
  <c r="Q43" i="9"/>
  <c r="F45" i="9"/>
  <c r="N45" i="9"/>
  <c r="F46" i="9"/>
  <c r="N46" i="9"/>
  <c r="F11" i="9"/>
  <c r="N11" i="9"/>
  <c r="I19" i="9"/>
  <c r="I20" i="9"/>
  <c r="Q20" i="9"/>
  <c r="F27" i="9"/>
  <c r="N27" i="9"/>
  <c r="L30" i="9"/>
  <c r="AI7" i="9"/>
  <c r="AI8" i="9" s="1"/>
  <c r="Z10" i="9"/>
  <c r="F12" i="9"/>
  <c r="N12" i="9"/>
  <c r="J20" i="9"/>
  <c r="R20" i="9"/>
  <c r="F22" i="9"/>
  <c r="N22" i="9"/>
  <c r="L31" i="9"/>
  <c r="L32" i="9"/>
  <c r="L36" i="9"/>
  <c r="L41" i="9"/>
  <c r="L42" i="9"/>
  <c r="L43" i="9"/>
  <c r="Z11" i="9"/>
  <c r="I26" i="9"/>
  <c r="I28" i="9"/>
  <c r="Q28" i="9"/>
  <c r="I34" i="9"/>
  <c r="Q34" i="9"/>
  <c r="I38" i="9"/>
  <c r="Q38" i="9"/>
  <c r="I39" i="9"/>
  <c r="Q39" i="9"/>
  <c r="I45" i="9"/>
  <c r="Q45" i="9"/>
  <c r="I46" i="9"/>
  <c r="Q46" i="9"/>
  <c r="I11" i="9"/>
  <c r="Q11" i="9"/>
  <c r="L16" i="9"/>
  <c r="L17" i="9"/>
  <c r="L18" i="9"/>
  <c r="L19" i="9"/>
  <c r="L20" i="9"/>
  <c r="Q21" i="9"/>
  <c r="I27" i="9"/>
  <c r="Q27" i="9"/>
  <c r="I12" i="9"/>
  <c r="Q12" i="9"/>
  <c r="Z13" i="9"/>
  <c r="I22" i="9"/>
  <c r="Q22" i="9"/>
  <c r="I13" i="9"/>
  <c r="Q13" i="9"/>
  <c r="I24" i="9"/>
  <c r="Q24" i="9"/>
  <c r="L26" i="9"/>
  <c r="L28" i="9"/>
  <c r="L34" i="9"/>
  <c r="L38" i="9"/>
  <c r="L39" i="9"/>
  <c r="L45" i="9"/>
  <c r="Y21" i="8"/>
  <c r="AC19" i="8"/>
  <c r="AA17" i="8"/>
  <c r="Z17" i="8"/>
  <c r="F24" i="8"/>
  <c r="J24" i="8"/>
  <c r="Z15" i="8"/>
  <c r="L19" i="8"/>
  <c r="L20" i="8"/>
  <c r="D27" i="8"/>
  <c r="N28" i="8"/>
  <c r="F30" i="8"/>
  <c r="D31" i="8"/>
  <c r="L34" i="8"/>
  <c r="F39" i="8"/>
  <c r="F42" i="8"/>
  <c r="F45" i="8"/>
  <c r="U7" i="8"/>
  <c r="X7" i="8" s="1"/>
  <c r="AA15" i="8"/>
  <c r="F31" i="8"/>
  <c r="D34" i="8"/>
  <c r="M34" i="8"/>
  <c r="M34" i="9" s="1"/>
  <c r="L41" i="8"/>
  <c r="L43" i="8"/>
  <c r="L12" i="8"/>
  <c r="Z14" i="8"/>
  <c r="N20" i="8"/>
  <c r="L32" i="8"/>
  <c r="E34" i="8"/>
  <c r="E34" i="9" s="1"/>
  <c r="L38" i="8"/>
  <c r="D41" i="8"/>
  <c r="D43" i="8"/>
  <c r="F46" i="8"/>
  <c r="L11" i="8"/>
  <c r="Z13" i="8"/>
  <c r="L15" i="8"/>
  <c r="AC17" i="8"/>
  <c r="F20" i="8"/>
  <c r="O20" i="8"/>
  <c r="K24" i="8"/>
  <c r="K27" i="9" s="1"/>
  <c r="O27" i="9" s="1"/>
  <c r="Z25" i="8"/>
  <c r="L26" i="8"/>
  <c r="D32" i="8"/>
  <c r="N38" i="8"/>
  <c r="N11" i="8"/>
  <c r="L14" i="8"/>
  <c r="N15" i="8"/>
  <c r="D16" i="8"/>
  <c r="L17" i="8"/>
  <c r="D18" i="8"/>
  <c r="G20" i="8"/>
  <c r="L22" i="8"/>
  <c r="C24" i="8"/>
  <c r="C27" i="9" s="1"/>
  <c r="G27" i="9" s="1"/>
  <c r="L24" i="8"/>
  <c r="N26" i="8"/>
  <c r="L30" i="8"/>
  <c r="D38" i="8"/>
  <c r="L39" i="8"/>
  <c r="L42" i="8"/>
  <c r="N46" i="8"/>
  <c r="L10" i="8"/>
  <c r="L13" i="8"/>
  <c r="N14" i="8"/>
  <c r="L16" i="8"/>
  <c r="L18" i="8"/>
  <c r="R20" i="8"/>
  <c r="N22" i="8"/>
  <c r="D24" i="8"/>
  <c r="M24" i="8"/>
  <c r="M24" i="9" s="1"/>
  <c r="N24" i="9" s="1"/>
  <c r="L27" i="8"/>
  <c r="N30" i="8"/>
  <c r="L31" i="8"/>
  <c r="F38" i="8"/>
  <c r="N39" i="8"/>
  <c r="N42" i="8"/>
  <c r="L45" i="8"/>
  <c r="N10" i="8"/>
  <c r="N13" i="8"/>
  <c r="D15" i="8"/>
  <c r="J20" i="8"/>
  <c r="D22" i="8"/>
  <c r="N27" i="8"/>
  <c r="L28" i="8"/>
  <c r="N31" i="8"/>
  <c r="J11" i="7"/>
  <c r="R11" i="7"/>
  <c r="O13" i="7"/>
  <c r="J15" i="7"/>
  <c r="J22" i="7"/>
  <c r="R22" i="7"/>
  <c r="F38" i="7"/>
  <c r="E20" i="7"/>
  <c r="F30" i="7" s="1"/>
  <c r="M20" i="7"/>
  <c r="N10" i="7" s="1"/>
  <c r="G12" i="7"/>
  <c r="O12" i="7"/>
  <c r="E32" i="7"/>
  <c r="F32" i="7" s="1"/>
  <c r="N30" i="7"/>
  <c r="M32" i="7"/>
  <c r="G39" i="7"/>
  <c r="O39" i="7"/>
  <c r="L39" i="7"/>
  <c r="F42" i="7"/>
  <c r="G13" i="7"/>
  <c r="O15" i="7"/>
  <c r="H28" i="7"/>
  <c r="J26" i="7"/>
  <c r="P28" i="7"/>
  <c r="R26" i="7"/>
  <c r="J27" i="7"/>
  <c r="R27" i="7"/>
  <c r="G46" i="7"/>
  <c r="O46" i="7"/>
  <c r="G11" i="7"/>
  <c r="O11" i="7"/>
  <c r="F12" i="7"/>
  <c r="G22" i="7"/>
  <c r="O22" i="7"/>
  <c r="J31" i="7"/>
  <c r="R31" i="7"/>
  <c r="J38" i="7"/>
  <c r="R38" i="7"/>
  <c r="F39" i="7"/>
  <c r="N39" i="7"/>
  <c r="J10" i="7"/>
  <c r="H20" i="7"/>
  <c r="I38" i="7" s="1"/>
  <c r="R10" i="7"/>
  <c r="P20" i="7"/>
  <c r="Q26" i="7" s="1"/>
  <c r="G15" i="7"/>
  <c r="J30" i="7"/>
  <c r="H32" i="7"/>
  <c r="R30" i="7"/>
  <c r="P32" i="7"/>
  <c r="J42" i="7"/>
  <c r="R42" i="7"/>
  <c r="F46" i="7"/>
  <c r="N46" i="7"/>
  <c r="F11" i="7"/>
  <c r="R13" i="7"/>
  <c r="R15" i="7"/>
  <c r="F22" i="7"/>
  <c r="D26" i="7"/>
  <c r="C28" i="7"/>
  <c r="G26" i="7"/>
  <c r="K28" i="7"/>
  <c r="O26" i="7"/>
  <c r="G27" i="7"/>
  <c r="O27" i="7"/>
  <c r="J12" i="7"/>
  <c r="R12" i="7"/>
  <c r="J13" i="7"/>
  <c r="G31" i="7"/>
  <c r="O31" i="7"/>
  <c r="G38" i="7"/>
  <c r="O38" i="7"/>
  <c r="J39" i="7"/>
  <c r="Q39" i="7"/>
  <c r="R39" i="7"/>
  <c r="C20" i="7"/>
  <c r="D27" i="7" s="1"/>
  <c r="G10" i="7"/>
  <c r="D10" i="7"/>
  <c r="K20" i="7"/>
  <c r="L12" i="7" s="1"/>
  <c r="O10" i="7"/>
  <c r="E28" i="7"/>
  <c r="F26" i="7"/>
  <c r="M28" i="7"/>
  <c r="N26" i="7"/>
  <c r="F27" i="7"/>
  <c r="C32" i="7"/>
  <c r="G30" i="7"/>
  <c r="D30" i="7"/>
  <c r="K32" i="7"/>
  <c r="O30" i="7"/>
  <c r="L30" i="7"/>
  <c r="G42" i="7"/>
  <c r="O42" i="7"/>
  <c r="L42" i="7"/>
  <c r="J46" i="7"/>
  <c r="R46" i="7"/>
  <c r="Q46" i="7"/>
  <c r="Y21" i="7"/>
  <c r="AB19" i="7"/>
  <c r="V38" i="7"/>
  <c r="AB30" i="7"/>
  <c r="AA17" i="7"/>
  <c r="AD17" i="7"/>
  <c r="X38" i="7"/>
  <c r="V7" i="7"/>
  <c r="Y7" i="7" s="1"/>
  <c r="Z19" i="7"/>
  <c r="X7" i="7"/>
  <c r="AC7" i="7" s="1"/>
  <c r="AA11" i="7"/>
  <c r="AA23" i="7"/>
  <c r="AB11" i="7"/>
  <c r="P7" i="6"/>
  <c r="AB11" i="6"/>
  <c r="G15" i="6"/>
  <c r="O15" i="6"/>
  <c r="G12" i="6"/>
  <c r="O12" i="6"/>
  <c r="AB15" i="6"/>
  <c r="AI12" i="11" s="1"/>
  <c r="AB25" i="6"/>
  <c r="G26" i="6"/>
  <c r="O26" i="6"/>
  <c r="T11" i="6"/>
  <c r="T29" i="6"/>
  <c r="R26" i="6"/>
  <c r="AB27" i="6"/>
  <c r="AI21" i="11" s="1"/>
  <c r="AB13" i="6"/>
  <c r="AI10" i="11" s="1"/>
  <c r="O42" i="5"/>
  <c r="J22" i="5"/>
  <c r="I20" i="5"/>
  <c r="E28" i="5"/>
  <c r="K20" i="5"/>
  <c r="L42" i="5" s="1"/>
  <c r="E32" i="5"/>
  <c r="H20" i="5"/>
  <c r="I22" i="5" s="1"/>
  <c r="C20" i="5"/>
  <c r="D13" i="5" s="1"/>
  <c r="G10" i="5"/>
  <c r="G22" i="5"/>
  <c r="L22" i="5"/>
  <c r="O22" i="5"/>
  <c r="L32" i="5"/>
  <c r="G32" i="5"/>
  <c r="O32" i="5"/>
  <c r="G13" i="4"/>
  <c r="O13" i="4"/>
  <c r="AA23" i="4"/>
  <c r="O12" i="4"/>
  <c r="J17" i="4"/>
  <c r="U17" i="4"/>
  <c r="W17" i="6" s="1"/>
  <c r="G12" i="4"/>
  <c r="AC14" i="4"/>
  <c r="R17" i="4"/>
  <c r="O31" i="4"/>
  <c r="G38" i="4"/>
  <c r="O38" i="4"/>
  <c r="G39" i="4"/>
  <c r="O39" i="4"/>
  <c r="G42" i="4"/>
  <c r="O42" i="4"/>
  <c r="G46" i="4"/>
  <c r="O46" i="4"/>
  <c r="J10" i="4"/>
  <c r="H20" i="4"/>
  <c r="R10" i="4"/>
  <c r="P20" i="4"/>
  <c r="Q10" i="4" s="1"/>
  <c r="V17" i="4"/>
  <c r="X17" i="6" s="1"/>
  <c r="G14" i="4"/>
  <c r="O14" i="4"/>
  <c r="AC15" i="4"/>
  <c r="AC16" i="4"/>
  <c r="I18" i="4"/>
  <c r="J18" i="4"/>
  <c r="R18" i="4"/>
  <c r="J19" i="4"/>
  <c r="Z23" i="4"/>
  <c r="AA25" i="4"/>
  <c r="E28" i="4"/>
  <c r="M28" i="4"/>
  <c r="Z27" i="4"/>
  <c r="AA28" i="4"/>
  <c r="E32" i="4"/>
  <c r="F30" i="4"/>
  <c r="M32" i="4"/>
  <c r="G15" i="4"/>
  <c r="R22" i="4"/>
  <c r="Q22" i="4"/>
  <c r="Z28" i="4"/>
  <c r="Z11" i="4"/>
  <c r="X17" i="4"/>
  <c r="AA13" i="4"/>
  <c r="Z13" i="4"/>
  <c r="G16" i="4"/>
  <c r="G17" i="4"/>
  <c r="O17" i="4"/>
  <c r="O19" i="4"/>
  <c r="AA11" i="4"/>
  <c r="W17" i="4"/>
  <c r="Y17" i="6" s="1"/>
  <c r="AG14" i="11" s="1"/>
  <c r="O16" i="4"/>
  <c r="C20" i="4"/>
  <c r="D15" i="4" s="1"/>
  <c r="G10" i="4"/>
  <c r="K20" i="4"/>
  <c r="L13" i="4" s="1"/>
  <c r="O10" i="4"/>
  <c r="J11" i="4"/>
  <c r="I11" i="4"/>
  <c r="R11" i="4"/>
  <c r="Q11" i="4"/>
  <c r="Y17" i="4"/>
  <c r="AA14" i="4"/>
  <c r="Z14" i="4"/>
  <c r="G18" i="4"/>
  <c r="O18" i="4"/>
  <c r="D19" i="4"/>
  <c r="G19" i="4"/>
  <c r="AC23" i="4"/>
  <c r="J26" i="4"/>
  <c r="I26" i="4"/>
  <c r="H28" i="4"/>
  <c r="R26" i="4"/>
  <c r="Q26" i="4"/>
  <c r="P28" i="4"/>
  <c r="J27" i="4"/>
  <c r="I27" i="4"/>
  <c r="R27" i="4"/>
  <c r="Q27" i="4"/>
  <c r="AC27" i="4"/>
  <c r="J30" i="4"/>
  <c r="H32" i="4"/>
  <c r="I30" i="4"/>
  <c r="R30" i="4"/>
  <c r="P32" i="4"/>
  <c r="Q30" i="4"/>
  <c r="J12" i="4"/>
  <c r="I12" i="4"/>
  <c r="R12" i="4"/>
  <c r="Q12" i="4"/>
  <c r="J13" i="4"/>
  <c r="I13" i="4"/>
  <c r="R13" i="4"/>
  <c r="Q13" i="4"/>
  <c r="Z15" i="4"/>
  <c r="AA15" i="4"/>
  <c r="Z16" i="4"/>
  <c r="AA16" i="4"/>
  <c r="D22" i="4"/>
  <c r="G22" i="4"/>
  <c r="L22" i="4"/>
  <c r="O22" i="4"/>
  <c r="AC25" i="4"/>
  <c r="AC28" i="4"/>
  <c r="J31" i="4"/>
  <c r="I31" i="4"/>
  <c r="R31" i="4"/>
  <c r="Q31" i="4"/>
  <c r="J38" i="4"/>
  <c r="I38" i="4"/>
  <c r="R38" i="4"/>
  <c r="Q38" i="4"/>
  <c r="J39" i="4"/>
  <c r="I39" i="4"/>
  <c r="R39" i="4"/>
  <c r="Q39" i="4"/>
  <c r="J42" i="4"/>
  <c r="I42" i="4"/>
  <c r="R42" i="4"/>
  <c r="Q42" i="4"/>
  <c r="J46" i="4"/>
  <c r="I46" i="4"/>
  <c r="R46" i="4"/>
  <c r="Q46" i="4"/>
  <c r="J22" i="4"/>
  <c r="I22" i="4"/>
  <c r="I20" i="4"/>
  <c r="E20" i="4"/>
  <c r="F11" i="4" s="1"/>
  <c r="M20" i="4"/>
  <c r="N12" i="4" s="1"/>
  <c r="AC11" i="4"/>
  <c r="I14" i="4"/>
  <c r="J14" i="4"/>
  <c r="Q14" i="4"/>
  <c r="R14" i="4"/>
  <c r="F18" i="4"/>
  <c r="N18" i="4"/>
  <c r="G31" i="4"/>
  <c r="D31" i="4"/>
  <c r="O15" i="4"/>
  <c r="L15" i="4"/>
  <c r="Z25" i="4"/>
  <c r="N38" i="4"/>
  <c r="G11" i="4"/>
  <c r="D11" i="4"/>
  <c r="O11" i="4"/>
  <c r="AB17" i="4"/>
  <c r="AC13" i="4"/>
  <c r="J15" i="4"/>
  <c r="I15" i="4"/>
  <c r="R15" i="4"/>
  <c r="Q15" i="4"/>
  <c r="J16" i="4"/>
  <c r="I16" i="4"/>
  <c r="R16" i="4"/>
  <c r="Q16" i="4"/>
  <c r="F22" i="4"/>
  <c r="N22" i="4"/>
  <c r="C28" i="4"/>
  <c r="G26" i="4"/>
  <c r="D26" i="4"/>
  <c r="K28" i="4"/>
  <c r="O26" i="4"/>
  <c r="G27" i="4"/>
  <c r="D27" i="4"/>
  <c r="O27" i="4"/>
  <c r="G30" i="4"/>
  <c r="C32" i="4"/>
  <c r="D30" i="4"/>
  <c r="O30" i="4"/>
  <c r="K32" i="4"/>
  <c r="U7" i="4"/>
  <c r="X7" i="4" s="1"/>
  <c r="L7" i="4"/>
  <c r="O19" i="3"/>
  <c r="O42" i="3"/>
  <c r="G42" i="3"/>
  <c r="K20" i="3"/>
  <c r="L42" i="3" s="1"/>
  <c r="O10" i="3"/>
  <c r="I20" i="3"/>
  <c r="J22" i="3"/>
  <c r="G31" i="3"/>
  <c r="G38" i="3"/>
  <c r="O12" i="3"/>
  <c r="J14" i="3"/>
  <c r="R15" i="3"/>
  <c r="Q15" i="3"/>
  <c r="R22" i="3"/>
  <c r="O31" i="3"/>
  <c r="O38" i="3"/>
  <c r="L38" i="3"/>
  <c r="G19" i="3"/>
  <c r="P20" i="3"/>
  <c r="R10" i="3"/>
  <c r="Q10" i="3"/>
  <c r="G13" i="3"/>
  <c r="G39" i="3"/>
  <c r="H20" i="3"/>
  <c r="H20" i="6" s="1"/>
  <c r="I38" i="6" s="1"/>
  <c r="J10" i="3"/>
  <c r="O39" i="3"/>
  <c r="J15" i="3"/>
  <c r="G12" i="3"/>
  <c r="G46" i="3"/>
  <c r="C20" i="3"/>
  <c r="D13" i="3" s="1"/>
  <c r="G10" i="3"/>
  <c r="O13" i="3"/>
  <c r="L13" i="3"/>
  <c r="O46" i="3"/>
  <c r="L46" i="3"/>
  <c r="M32" i="3"/>
  <c r="J17" i="3"/>
  <c r="R17" i="3"/>
  <c r="Q17" i="3"/>
  <c r="J26" i="3"/>
  <c r="H28" i="3"/>
  <c r="H28" i="6" s="1"/>
  <c r="I26" i="3"/>
  <c r="R26" i="3"/>
  <c r="P28" i="3"/>
  <c r="Q26" i="3"/>
  <c r="J27" i="3"/>
  <c r="R27" i="3"/>
  <c r="Q27" i="3"/>
  <c r="E32" i="3"/>
  <c r="J11" i="3"/>
  <c r="I11" i="3"/>
  <c r="R11" i="3"/>
  <c r="Q11" i="3"/>
  <c r="G14" i="3"/>
  <c r="D14" i="3"/>
  <c r="O14" i="3"/>
  <c r="L14" i="3"/>
  <c r="G15" i="3"/>
  <c r="D15" i="3"/>
  <c r="O15" i="3"/>
  <c r="L15" i="3"/>
  <c r="L16" i="3"/>
  <c r="G22" i="3"/>
  <c r="D22" i="3"/>
  <c r="O22" i="3"/>
  <c r="L22" i="3"/>
  <c r="R18" i="3"/>
  <c r="Q18" i="3"/>
  <c r="J30" i="3"/>
  <c r="H32" i="3"/>
  <c r="I30" i="3"/>
  <c r="R30" i="3"/>
  <c r="P32" i="3"/>
  <c r="Q30" i="3"/>
  <c r="J18" i="3"/>
  <c r="I18" i="3"/>
  <c r="J12" i="3"/>
  <c r="I12" i="3"/>
  <c r="R12" i="3"/>
  <c r="Q12" i="3"/>
  <c r="D16" i="3"/>
  <c r="G16" i="3"/>
  <c r="D17" i="3"/>
  <c r="G17" i="3"/>
  <c r="L17" i="3"/>
  <c r="O17" i="3"/>
  <c r="J19" i="3"/>
  <c r="I19" i="3"/>
  <c r="R19" i="3"/>
  <c r="Q19" i="3"/>
  <c r="C28" i="3"/>
  <c r="D26" i="3"/>
  <c r="G26" i="3"/>
  <c r="K28" i="3"/>
  <c r="L26" i="3"/>
  <c r="O26" i="3"/>
  <c r="D27" i="3"/>
  <c r="G27" i="3"/>
  <c r="L27" i="3"/>
  <c r="O27" i="3"/>
  <c r="J31" i="3"/>
  <c r="I31" i="3"/>
  <c r="R31" i="3"/>
  <c r="Q31" i="3"/>
  <c r="J38" i="3"/>
  <c r="I38" i="3"/>
  <c r="R38" i="3"/>
  <c r="Q38" i="3"/>
  <c r="J39" i="3"/>
  <c r="I39" i="3"/>
  <c r="R39" i="3"/>
  <c r="Q39" i="3"/>
  <c r="J42" i="3"/>
  <c r="I42" i="3"/>
  <c r="R42" i="3"/>
  <c r="Q42" i="3"/>
  <c r="J46" i="3"/>
  <c r="I46" i="3"/>
  <c r="R46" i="3"/>
  <c r="Q46" i="3"/>
  <c r="E20" i="3"/>
  <c r="F11" i="3" s="1"/>
  <c r="D11" i="3"/>
  <c r="G11" i="3"/>
  <c r="L11" i="3"/>
  <c r="O11" i="3"/>
  <c r="I13" i="3"/>
  <c r="J13" i="3"/>
  <c r="Q13" i="3"/>
  <c r="R13" i="3"/>
  <c r="G18" i="3"/>
  <c r="D18" i="3"/>
  <c r="O18" i="3"/>
  <c r="L18" i="3"/>
  <c r="E28" i="3"/>
  <c r="M28" i="3"/>
  <c r="G30" i="3"/>
  <c r="D30" i="3"/>
  <c r="C32" i="3"/>
  <c r="O30" i="3"/>
  <c r="K32" i="3"/>
  <c r="L30" i="3"/>
  <c r="Z10" i="3"/>
  <c r="AA11" i="3"/>
  <c r="U17" i="3"/>
  <c r="U19" i="3" s="1"/>
  <c r="U21" i="3" s="1"/>
  <c r="AA14" i="3"/>
  <c r="Z14" i="3"/>
  <c r="AC25" i="3"/>
  <c r="Z25" i="3"/>
  <c r="Z11" i="3"/>
  <c r="P7" i="3"/>
  <c r="AC10" i="3"/>
  <c r="AA13" i="3"/>
  <c r="Z13" i="3"/>
  <c r="V21" i="3"/>
  <c r="V30" i="3" s="1"/>
  <c r="AC11" i="3"/>
  <c r="R27" i="5" l="1"/>
  <c r="J27" i="5"/>
  <c r="P28" i="5"/>
  <c r="R26" i="5"/>
  <c r="H28" i="5"/>
  <c r="J26" i="5"/>
  <c r="R30" i="5"/>
  <c r="P32" i="5"/>
  <c r="J38" i="5"/>
  <c r="I38" i="5"/>
  <c r="R38" i="5"/>
  <c r="Q38" i="5"/>
  <c r="J31" i="5"/>
  <c r="R22" i="5"/>
  <c r="J39" i="5"/>
  <c r="R31" i="5"/>
  <c r="R13" i="5"/>
  <c r="P20" i="5"/>
  <c r="Q27" i="5" s="1"/>
  <c r="H32" i="5"/>
  <c r="J30" i="5"/>
  <c r="R39" i="5"/>
  <c r="Q39" i="5"/>
  <c r="H24" i="10"/>
  <c r="R10" i="10"/>
  <c r="P20" i="10"/>
  <c r="Q39" i="10" s="1"/>
  <c r="P24" i="10"/>
  <c r="R19" i="10"/>
  <c r="R39" i="10"/>
  <c r="J39" i="10"/>
  <c r="R38" i="10"/>
  <c r="Q38" i="10"/>
  <c r="J38" i="10"/>
  <c r="R31" i="10"/>
  <c r="P32" i="10"/>
  <c r="J31" i="10"/>
  <c r="H32" i="10"/>
  <c r="O13" i="5"/>
  <c r="G13" i="5"/>
  <c r="J13" i="5"/>
  <c r="E20" i="5"/>
  <c r="M20" i="5"/>
  <c r="D42" i="5"/>
  <c r="G42" i="5"/>
  <c r="M16" i="3"/>
  <c r="D46" i="5"/>
  <c r="G46" i="5"/>
  <c r="M28" i="5"/>
  <c r="M34" i="5" s="1"/>
  <c r="M32" i="5"/>
  <c r="O46" i="5"/>
  <c r="L27" i="5"/>
  <c r="O27" i="5"/>
  <c r="G27" i="5"/>
  <c r="O26" i="5"/>
  <c r="L26" i="5"/>
  <c r="K28" i="5"/>
  <c r="G26" i="5"/>
  <c r="D26" i="5"/>
  <c r="C28" i="5"/>
  <c r="U28" i="10"/>
  <c r="U10" i="10"/>
  <c r="W8" i="11" s="1"/>
  <c r="Y8" i="11"/>
  <c r="AH8" i="11"/>
  <c r="X16" i="10"/>
  <c r="Y17" i="10"/>
  <c r="AC16" i="10"/>
  <c r="C39" i="10"/>
  <c r="G39" i="10" s="1"/>
  <c r="I39" i="10"/>
  <c r="M32" i="10"/>
  <c r="M34" i="10" s="1"/>
  <c r="C31" i="10"/>
  <c r="I31" i="10"/>
  <c r="E32" i="10"/>
  <c r="U16" i="10"/>
  <c r="U17" i="10" s="1"/>
  <c r="V17" i="10"/>
  <c r="AC11" i="10"/>
  <c r="Z11" i="10"/>
  <c r="X11" i="10"/>
  <c r="Y19" i="10"/>
  <c r="AC28" i="10"/>
  <c r="X28" i="10"/>
  <c r="AA28" i="10" s="1"/>
  <c r="C19" i="10"/>
  <c r="I19" i="10"/>
  <c r="E24" i="10"/>
  <c r="V19" i="10"/>
  <c r="V21" i="10" s="1"/>
  <c r="V30" i="10" s="1"/>
  <c r="U11" i="10"/>
  <c r="K19" i="10"/>
  <c r="K24" i="10" s="1"/>
  <c r="M24" i="10"/>
  <c r="K10" i="10"/>
  <c r="M20" i="10"/>
  <c r="C10" i="10"/>
  <c r="I10" i="10"/>
  <c r="E20" i="10"/>
  <c r="P31" i="11"/>
  <c r="H31" i="11"/>
  <c r="AC17" i="4"/>
  <c r="AB17" i="3"/>
  <c r="AD17" i="6"/>
  <c r="AA17" i="4"/>
  <c r="Z17" i="6"/>
  <c r="Z19" i="6" s="1"/>
  <c r="AC19" i="6" s="1"/>
  <c r="L46" i="4"/>
  <c r="O36" i="9"/>
  <c r="R58" i="7" s="1"/>
  <c r="N58" i="7"/>
  <c r="J38" i="9"/>
  <c r="F38" i="9"/>
  <c r="M19" i="11"/>
  <c r="R19" i="9"/>
  <c r="G34" i="8"/>
  <c r="C42" i="9"/>
  <c r="G42" i="9" s="1"/>
  <c r="N32" i="9"/>
  <c r="R32" i="9"/>
  <c r="Y22" i="11"/>
  <c r="AH22" i="11"/>
  <c r="AE11" i="6"/>
  <c r="AA9" i="11"/>
  <c r="AA21" i="11"/>
  <c r="AE27" i="6"/>
  <c r="Z9" i="11"/>
  <c r="AC11" i="6"/>
  <c r="AH11" i="11"/>
  <c r="Y11" i="11"/>
  <c r="Y21" i="11"/>
  <c r="AH21" i="11"/>
  <c r="G18" i="6"/>
  <c r="C18" i="11"/>
  <c r="E20" i="6"/>
  <c r="E10" i="11"/>
  <c r="J38" i="6"/>
  <c r="H38" i="11"/>
  <c r="E22" i="11"/>
  <c r="P12" i="11"/>
  <c r="K16" i="11"/>
  <c r="O16" i="6"/>
  <c r="J11" i="6"/>
  <c r="H11" i="11"/>
  <c r="M39" i="11"/>
  <c r="P28" i="6"/>
  <c r="P26" i="11"/>
  <c r="O13" i="6"/>
  <c r="K13" i="11"/>
  <c r="G39" i="6"/>
  <c r="C39" i="11"/>
  <c r="K12" i="11"/>
  <c r="L19" i="3"/>
  <c r="U19" i="4"/>
  <c r="U21" i="4" s="1"/>
  <c r="U30" i="4" s="1"/>
  <c r="F32" i="4"/>
  <c r="D32" i="5"/>
  <c r="I42" i="6"/>
  <c r="I18" i="6"/>
  <c r="I26" i="6"/>
  <c r="I14" i="6"/>
  <c r="L27" i="7"/>
  <c r="L22" i="7"/>
  <c r="L46" i="7"/>
  <c r="I16" i="9"/>
  <c r="W30" i="9"/>
  <c r="J26" i="9"/>
  <c r="F26" i="9"/>
  <c r="R39" i="9"/>
  <c r="N39" i="9"/>
  <c r="N31" i="9"/>
  <c r="R31" i="9"/>
  <c r="L46" i="9"/>
  <c r="L15" i="9"/>
  <c r="O20" i="9"/>
  <c r="L21" i="9"/>
  <c r="L24" i="9"/>
  <c r="L22" i="9"/>
  <c r="L12" i="9"/>
  <c r="L11" i="9"/>
  <c r="L10" i="9"/>
  <c r="L14" i="9"/>
  <c r="L13" i="9"/>
  <c r="K31" i="11"/>
  <c r="AE13" i="6"/>
  <c r="AA10" i="11"/>
  <c r="AE10" i="11" s="1"/>
  <c r="W20" i="11"/>
  <c r="AB19" i="3"/>
  <c r="Z22" i="11"/>
  <c r="AD22" i="11" s="1"/>
  <c r="AC28" i="6"/>
  <c r="Y19" i="6"/>
  <c r="AG15" i="11" s="1"/>
  <c r="X9" i="11"/>
  <c r="AG9" i="11"/>
  <c r="W10" i="11"/>
  <c r="K33" i="6"/>
  <c r="O30" i="6"/>
  <c r="M17" i="11"/>
  <c r="R46" i="6"/>
  <c r="P46" i="11"/>
  <c r="H19" i="11"/>
  <c r="I12" i="6"/>
  <c r="H12" i="11"/>
  <c r="K15" i="11"/>
  <c r="J12" i="6"/>
  <c r="E12" i="11"/>
  <c r="J12" i="11" s="1"/>
  <c r="T27" i="6"/>
  <c r="E39" i="11"/>
  <c r="J26" i="6"/>
  <c r="H26" i="11"/>
  <c r="E11" i="11"/>
  <c r="G13" i="6"/>
  <c r="C13" i="11"/>
  <c r="G38" i="6"/>
  <c r="C38" i="11"/>
  <c r="L11" i="4"/>
  <c r="Z17" i="4"/>
  <c r="AA17" i="6"/>
  <c r="L17" i="4"/>
  <c r="AH14" i="11"/>
  <c r="L31" i="4"/>
  <c r="I30" i="6"/>
  <c r="J20" i="6"/>
  <c r="L31" i="7"/>
  <c r="L13" i="7"/>
  <c r="R24" i="9"/>
  <c r="AC15" i="9"/>
  <c r="AC25" i="9"/>
  <c r="AK24" i="11"/>
  <c r="F15" i="9"/>
  <c r="J15" i="9"/>
  <c r="R27" i="9"/>
  <c r="J27" i="9"/>
  <c r="R28" i="9"/>
  <c r="N28" i="9"/>
  <c r="X19" i="8"/>
  <c r="C31" i="11"/>
  <c r="W19" i="6"/>
  <c r="W9" i="11"/>
  <c r="W12" i="11"/>
  <c r="AC16" i="6"/>
  <c r="AC23" i="3"/>
  <c r="AC14" i="6"/>
  <c r="Z11" i="11"/>
  <c r="AD11" i="11" s="1"/>
  <c r="AB14" i="6"/>
  <c r="AI11" i="11" s="1"/>
  <c r="Y13" i="11"/>
  <c r="AH13" i="11"/>
  <c r="AA19" i="6"/>
  <c r="AK9" i="11"/>
  <c r="AB9" i="11"/>
  <c r="AE16" i="6"/>
  <c r="C30" i="11"/>
  <c r="G30" i="6"/>
  <c r="C33" i="6"/>
  <c r="E17" i="11"/>
  <c r="J46" i="6"/>
  <c r="H46" i="11"/>
  <c r="K17" i="11"/>
  <c r="O17" i="6"/>
  <c r="J18" i="6"/>
  <c r="H18" i="11"/>
  <c r="C15" i="11"/>
  <c r="E30" i="11"/>
  <c r="E33" i="6"/>
  <c r="T21" i="6"/>
  <c r="M38" i="11"/>
  <c r="R17" i="6"/>
  <c r="P17" i="11"/>
  <c r="C20" i="6"/>
  <c r="C10" i="11"/>
  <c r="G10" i="6"/>
  <c r="P10" i="11"/>
  <c r="R10" i="6"/>
  <c r="G32" i="6"/>
  <c r="I28" i="6"/>
  <c r="L39" i="3"/>
  <c r="L27" i="4"/>
  <c r="D10" i="4"/>
  <c r="F46" i="4"/>
  <c r="Q18" i="4"/>
  <c r="W19" i="4"/>
  <c r="W21" i="4" s="1"/>
  <c r="I39" i="6"/>
  <c r="I13" i="6"/>
  <c r="D22" i="7"/>
  <c r="N32" i="7"/>
  <c r="F10" i="7"/>
  <c r="I18" i="9"/>
  <c r="Z16" i="9"/>
  <c r="AA16" i="9"/>
  <c r="R26" i="9"/>
  <c r="N26" i="9"/>
  <c r="AC27" i="9"/>
  <c r="AK26" i="11"/>
  <c r="R46" i="9"/>
  <c r="F16" i="9"/>
  <c r="J16" i="9"/>
  <c r="J28" i="9"/>
  <c r="F28" i="9"/>
  <c r="N14" i="9"/>
  <c r="R14" i="9"/>
  <c r="U19" i="9"/>
  <c r="U21" i="8"/>
  <c r="M7" i="8"/>
  <c r="V7" i="8" s="1"/>
  <c r="Y7" i="8" s="1"/>
  <c r="E7" i="9"/>
  <c r="M7" i="9" s="1"/>
  <c r="V7" i="9" s="1"/>
  <c r="Y7" i="9" s="1"/>
  <c r="Y19" i="11"/>
  <c r="AH19" i="11"/>
  <c r="AA16" i="3"/>
  <c r="Z16" i="3"/>
  <c r="AA19" i="11"/>
  <c r="AE23" i="6"/>
  <c r="Y17" i="3"/>
  <c r="AB28" i="6"/>
  <c r="AB22" i="11"/>
  <c r="AC22" i="11" s="1"/>
  <c r="AK22" i="11"/>
  <c r="AA12" i="11"/>
  <c r="AE12" i="11" s="1"/>
  <c r="AE15" i="6"/>
  <c r="M27" i="11"/>
  <c r="R13" i="6"/>
  <c r="P13" i="11"/>
  <c r="R42" i="6"/>
  <c r="P42" i="11"/>
  <c r="K27" i="11"/>
  <c r="O27" i="6"/>
  <c r="G17" i="6"/>
  <c r="C17" i="11"/>
  <c r="P30" i="11"/>
  <c r="P33" i="6"/>
  <c r="R30" i="6"/>
  <c r="O14" i="6"/>
  <c r="K14" i="11"/>
  <c r="E18" i="11"/>
  <c r="T26" i="6"/>
  <c r="E38" i="11"/>
  <c r="J17" i="6"/>
  <c r="H17" i="11"/>
  <c r="I17" i="6"/>
  <c r="G46" i="6"/>
  <c r="C46" i="11"/>
  <c r="O38" i="6"/>
  <c r="J22" i="6"/>
  <c r="H22" i="11"/>
  <c r="F19" i="4"/>
  <c r="L18" i="4"/>
  <c r="F31" i="4"/>
  <c r="L46" i="5"/>
  <c r="Q27" i="7"/>
  <c r="R34" i="9"/>
  <c r="N34" i="9"/>
  <c r="P19" i="11"/>
  <c r="R38" i="9"/>
  <c r="N38" i="9"/>
  <c r="G36" i="9"/>
  <c r="C58" i="7"/>
  <c r="G43" i="9"/>
  <c r="C64" i="7"/>
  <c r="AC16" i="9"/>
  <c r="Y19" i="9"/>
  <c r="E16" i="11"/>
  <c r="AI8" i="11"/>
  <c r="K7" i="8"/>
  <c r="C7" i="9"/>
  <c r="W7" i="3"/>
  <c r="AB7" i="3" s="1"/>
  <c r="H7" i="8"/>
  <c r="Y20" i="11"/>
  <c r="AB20" i="11"/>
  <c r="AK20" i="11"/>
  <c r="AB16" i="6"/>
  <c r="AB13" i="11"/>
  <c r="AK13" i="11"/>
  <c r="AA22" i="11"/>
  <c r="AE22" i="11" s="1"/>
  <c r="AE28" i="6"/>
  <c r="AA15" i="3"/>
  <c r="Z15" i="3"/>
  <c r="X13" i="11"/>
  <c r="AG13" i="11"/>
  <c r="AB10" i="11"/>
  <c r="AK10" i="11"/>
  <c r="Y12" i="11"/>
  <c r="AH12" i="11"/>
  <c r="Z28" i="3"/>
  <c r="AK21" i="11"/>
  <c r="AB21" i="11"/>
  <c r="AC21" i="11" s="1"/>
  <c r="AC15" i="3"/>
  <c r="X22" i="11"/>
  <c r="AG22" i="11"/>
  <c r="E27" i="11"/>
  <c r="T19" i="6"/>
  <c r="J13" i="6"/>
  <c r="H13" i="11"/>
  <c r="J42" i="6"/>
  <c r="H42" i="11"/>
  <c r="C27" i="11"/>
  <c r="G27" i="6"/>
  <c r="C16" i="11"/>
  <c r="G16" i="11" s="1"/>
  <c r="G16" i="6"/>
  <c r="H30" i="11"/>
  <c r="H33" i="6"/>
  <c r="H34" i="6" s="1"/>
  <c r="J30" i="6"/>
  <c r="G14" i="6"/>
  <c r="C14" i="11"/>
  <c r="M46" i="11"/>
  <c r="R12" i="6"/>
  <c r="M12" i="11"/>
  <c r="R12" i="11" s="1"/>
  <c r="C12" i="11"/>
  <c r="O32" i="6"/>
  <c r="M11" i="11"/>
  <c r="I27" i="3"/>
  <c r="L12" i="3"/>
  <c r="L10" i="3"/>
  <c r="L30" i="4"/>
  <c r="L39" i="4"/>
  <c r="L10" i="7"/>
  <c r="L26" i="7"/>
  <c r="D15" i="7"/>
  <c r="D13" i="7"/>
  <c r="J34" i="9"/>
  <c r="F34" i="9"/>
  <c r="Q30" i="9"/>
  <c r="Q18" i="9"/>
  <c r="Q17" i="9"/>
  <c r="Q19" i="9"/>
  <c r="Q16" i="9"/>
  <c r="Q15" i="9"/>
  <c r="T6" i="8"/>
  <c r="B6" i="9"/>
  <c r="N15" i="9"/>
  <c r="R15" i="9"/>
  <c r="F17" i="9"/>
  <c r="J17" i="9"/>
  <c r="F18" i="9"/>
  <c r="J18" i="9"/>
  <c r="J45" i="9"/>
  <c r="J46" i="9"/>
  <c r="J39" i="9"/>
  <c r="F39" i="9"/>
  <c r="Z15" i="9"/>
  <c r="AA15" i="9"/>
  <c r="R12" i="9"/>
  <c r="J10" i="9"/>
  <c r="F10" i="9"/>
  <c r="R11" i="9"/>
  <c r="M31" i="11"/>
  <c r="AC15" i="6"/>
  <c r="Z12" i="11"/>
  <c r="X10" i="11"/>
  <c r="AG10" i="11"/>
  <c r="AG11" i="11"/>
  <c r="X11" i="11"/>
  <c r="AC25" i="6"/>
  <c r="AC14" i="3"/>
  <c r="Z19" i="11"/>
  <c r="AD19" i="11" s="1"/>
  <c r="AC23" i="6"/>
  <c r="M28" i="6"/>
  <c r="M26" i="11"/>
  <c r="M28" i="11" s="1"/>
  <c r="O11" i="6"/>
  <c r="K11" i="11"/>
  <c r="R39" i="6"/>
  <c r="P39" i="11"/>
  <c r="K28" i="6"/>
  <c r="M15" i="11"/>
  <c r="R18" i="6"/>
  <c r="P18" i="11"/>
  <c r="M13" i="11"/>
  <c r="T32" i="6"/>
  <c r="E46" i="11"/>
  <c r="M30" i="11"/>
  <c r="M32" i="11" s="1"/>
  <c r="M33" i="6"/>
  <c r="J15" i="6"/>
  <c r="H15" i="11"/>
  <c r="R22" i="6"/>
  <c r="P22" i="11"/>
  <c r="K20" i="6"/>
  <c r="L12" i="6" s="1"/>
  <c r="K10" i="11"/>
  <c r="O10" i="6"/>
  <c r="U30" i="3"/>
  <c r="AA30" i="3" s="1"/>
  <c r="W21" i="6"/>
  <c r="W30" i="6" s="1"/>
  <c r="I32" i="6"/>
  <c r="I20" i="6"/>
  <c r="D18" i="4"/>
  <c r="F26" i="4"/>
  <c r="I46" i="6"/>
  <c r="I27" i="6"/>
  <c r="AI9" i="11"/>
  <c r="Q12" i="7"/>
  <c r="L11" i="7"/>
  <c r="Q22" i="7"/>
  <c r="F32" i="9"/>
  <c r="J32" i="9"/>
  <c r="H16" i="11"/>
  <c r="F19" i="9"/>
  <c r="J19" i="9"/>
  <c r="E19" i="11"/>
  <c r="AC17" i="9"/>
  <c r="F31" i="9"/>
  <c r="J31" i="9"/>
  <c r="N42" i="9"/>
  <c r="R42" i="9"/>
  <c r="O19" i="9"/>
  <c r="K19" i="11"/>
  <c r="C19" i="11"/>
  <c r="G19" i="9"/>
  <c r="F42" i="9"/>
  <c r="J42" i="9"/>
  <c r="V21" i="9"/>
  <c r="V30" i="9" s="1"/>
  <c r="Z14" i="9"/>
  <c r="Z13" i="11" s="1"/>
  <c r="AD13" i="11" s="1"/>
  <c r="AA14" i="9"/>
  <c r="AA13" i="11" s="1"/>
  <c r="AE13" i="11" s="1"/>
  <c r="J12" i="9"/>
  <c r="Y21" i="9"/>
  <c r="AH20" i="11" s="1"/>
  <c r="E31" i="11"/>
  <c r="X19" i="11"/>
  <c r="AG19" i="11"/>
  <c r="W22" i="11"/>
  <c r="AB12" i="11"/>
  <c r="AK12" i="11"/>
  <c r="W17" i="3"/>
  <c r="W19" i="3" s="1"/>
  <c r="W13" i="11"/>
  <c r="AE14" i="6"/>
  <c r="AA11" i="11"/>
  <c r="E28" i="6"/>
  <c r="J28" i="6" s="1"/>
  <c r="E26" i="11"/>
  <c r="E28" i="11" s="1"/>
  <c r="T13" i="6"/>
  <c r="G11" i="6"/>
  <c r="C11" i="11"/>
  <c r="J39" i="6"/>
  <c r="H39" i="11"/>
  <c r="D26" i="6"/>
  <c r="C26" i="11"/>
  <c r="C28" i="6"/>
  <c r="E15" i="11"/>
  <c r="O22" i="6"/>
  <c r="K22" i="11"/>
  <c r="E13" i="11"/>
  <c r="M42" i="11"/>
  <c r="R27" i="6"/>
  <c r="P27" i="11"/>
  <c r="M18" i="11"/>
  <c r="O39" i="6"/>
  <c r="R15" i="6"/>
  <c r="P15" i="11"/>
  <c r="G42" i="6"/>
  <c r="C42" i="11"/>
  <c r="I17" i="3"/>
  <c r="L31" i="3"/>
  <c r="L26" i="4"/>
  <c r="F15" i="4"/>
  <c r="X19" i="4"/>
  <c r="AA19" i="4" s="1"/>
  <c r="V19" i="4"/>
  <c r="V21" i="4" s="1"/>
  <c r="V30" i="4" s="1"/>
  <c r="I22" i="6"/>
  <c r="I15" i="6"/>
  <c r="I11" i="6"/>
  <c r="L38" i="7"/>
  <c r="I30" i="9"/>
  <c r="I15" i="9"/>
  <c r="I16" i="6"/>
  <c r="R45" i="9"/>
  <c r="F14" i="9"/>
  <c r="J14" i="9"/>
  <c r="I10" i="9"/>
  <c r="Q10" i="9"/>
  <c r="AB10" i="6"/>
  <c r="AB8" i="11"/>
  <c r="AC8" i="11" s="1"/>
  <c r="AK8" i="11"/>
  <c r="R10" i="9"/>
  <c r="N10" i="9"/>
  <c r="R16" i="3"/>
  <c r="P16" i="6"/>
  <c r="AE25" i="6"/>
  <c r="AB11" i="11"/>
  <c r="AC11" i="11" s="1"/>
  <c r="AK11" i="11"/>
  <c r="AG12" i="11"/>
  <c r="X12" i="11"/>
  <c r="X19" i="3"/>
  <c r="AC13" i="6"/>
  <c r="Z10" i="11"/>
  <c r="AB23" i="6"/>
  <c r="AI19" i="11" s="1"/>
  <c r="AK19" i="11"/>
  <c r="AB19" i="11"/>
  <c r="Y10" i="11"/>
  <c r="AH10" i="11"/>
  <c r="X19" i="6"/>
  <c r="Y9" i="11"/>
  <c r="AH9" i="11"/>
  <c r="O18" i="6"/>
  <c r="K18" i="11"/>
  <c r="M10" i="11"/>
  <c r="R38" i="6"/>
  <c r="P38" i="11"/>
  <c r="M22" i="11"/>
  <c r="E14" i="11"/>
  <c r="G22" i="6"/>
  <c r="C22" i="11"/>
  <c r="R11" i="6"/>
  <c r="P11" i="11"/>
  <c r="E42" i="11"/>
  <c r="J27" i="6"/>
  <c r="H27" i="11"/>
  <c r="O46" i="6"/>
  <c r="I10" i="6"/>
  <c r="H10" i="11"/>
  <c r="J10" i="6"/>
  <c r="J14" i="6"/>
  <c r="H14" i="11"/>
  <c r="O42" i="6"/>
  <c r="M34" i="11"/>
  <c r="O31" i="10"/>
  <c r="K36" i="10"/>
  <c r="N59" i="7" s="1"/>
  <c r="AC19" i="10"/>
  <c r="Z19" i="10"/>
  <c r="U19" i="10"/>
  <c r="U21" i="10" s="1"/>
  <c r="U30" i="10" s="1"/>
  <c r="X19" i="10"/>
  <c r="AA19" i="10" s="1"/>
  <c r="AA11" i="10"/>
  <c r="R24" i="10"/>
  <c r="Q24" i="10"/>
  <c r="M36" i="10"/>
  <c r="R59" i="7" s="1"/>
  <c r="AA10" i="10"/>
  <c r="K28" i="10"/>
  <c r="O24" i="10"/>
  <c r="Z28" i="10"/>
  <c r="Z10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Q22" i="10"/>
  <c r="Q15" i="10"/>
  <c r="Q46" i="10"/>
  <c r="Q11" i="10"/>
  <c r="Q28" i="10"/>
  <c r="Q26" i="10"/>
  <c r="Q13" i="10"/>
  <c r="Q30" i="10"/>
  <c r="R20" i="10"/>
  <c r="Q20" i="10"/>
  <c r="Q14" i="10"/>
  <c r="Q42" i="10"/>
  <c r="Q27" i="10"/>
  <c r="Q12" i="10"/>
  <c r="Y21" i="10"/>
  <c r="P34" i="10"/>
  <c r="R32" i="10"/>
  <c r="Q32" i="10"/>
  <c r="K20" i="10"/>
  <c r="O10" i="10"/>
  <c r="AC17" i="10"/>
  <c r="J24" i="10"/>
  <c r="I24" i="10"/>
  <c r="Z16" i="10"/>
  <c r="X17" i="10"/>
  <c r="AA17" i="10" s="1"/>
  <c r="AA16" i="10"/>
  <c r="C20" i="10"/>
  <c r="G10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K36" i="8"/>
  <c r="K45" i="9" s="1"/>
  <c r="O45" i="9" s="1"/>
  <c r="O24" i="8"/>
  <c r="R34" i="8"/>
  <c r="N34" i="8"/>
  <c r="N24" i="8"/>
  <c r="M36" i="8"/>
  <c r="M36" i="9" s="1"/>
  <c r="R24" i="8"/>
  <c r="C36" i="8"/>
  <c r="C45" i="9" s="1"/>
  <c r="G45" i="9" s="1"/>
  <c r="G24" i="8"/>
  <c r="J34" i="8"/>
  <c r="F34" i="8"/>
  <c r="E36" i="8"/>
  <c r="E36" i="9" s="1"/>
  <c r="AC21" i="8"/>
  <c r="Y30" i="8"/>
  <c r="Z21" i="7"/>
  <c r="AD19" i="7"/>
  <c r="AA19" i="7"/>
  <c r="D42" i="7"/>
  <c r="N27" i="7"/>
  <c r="L20" i="7"/>
  <c r="K24" i="7"/>
  <c r="O20" i="7"/>
  <c r="I26" i="7"/>
  <c r="F20" i="7"/>
  <c r="E24" i="7"/>
  <c r="Y30" i="7"/>
  <c r="AB21" i="7"/>
  <c r="I42" i="7"/>
  <c r="I31" i="7"/>
  <c r="N38" i="7"/>
  <c r="K34" i="7"/>
  <c r="O28" i="7"/>
  <c r="L28" i="7"/>
  <c r="H34" i="7"/>
  <c r="J28" i="7"/>
  <c r="I28" i="7"/>
  <c r="N28" i="7"/>
  <c r="M34" i="7"/>
  <c r="N34" i="7" s="1"/>
  <c r="D20" i="7"/>
  <c r="C24" i="7"/>
  <c r="G20" i="7"/>
  <c r="D38" i="7"/>
  <c r="N11" i="7"/>
  <c r="R32" i="7"/>
  <c r="Q32" i="7"/>
  <c r="P24" i="7"/>
  <c r="R20" i="7"/>
  <c r="Q20" i="7"/>
  <c r="Q38" i="7"/>
  <c r="D11" i="7"/>
  <c r="I27" i="7"/>
  <c r="D39" i="7"/>
  <c r="D12" i="7"/>
  <c r="N31" i="7"/>
  <c r="I46" i="7"/>
  <c r="L32" i="7"/>
  <c r="O32" i="7"/>
  <c r="I12" i="7"/>
  <c r="Q30" i="7"/>
  <c r="Q10" i="7"/>
  <c r="N13" i="7"/>
  <c r="F31" i="7"/>
  <c r="Q11" i="7"/>
  <c r="F28" i="7"/>
  <c r="E34" i="7"/>
  <c r="F34" i="7" s="1"/>
  <c r="C34" i="7"/>
  <c r="G28" i="7"/>
  <c r="D28" i="7"/>
  <c r="J32" i="7"/>
  <c r="I32" i="7"/>
  <c r="H24" i="7"/>
  <c r="J20" i="7"/>
  <c r="I20" i="7"/>
  <c r="N20" i="7"/>
  <c r="M24" i="7"/>
  <c r="I11" i="7"/>
  <c r="D32" i="7"/>
  <c r="G32" i="7"/>
  <c r="I39" i="7"/>
  <c r="D31" i="7"/>
  <c r="N22" i="7"/>
  <c r="Q42" i="7"/>
  <c r="I30" i="7"/>
  <c r="I10" i="7"/>
  <c r="Q31" i="7"/>
  <c r="N12" i="7"/>
  <c r="D46" i="7"/>
  <c r="P34" i="7"/>
  <c r="R28" i="7"/>
  <c r="Q28" i="7"/>
  <c r="N42" i="7"/>
  <c r="I22" i="7"/>
  <c r="I28" i="5"/>
  <c r="J28" i="5"/>
  <c r="D16" i="5"/>
  <c r="D20" i="5"/>
  <c r="D14" i="5"/>
  <c r="D11" i="5"/>
  <c r="D30" i="5"/>
  <c r="D12" i="5"/>
  <c r="D17" i="5"/>
  <c r="D15" i="5"/>
  <c r="C24" i="5"/>
  <c r="D38" i="5"/>
  <c r="G20" i="5"/>
  <c r="L13" i="5"/>
  <c r="Q46" i="5"/>
  <c r="Q12" i="5"/>
  <c r="P24" i="5"/>
  <c r="Q11" i="5"/>
  <c r="Q16" i="5"/>
  <c r="Q14" i="5"/>
  <c r="R20" i="5"/>
  <c r="Q15" i="5"/>
  <c r="Q20" i="5"/>
  <c r="Q17" i="5"/>
  <c r="Q10" i="5"/>
  <c r="Q42" i="5"/>
  <c r="R32" i="5"/>
  <c r="Q32" i="5"/>
  <c r="E34" i="5"/>
  <c r="F34" i="5" s="1"/>
  <c r="O28" i="5"/>
  <c r="K34" i="5"/>
  <c r="L28" i="5"/>
  <c r="Q13" i="5"/>
  <c r="I27" i="5"/>
  <c r="D22" i="5"/>
  <c r="D18" i="5"/>
  <c r="G28" i="5"/>
  <c r="C34" i="5"/>
  <c r="D28" i="5"/>
  <c r="J32" i="5"/>
  <c r="I32" i="5"/>
  <c r="H34" i="5"/>
  <c r="Q28" i="5"/>
  <c r="P34" i="5"/>
  <c r="R28" i="5"/>
  <c r="F42" i="5"/>
  <c r="F14" i="5"/>
  <c r="F46" i="5"/>
  <c r="F30" i="5"/>
  <c r="F28" i="5"/>
  <c r="F27" i="5"/>
  <c r="F26" i="5"/>
  <c r="F11" i="5"/>
  <c r="F32" i="5"/>
  <c r="F20" i="5"/>
  <c r="F17" i="5"/>
  <c r="F15" i="5"/>
  <c r="F39" i="5"/>
  <c r="F19" i="5"/>
  <c r="F38" i="5"/>
  <c r="F18" i="5"/>
  <c r="F16" i="5"/>
  <c r="F13" i="5"/>
  <c r="F31" i="5"/>
  <c r="E24" i="5"/>
  <c r="F24" i="5" s="1"/>
  <c r="F22" i="5"/>
  <c r="F12" i="5"/>
  <c r="F10" i="5"/>
  <c r="N12" i="5"/>
  <c r="N10" i="5"/>
  <c r="N42" i="5"/>
  <c r="N39" i="5"/>
  <c r="N16" i="5"/>
  <c r="N32" i="5"/>
  <c r="N28" i="5"/>
  <c r="N27" i="5"/>
  <c r="N26" i="5"/>
  <c r="N18" i="5"/>
  <c r="N14" i="5"/>
  <c r="N46" i="5"/>
  <c r="N30" i="5"/>
  <c r="N34" i="5"/>
  <c r="N19" i="5"/>
  <c r="N11" i="5"/>
  <c r="N15" i="5"/>
  <c r="N31" i="5"/>
  <c r="N38" i="5"/>
  <c r="M24" i="5"/>
  <c r="M36" i="5" s="1"/>
  <c r="N22" i="5"/>
  <c r="N13" i="5"/>
  <c r="N17" i="5"/>
  <c r="N20" i="5"/>
  <c r="I11" i="5"/>
  <c r="I15" i="5"/>
  <c r="H24" i="5"/>
  <c r="J20" i="5"/>
  <c r="I12" i="5"/>
  <c r="I10" i="5"/>
  <c r="I16" i="5"/>
  <c r="I14" i="5"/>
  <c r="I46" i="5"/>
  <c r="I26" i="5"/>
  <c r="D10" i="5"/>
  <c r="I13" i="5"/>
  <c r="L17" i="5"/>
  <c r="L31" i="5"/>
  <c r="L20" i="5"/>
  <c r="L38" i="5"/>
  <c r="L12" i="5"/>
  <c r="L10" i="5"/>
  <c r="K24" i="5"/>
  <c r="L39" i="5"/>
  <c r="L16" i="5"/>
  <c r="L15" i="5"/>
  <c r="L14" i="5"/>
  <c r="L30" i="5"/>
  <c r="L19" i="5"/>
  <c r="O20" i="5"/>
  <c r="L11" i="5"/>
  <c r="D27" i="5"/>
  <c r="L18" i="5"/>
  <c r="Q31" i="5"/>
  <c r="G32" i="4"/>
  <c r="D32" i="4"/>
  <c r="L28" i="4"/>
  <c r="O28" i="4"/>
  <c r="K34" i="4"/>
  <c r="F10" i="4"/>
  <c r="F39" i="4"/>
  <c r="H34" i="4"/>
  <c r="J28" i="4"/>
  <c r="I28" i="4"/>
  <c r="Y19" i="4"/>
  <c r="N27" i="4"/>
  <c r="Q19" i="4"/>
  <c r="N13" i="4"/>
  <c r="F42" i="4"/>
  <c r="N19" i="4"/>
  <c r="F12" i="4"/>
  <c r="G20" i="4"/>
  <c r="C24" i="4"/>
  <c r="D20" i="4"/>
  <c r="X21" i="4"/>
  <c r="Z21" i="6" s="1"/>
  <c r="AC21" i="6" s="1"/>
  <c r="N46" i="4"/>
  <c r="F27" i="4"/>
  <c r="L42" i="4"/>
  <c r="L38" i="4"/>
  <c r="L12" i="4"/>
  <c r="N31" i="4"/>
  <c r="N17" i="4"/>
  <c r="N16" i="4"/>
  <c r="N14" i="4"/>
  <c r="F38" i="4"/>
  <c r="N30" i="4"/>
  <c r="M34" i="4"/>
  <c r="N34" i="4" s="1"/>
  <c r="N28" i="4"/>
  <c r="D14" i="4"/>
  <c r="J20" i="4"/>
  <c r="H24" i="4"/>
  <c r="D12" i="4"/>
  <c r="D28" i="4"/>
  <c r="G28" i="4"/>
  <c r="C34" i="4"/>
  <c r="AB19" i="4"/>
  <c r="F17" i="4"/>
  <c r="R32" i="4"/>
  <c r="Q32" i="4"/>
  <c r="F16" i="4"/>
  <c r="N42" i="4"/>
  <c r="L19" i="4"/>
  <c r="F14" i="4"/>
  <c r="N32" i="4"/>
  <c r="N26" i="4"/>
  <c r="I10" i="4"/>
  <c r="D42" i="4"/>
  <c r="D38" i="4"/>
  <c r="N15" i="4"/>
  <c r="N39" i="4"/>
  <c r="E34" i="4"/>
  <c r="F34" i="4" s="1"/>
  <c r="F28" i="4"/>
  <c r="O32" i="4"/>
  <c r="L32" i="4"/>
  <c r="N20" i="4"/>
  <c r="M24" i="4"/>
  <c r="P34" i="4"/>
  <c r="R28" i="4"/>
  <c r="Q28" i="4"/>
  <c r="N11" i="4"/>
  <c r="N10" i="4"/>
  <c r="F13" i="4"/>
  <c r="J32" i="4"/>
  <c r="I32" i="4"/>
  <c r="O20" i="4"/>
  <c r="K24" i="4"/>
  <c r="L20" i="4"/>
  <c r="L16" i="4"/>
  <c r="I17" i="4"/>
  <c r="D13" i="4"/>
  <c r="F20" i="4"/>
  <c r="E24" i="4"/>
  <c r="L10" i="4"/>
  <c r="D17" i="4"/>
  <c r="L14" i="4"/>
  <c r="R20" i="4"/>
  <c r="P24" i="4"/>
  <c r="Q20" i="4"/>
  <c r="D46" i="4"/>
  <c r="D39" i="4"/>
  <c r="Q17" i="4"/>
  <c r="M34" i="3"/>
  <c r="L28" i="3"/>
  <c r="O28" i="3"/>
  <c r="K34" i="3"/>
  <c r="F13" i="3"/>
  <c r="F18" i="3"/>
  <c r="F38" i="3"/>
  <c r="P34" i="3"/>
  <c r="R28" i="3"/>
  <c r="Q28" i="3"/>
  <c r="Q20" i="3"/>
  <c r="Q14" i="3"/>
  <c r="P24" i="3"/>
  <c r="Q16" i="3"/>
  <c r="K24" i="3"/>
  <c r="L20" i="3"/>
  <c r="O32" i="3"/>
  <c r="L32" i="3"/>
  <c r="F17" i="3"/>
  <c r="F15" i="3"/>
  <c r="D12" i="3"/>
  <c r="H24" i="3"/>
  <c r="H24" i="6" s="1"/>
  <c r="I16" i="3"/>
  <c r="J20" i="3"/>
  <c r="D19" i="3"/>
  <c r="D31" i="3"/>
  <c r="F26" i="3"/>
  <c r="F14" i="3"/>
  <c r="R32" i="3"/>
  <c r="Q32" i="3"/>
  <c r="F46" i="3"/>
  <c r="F31" i="3"/>
  <c r="D39" i="3"/>
  <c r="D42" i="3"/>
  <c r="G32" i="3"/>
  <c r="D32" i="3"/>
  <c r="F28" i="3"/>
  <c r="E34" i="3"/>
  <c r="F34" i="3" s="1"/>
  <c r="D28" i="3"/>
  <c r="G28" i="3"/>
  <c r="C34" i="3"/>
  <c r="H34" i="3"/>
  <c r="J28" i="3"/>
  <c r="I28" i="3"/>
  <c r="I15" i="3"/>
  <c r="I14" i="3"/>
  <c r="I22" i="3"/>
  <c r="F16" i="3"/>
  <c r="E24" i="3"/>
  <c r="F20" i="3"/>
  <c r="F42" i="3"/>
  <c r="F10" i="3"/>
  <c r="F22" i="3"/>
  <c r="J32" i="3"/>
  <c r="I32" i="3"/>
  <c r="F12" i="3"/>
  <c r="G20" i="3"/>
  <c r="C24" i="3"/>
  <c r="D20" i="3"/>
  <c r="F30" i="3"/>
  <c r="F39" i="3"/>
  <c r="F19" i="3"/>
  <c r="D10" i="3"/>
  <c r="F27" i="3"/>
  <c r="F32" i="3"/>
  <c r="D46" i="3"/>
  <c r="I10" i="3"/>
  <c r="Q22" i="3"/>
  <c r="D38" i="3"/>
  <c r="H36" i="6" l="1"/>
  <c r="I34" i="6"/>
  <c r="AA30" i="10"/>
  <c r="V40" i="7"/>
  <c r="V41" i="7" s="1"/>
  <c r="V42" i="7" s="1"/>
  <c r="W40" i="7"/>
  <c r="W41" i="7" s="1"/>
  <c r="W42" i="7" s="1"/>
  <c r="X42" i="7" s="1"/>
  <c r="AC30" i="10"/>
  <c r="R11" i="11"/>
  <c r="R15" i="11"/>
  <c r="AE11" i="11"/>
  <c r="R22" i="11"/>
  <c r="G12" i="11"/>
  <c r="J30" i="11"/>
  <c r="H32" i="11"/>
  <c r="Z19" i="9"/>
  <c r="G38" i="11"/>
  <c r="AE8" i="11"/>
  <c r="P34" i="6"/>
  <c r="R28" i="6"/>
  <c r="J38" i="11"/>
  <c r="Y14" i="11"/>
  <c r="AE17" i="6"/>
  <c r="AA14" i="11"/>
  <c r="AE14" i="11" s="1"/>
  <c r="AD19" i="6"/>
  <c r="AE19" i="6" s="1"/>
  <c r="Q31" i="10"/>
  <c r="Q19" i="10"/>
  <c r="H20" i="11"/>
  <c r="I10" i="11" s="1"/>
  <c r="J10" i="11"/>
  <c r="AE19" i="11"/>
  <c r="AC19" i="11"/>
  <c r="J39" i="11"/>
  <c r="K20" i="11"/>
  <c r="O11" i="11"/>
  <c r="L11" i="11"/>
  <c r="T6" i="9"/>
  <c r="AF3" i="9"/>
  <c r="J17" i="11"/>
  <c r="R33" i="6"/>
  <c r="R13" i="11"/>
  <c r="W30" i="4"/>
  <c r="Y21" i="6"/>
  <c r="W21" i="3"/>
  <c r="W30" i="3" s="1"/>
  <c r="O17" i="11"/>
  <c r="L17" i="11"/>
  <c r="G31" i="11"/>
  <c r="D31" i="11"/>
  <c r="L12" i="11"/>
  <c r="O12" i="11"/>
  <c r="AC17" i="3"/>
  <c r="I32" i="10"/>
  <c r="E34" i="10"/>
  <c r="G22" i="11"/>
  <c r="O18" i="11"/>
  <c r="L18" i="11"/>
  <c r="Y30" i="9"/>
  <c r="G19" i="11"/>
  <c r="D19" i="11"/>
  <c r="J15" i="11"/>
  <c r="R18" i="11"/>
  <c r="W7" i="8"/>
  <c r="AB7" i="8" s="1"/>
  <c r="H7" i="9"/>
  <c r="P7" i="8"/>
  <c r="I20" i="11"/>
  <c r="J22" i="11"/>
  <c r="R30" i="11"/>
  <c r="P32" i="11"/>
  <c r="AI22" i="11"/>
  <c r="R10" i="11"/>
  <c r="F33" i="6"/>
  <c r="T23" i="6"/>
  <c r="J46" i="11"/>
  <c r="I46" i="11"/>
  <c r="X19" i="9"/>
  <c r="AA19" i="9" s="1"/>
  <c r="Z19" i="8"/>
  <c r="AA19" i="8"/>
  <c r="X21" i="8"/>
  <c r="G13" i="11"/>
  <c r="D13" i="11"/>
  <c r="I11" i="11"/>
  <c r="J11" i="11"/>
  <c r="E20" i="11"/>
  <c r="F42" i="11" s="1"/>
  <c r="O22" i="11"/>
  <c r="L22" i="11"/>
  <c r="C20" i="11"/>
  <c r="G11" i="11"/>
  <c r="D11" i="11"/>
  <c r="L19" i="11"/>
  <c r="W24" i="11"/>
  <c r="G17" i="11"/>
  <c r="D17" i="11"/>
  <c r="Y19" i="3"/>
  <c r="Z17" i="3"/>
  <c r="E32" i="11"/>
  <c r="AC9" i="11"/>
  <c r="L15" i="11"/>
  <c r="O15" i="11"/>
  <c r="O33" i="6"/>
  <c r="L33" i="6"/>
  <c r="AC19" i="3"/>
  <c r="G39" i="11"/>
  <c r="D39" i="11"/>
  <c r="F22" i="6"/>
  <c r="F17" i="6"/>
  <c r="F10" i="6"/>
  <c r="F30" i="6"/>
  <c r="F16" i="6"/>
  <c r="F18" i="6"/>
  <c r="F11" i="6"/>
  <c r="F20" i="6"/>
  <c r="F12" i="6"/>
  <c r="E24" i="6"/>
  <c r="J24" i="6" s="1"/>
  <c r="F38" i="6"/>
  <c r="F15" i="6"/>
  <c r="F39" i="6"/>
  <c r="F32" i="6"/>
  <c r="F13" i="6"/>
  <c r="F42" i="6"/>
  <c r="F46" i="6"/>
  <c r="F27" i="6"/>
  <c r="F14" i="6"/>
  <c r="F26" i="6"/>
  <c r="AD9" i="11"/>
  <c r="J31" i="11"/>
  <c r="I31" i="11"/>
  <c r="G31" i="10"/>
  <c r="C32" i="10"/>
  <c r="Q26" i="5"/>
  <c r="I24" i="6"/>
  <c r="AC10" i="11"/>
  <c r="AD10" i="11"/>
  <c r="M34" i="6"/>
  <c r="G14" i="11"/>
  <c r="D14" i="11"/>
  <c r="G27" i="11"/>
  <c r="D27" i="11"/>
  <c r="AC13" i="11"/>
  <c r="U7" i="9"/>
  <c r="X7" i="9" s="1"/>
  <c r="K7" i="9"/>
  <c r="U30" i="8"/>
  <c r="U21" i="9"/>
  <c r="G10" i="11"/>
  <c r="D10" i="11"/>
  <c r="D15" i="11"/>
  <c r="G15" i="11"/>
  <c r="I12" i="11"/>
  <c r="G18" i="11"/>
  <c r="D18" i="11"/>
  <c r="R31" i="11"/>
  <c r="Q10" i="10"/>
  <c r="N36" i="9"/>
  <c r="R36" i="9"/>
  <c r="J27" i="11"/>
  <c r="I27" i="11"/>
  <c r="Y15" i="11"/>
  <c r="Y18" i="11" s="1"/>
  <c r="Y23" i="11" s="1"/>
  <c r="P16" i="11"/>
  <c r="R16" i="6"/>
  <c r="P20" i="6"/>
  <c r="Q16" i="6" s="1"/>
  <c r="J16" i="11"/>
  <c r="I16" i="11"/>
  <c r="L28" i="6"/>
  <c r="O28" i="6"/>
  <c r="K34" i="6"/>
  <c r="X14" i="11"/>
  <c r="J42" i="11"/>
  <c r="I42" i="11"/>
  <c r="AI13" i="11"/>
  <c r="D10" i="6"/>
  <c r="D27" i="6"/>
  <c r="D11" i="6"/>
  <c r="G20" i="6"/>
  <c r="D22" i="6"/>
  <c r="D38" i="6"/>
  <c r="D46" i="6"/>
  <c r="D32" i="6"/>
  <c r="D13" i="6"/>
  <c r="D14" i="6"/>
  <c r="D12" i="6"/>
  <c r="D30" i="6"/>
  <c r="D39" i="6"/>
  <c r="D20" i="6"/>
  <c r="C24" i="6"/>
  <c r="D42" i="6"/>
  <c r="D15" i="6"/>
  <c r="G33" i="6"/>
  <c r="D33" i="6"/>
  <c r="AB19" i="6"/>
  <c r="AI15" i="11" s="1"/>
  <c r="AK15" i="11"/>
  <c r="AB17" i="6"/>
  <c r="AI14" i="11" s="1"/>
  <c r="AB14" i="11"/>
  <c r="AB15" i="11" s="1"/>
  <c r="AK14" i="11"/>
  <c r="J26" i="11"/>
  <c r="I26" i="11"/>
  <c r="H28" i="11"/>
  <c r="W14" i="11"/>
  <c r="W15" i="11" s="1"/>
  <c r="W18" i="11" s="1"/>
  <c r="W23" i="11" s="1"/>
  <c r="AD23" i="11" s="1"/>
  <c r="O13" i="11"/>
  <c r="L13" i="11"/>
  <c r="O16" i="11"/>
  <c r="L16" i="11"/>
  <c r="M16" i="6"/>
  <c r="M20" i="3"/>
  <c r="N34" i="3" s="1"/>
  <c r="O16" i="3"/>
  <c r="J32" i="10"/>
  <c r="H34" i="10"/>
  <c r="J14" i="11"/>
  <c r="I14" i="11"/>
  <c r="R38" i="11"/>
  <c r="X21" i="6"/>
  <c r="AH15" i="11"/>
  <c r="AA19" i="3"/>
  <c r="X21" i="3"/>
  <c r="G42" i="11"/>
  <c r="D42" i="11"/>
  <c r="R27" i="11"/>
  <c r="D28" i="6"/>
  <c r="G28" i="6"/>
  <c r="C34" i="6"/>
  <c r="O10" i="11"/>
  <c r="L10" i="11"/>
  <c r="AC12" i="11"/>
  <c r="AD12" i="11"/>
  <c r="G46" i="11"/>
  <c r="D46" i="11"/>
  <c r="O14" i="11"/>
  <c r="L14" i="11"/>
  <c r="O27" i="11"/>
  <c r="L27" i="11"/>
  <c r="R17" i="11"/>
  <c r="J18" i="11"/>
  <c r="I18" i="11"/>
  <c r="AC21" i="9"/>
  <c r="AI20" i="11" s="1"/>
  <c r="J19" i="11"/>
  <c r="AC19" i="9"/>
  <c r="AE21" i="11"/>
  <c r="AC17" i="6"/>
  <c r="Z14" i="11"/>
  <c r="AD14" i="11" s="1"/>
  <c r="F36" i="9"/>
  <c r="J36" i="9"/>
  <c r="E58" i="7"/>
  <c r="G26" i="11"/>
  <c r="D26" i="11"/>
  <c r="C28" i="11"/>
  <c r="F28" i="6"/>
  <c r="T20" i="6"/>
  <c r="E34" i="6"/>
  <c r="L15" i="6"/>
  <c r="L17" i="6"/>
  <c r="L42" i="6"/>
  <c r="K24" i="6"/>
  <c r="L18" i="6"/>
  <c r="L26" i="6"/>
  <c r="L16" i="6"/>
  <c r="L27" i="6"/>
  <c r="L10" i="6"/>
  <c r="L11" i="6"/>
  <c r="L30" i="6"/>
  <c r="L22" i="6"/>
  <c r="L38" i="6"/>
  <c r="L46" i="6"/>
  <c r="L20" i="6"/>
  <c r="L13" i="6"/>
  <c r="L14" i="6"/>
  <c r="L39" i="6"/>
  <c r="L32" i="6"/>
  <c r="R39" i="11"/>
  <c r="J33" i="6"/>
  <c r="I33" i="6"/>
  <c r="J13" i="11"/>
  <c r="I13" i="11"/>
  <c r="R42" i="11"/>
  <c r="G30" i="11"/>
  <c r="C32" i="11"/>
  <c r="D30" i="11"/>
  <c r="R46" i="11"/>
  <c r="X15" i="11"/>
  <c r="O31" i="11"/>
  <c r="L31" i="11"/>
  <c r="AA30" i="4"/>
  <c r="R26" i="11"/>
  <c r="P28" i="11"/>
  <c r="AE9" i="11"/>
  <c r="AA15" i="11"/>
  <c r="Q30" i="5"/>
  <c r="K32" i="10"/>
  <c r="O28" i="10"/>
  <c r="X21" i="10"/>
  <c r="Z21" i="10" s="1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Z30" i="10"/>
  <c r="G24" i="10"/>
  <c r="M45" i="10"/>
  <c r="M41" i="10"/>
  <c r="M43" i="10" s="1"/>
  <c r="R34" i="10"/>
  <c r="Q34" i="10"/>
  <c r="Y30" i="10"/>
  <c r="AC21" i="10"/>
  <c r="K41" i="10"/>
  <c r="O36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Z17" i="10"/>
  <c r="P36" i="10"/>
  <c r="AC30" i="8"/>
  <c r="J36" i="8"/>
  <c r="E41" i="8"/>
  <c r="E41" i="9" s="1"/>
  <c r="F36" i="8"/>
  <c r="R36" i="8"/>
  <c r="M41" i="8"/>
  <c r="M41" i="9" s="1"/>
  <c r="N36" i="8"/>
  <c r="G36" i="8"/>
  <c r="C41" i="8"/>
  <c r="O36" i="8"/>
  <c r="K41" i="8"/>
  <c r="R24" i="7"/>
  <c r="Q24" i="7"/>
  <c r="P36" i="7"/>
  <c r="K36" i="7"/>
  <c r="O24" i="7"/>
  <c r="L24" i="7"/>
  <c r="N24" i="7"/>
  <c r="M36" i="7"/>
  <c r="D34" i="7"/>
  <c r="G34" i="7"/>
  <c r="J34" i="7"/>
  <c r="I34" i="7"/>
  <c r="F24" i="7"/>
  <c r="E36" i="7"/>
  <c r="R34" i="7"/>
  <c r="Q34" i="7"/>
  <c r="C36" i="7"/>
  <c r="G24" i="7"/>
  <c r="D24" i="7"/>
  <c r="J24" i="7"/>
  <c r="I24" i="7"/>
  <c r="H36" i="7"/>
  <c r="L34" i="7"/>
  <c r="O34" i="7"/>
  <c r="Z30" i="7"/>
  <c r="AD21" i="7"/>
  <c r="AA21" i="7"/>
  <c r="E36" i="5"/>
  <c r="L34" i="5"/>
  <c r="O34" i="5"/>
  <c r="D34" i="5"/>
  <c r="G34" i="5"/>
  <c r="R34" i="5"/>
  <c r="Q34" i="5"/>
  <c r="N24" i="5"/>
  <c r="C36" i="5"/>
  <c r="G24" i="5"/>
  <c r="D24" i="5"/>
  <c r="K36" i="5"/>
  <c r="O24" i="5"/>
  <c r="L24" i="5"/>
  <c r="J24" i="5"/>
  <c r="I24" i="5"/>
  <c r="H36" i="5"/>
  <c r="M41" i="5"/>
  <c r="J34" i="5"/>
  <c r="I34" i="5"/>
  <c r="N36" i="5"/>
  <c r="R24" i="5"/>
  <c r="Q24" i="5"/>
  <c r="P36" i="5"/>
  <c r="L24" i="4"/>
  <c r="O24" i="4"/>
  <c r="K36" i="4"/>
  <c r="R34" i="4"/>
  <c r="Q34" i="4"/>
  <c r="J34" i="4"/>
  <c r="I34" i="4"/>
  <c r="G34" i="4"/>
  <c r="D34" i="4"/>
  <c r="E36" i="4"/>
  <c r="F24" i="4"/>
  <c r="M36" i="4"/>
  <c r="N24" i="4"/>
  <c r="H36" i="4"/>
  <c r="J24" i="4"/>
  <c r="I24" i="4"/>
  <c r="X30" i="4"/>
  <c r="Z30" i="6" s="1"/>
  <c r="AA21" i="4"/>
  <c r="O34" i="4"/>
  <c r="L34" i="4"/>
  <c r="P36" i="4"/>
  <c r="R24" i="4"/>
  <c r="Q24" i="4"/>
  <c r="AC19" i="4"/>
  <c r="AB21" i="4"/>
  <c r="D24" i="4"/>
  <c r="G24" i="4"/>
  <c r="C36" i="4"/>
  <c r="Z19" i="4"/>
  <c r="Y21" i="4"/>
  <c r="R34" i="3"/>
  <c r="Q34" i="3"/>
  <c r="F24" i="3"/>
  <c r="E36" i="3"/>
  <c r="J34" i="3"/>
  <c r="I34" i="3"/>
  <c r="P36" i="3"/>
  <c r="Q24" i="3"/>
  <c r="G34" i="3"/>
  <c r="D34" i="3"/>
  <c r="H36" i="3"/>
  <c r="J24" i="3"/>
  <c r="I24" i="3"/>
  <c r="O34" i="3"/>
  <c r="L34" i="3"/>
  <c r="D24" i="3"/>
  <c r="G24" i="3"/>
  <c r="C36" i="3"/>
  <c r="L24" i="3"/>
  <c r="K36" i="3"/>
  <c r="AC23" i="11" l="1"/>
  <c r="AB18" i="11"/>
  <c r="N16" i="3"/>
  <c r="Y21" i="3"/>
  <c r="Z19" i="3"/>
  <c r="C24" i="11"/>
  <c r="D20" i="11"/>
  <c r="G20" i="11"/>
  <c r="I22" i="11"/>
  <c r="I15" i="11"/>
  <c r="D22" i="11"/>
  <c r="I39" i="11"/>
  <c r="J32" i="11"/>
  <c r="I32" i="11"/>
  <c r="F34" i="6"/>
  <c r="T24" i="6"/>
  <c r="X30" i="6"/>
  <c r="AH18" i="11"/>
  <c r="O34" i="6"/>
  <c r="L34" i="6"/>
  <c r="R16" i="11"/>
  <c r="Q16" i="11"/>
  <c r="X21" i="9"/>
  <c r="Z21" i="8"/>
  <c r="AA21" i="8"/>
  <c r="X30" i="8"/>
  <c r="Z30" i="8" s="1"/>
  <c r="I17" i="11"/>
  <c r="I30" i="11"/>
  <c r="AD21" i="6"/>
  <c r="AB21" i="3"/>
  <c r="G32" i="11"/>
  <c r="D32" i="11"/>
  <c r="N31" i="3"/>
  <c r="N22" i="3"/>
  <c r="N27" i="3"/>
  <c r="N26" i="3"/>
  <c r="N12" i="3"/>
  <c r="N30" i="3"/>
  <c r="N32" i="3"/>
  <c r="O20" i="3"/>
  <c r="N46" i="3"/>
  <c r="N11" i="3"/>
  <c r="M24" i="3"/>
  <c r="R20" i="3"/>
  <c r="N14" i="3"/>
  <c r="N15" i="3"/>
  <c r="N20" i="3"/>
  <c r="N42" i="3"/>
  <c r="N13" i="3"/>
  <c r="N38" i="3"/>
  <c r="N39" i="3"/>
  <c r="N28" i="3"/>
  <c r="N19" i="3"/>
  <c r="N18" i="3"/>
  <c r="N17" i="3"/>
  <c r="N10" i="3"/>
  <c r="J28" i="11"/>
  <c r="I28" i="11"/>
  <c r="H34" i="11"/>
  <c r="AA30" i="8"/>
  <c r="U30" i="9"/>
  <c r="AA30" i="9" s="1"/>
  <c r="I34" i="10"/>
  <c r="E36" i="10"/>
  <c r="R34" i="6"/>
  <c r="Q34" i="6"/>
  <c r="N41" i="9"/>
  <c r="R41" i="9"/>
  <c r="M16" i="11"/>
  <c r="M20" i="6"/>
  <c r="N34" i="6" s="1"/>
  <c r="G32" i="10"/>
  <c r="C34" i="10"/>
  <c r="F24" i="6"/>
  <c r="T12" i="6"/>
  <c r="E36" i="6"/>
  <c r="P20" i="11"/>
  <c r="R28" i="11"/>
  <c r="Q28" i="11"/>
  <c r="P34" i="11"/>
  <c r="O26" i="11"/>
  <c r="L26" i="11"/>
  <c r="K28" i="11"/>
  <c r="G28" i="11"/>
  <c r="D28" i="11"/>
  <c r="C34" i="11"/>
  <c r="F26" i="11"/>
  <c r="F10" i="11"/>
  <c r="F27" i="11"/>
  <c r="F28" i="11"/>
  <c r="F38" i="11"/>
  <c r="F18" i="11"/>
  <c r="E24" i="11"/>
  <c r="F15" i="11"/>
  <c r="F13" i="11"/>
  <c r="F14" i="11"/>
  <c r="F22" i="11"/>
  <c r="F30" i="11"/>
  <c r="F20" i="11"/>
  <c r="F19" i="11"/>
  <c r="F39" i="11"/>
  <c r="F46" i="11"/>
  <c r="F16" i="11"/>
  <c r="F17" i="11"/>
  <c r="F12" i="11"/>
  <c r="F11" i="11"/>
  <c r="W7" i="9"/>
  <c r="AB7" i="9" s="1"/>
  <c r="P7" i="9"/>
  <c r="Y30" i="6"/>
  <c r="AG18" i="11"/>
  <c r="X18" i="11"/>
  <c r="D38" i="11"/>
  <c r="D12" i="11"/>
  <c r="K36" i="6"/>
  <c r="L24" i="6"/>
  <c r="R32" i="11"/>
  <c r="Q32" i="11"/>
  <c r="AC30" i="9"/>
  <c r="J34" i="6"/>
  <c r="F41" i="9"/>
  <c r="J41" i="9"/>
  <c r="AE15" i="11"/>
  <c r="AA18" i="11"/>
  <c r="X30" i="3"/>
  <c r="AA21" i="3"/>
  <c r="J34" i="10"/>
  <c r="H36" i="10"/>
  <c r="AC14" i="11"/>
  <c r="D24" i="6"/>
  <c r="C36" i="6"/>
  <c r="G24" i="6"/>
  <c r="E34" i="11"/>
  <c r="F34" i="11" s="1"/>
  <c r="F32" i="11"/>
  <c r="H24" i="11"/>
  <c r="J20" i="11"/>
  <c r="I36" i="6"/>
  <c r="H41" i="6"/>
  <c r="D34" i="6"/>
  <c r="G34" i="6"/>
  <c r="Q15" i="6"/>
  <c r="Q22" i="6"/>
  <c r="Q39" i="6"/>
  <c r="Q18" i="6"/>
  <c r="Q42" i="6"/>
  <c r="P24" i="6"/>
  <c r="Q26" i="6"/>
  <c r="Q30" i="6"/>
  <c r="Q28" i="6"/>
  <c r="Q20" i="6"/>
  <c r="Q12" i="6"/>
  <c r="Q10" i="6"/>
  <c r="Q11" i="6"/>
  <c r="Q32" i="6"/>
  <c r="Q13" i="6"/>
  <c r="Q27" i="6"/>
  <c r="Q17" i="6"/>
  <c r="Q46" i="6"/>
  <c r="R20" i="6"/>
  <c r="Q38" i="6"/>
  <c r="Q14" i="6"/>
  <c r="Q33" i="6"/>
  <c r="Z15" i="11"/>
  <c r="K24" i="11"/>
  <c r="L20" i="11"/>
  <c r="I38" i="11"/>
  <c r="F31" i="11"/>
  <c r="Q36" i="10"/>
  <c r="P41" i="10"/>
  <c r="P45" i="10"/>
  <c r="R36" i="10"/>
  <c r="K45" i="10"/>
  <c r="O45" i="10" s="1"/>
  <c r="O41" i="10"/>
  <c r="O32" i="10"/>
  <c r="K38" i="10"/>
  <c r="K38" i="11" s="1"/>
  <c r="K30" i="10"/>
  <c r="K30" i="11" s="1"/>
  <c r="O26" i="10"/>
  <c r="X30" i="10"/>
  <c r="Z24" i="11" s="1"/>
  <c r="AA21" i="10"/>
  <c r="R41" i="8"/>
  <c r="N41" i="8"/>
  <c r="M43" i="8"/>
  <c r="M43" i="9" s="1"/>
  <c r="O41" i="8"/>
  <c r="K43" i="8"/>
  <c r="J41" i="8"/>
  <c r="F41" i="8"/>
  <c r="E43" i="8"/>
  <c r="E43" i="9" s="1"/>
  <c r="G41" i="8"/>
  <c r="C43" i="8"/>
  <c r="G43" i="8" s="1"/>
  <c r="M41" i="7"/>
  <c r="R57" i="7"/>
  <c r="R60" i="7" s="1"/>
  <c r="N36" i="7"/>
  <c r="J36" i="7"/>
  <c r="I36" i="7"/>
  <c r="H41" i="7"/>
  <c r="E41" i="7"/>
  <c r="E57" i="7"/>
  <c r="F36" i="7"/>
  <c r="L36" i="7"/>
  <c r="K41" i="7"/>
  <c r="N57" i="7"/>
  <c r="N60" i="7" s="1"/>
  <c r="O36" i="7"/>
  <c r="R36" i="7"/>
  <c r="Q36" i="7"/>
  <c r="P41" i="7"/>
  <c r="AD30" i="7"/>
  <c r="AA30" i="7"/>
  <c r="D36" i="7"/>
  <c r="C41" i="7"/>
  <c r="C57" i="7"/>
  <c r="G36" i="7"/>
  <c r="N45" i="5"/>
  <c r="K41" i="5"/>
  <c r="O36" i="5"/>
  <c r="L36" i="5"/>
  <c r="M43" i="5"/>
  <c r="N43" i="5" s="1"/>
  <c r="N41" i="5"/>
  <c r="R36" i="5"/>
  <c r="Q36" i="5"/>
  <c r="P41" i="5"/>
  <c r="E41" i="5"/>
  <c r="F36" i="5"/>
  <c r="J36" i="5"/>
  <c r="I36" i="5"/>
  <c r="H41" i="5"/>
  <c r="C41" i="5"/>
  <c r="D36" i="5"/>
  <c r="G36" i="5"/>
  <c r="O36" i="4"/>
  <c r="L36" i="4"/>
  <c r="K41" i="4"/>
  <c r="AB30" i="4"/>
  <c r="AC21" i="4"/>
  <c r="R36" i="4"/>
  <c r="Q36" i="4"/>
  <c r="P41" i="4"/>
  <c r="G36" i="4"/>
  <c r="D36" i="4"/>
  <c r="C41" i="4"/>
  <c r="N36" i="4"/>
  <c r="M41" i="4"/>
  <c r="F36" i="4"/>
  <c r="E41" i="4"/>
  <c r="Y30" i="4"/>
  <c r="Z30" i="4" s="1"/>
  <c r="Z21" i="4"/>
  <c r="J36" i="4"/>
  <c r="I36" i="4"/>
  <c r="H41" i="4"/>
  <c r="F36" i="3"/>
  <c r="E41" i="3"/>
  <c r="G36" i="3"/>
  <c r="D36" i="3"/>
  <c r="C41" i="3"/>
  <c r="L36" i="3"/>
  <c r="K41" i="3"/>
  <c r="J36" i="3"/>
  <c r="I36" i="3"/>
  <c r="H41" i="3"/>
  <c r="Q36" i="3"/>
  <c r="P41" i="3"/>
  <c r="K45" i="6" l="1"/>
  <c r="P45" i="6"/>
  <c r="E45" i="6"/>
  <c r="C45" i="6"/>
  <c r="H45" i="6"/>
  <c r="O38" i="11"/>
  <c r="L38" i="11"/>
  <c r="L24" i="11"/>
  <c r="AE18" i="11"/>
  <c r="AG23" i="11"/>
  <c r="X24" i="11"/>
  <c r="E36" i="11"/>
  <c r="F24" i="11"/>
  <c r="Q20" i="11"/>
  <c r="Q14" i="11"/>
  <c r="P24" i="11"/>
  <c r="Q46" i="11"/>
  <c r="Q19" i="11"/>
  <c r="Q13" i="11"/>
  <c r="Q18" i="11"/>
  <c r="Q30" i="11"/>
  <c r="Q22" i="11"/>
  <c r="Q12" i="11"/>
  <c r="Q11" i="11"/>
  <c r="Q42" i="11"/>
  <c r="Q17" i="11"/>
  <c r="Q39" i="11"/>
  <c r="Q38" i="11"/>
  <c r="Q27" i="11"/>
  <c r="Q10" i="11"/>
  <c r="Q15" i="11"/>
  <c r="Q31" i="11"/>
  <c r="Q26" i="11"/>
  <c r="N16" i="11"/>
  <c r="M20" i="11"/>
  <c r="AA21" i="9"/>
  <c r="AA20" i="11" s="1"/>
  <c r="AE20" i="11" s="1"/>
  <c r="X30" i="9"/>
  <c r="Z30" i="9" s="1"/>
  <c r="X20" i="11"/>
  <c r="X23" i="11" s="1"/>
  <c r="AE23" i="11" s="1"/>
  <c r="AG20" i="11"/>
  <c r="Z21" i="9"/>
  <c r="Z20" i="11" s="1"/>
  <c r="AD15" i="11"/>
  <c r="Z18" i="11"/>
  <c r="D36" i="6"/>
  <c r="C41" i="6"/>
  <c r="G36" i="6"/>
  <c r="T25" i="6"/>
  <c r="F36" i="6"/>
  <c r="E41" i="6"/>
  <c r="J36" i="6"/>
  <c r="AB30" i="3"/>
  <c r="AC21" i="3"/>
  <c r="D24" i="11"/>
  <c r="G24" i="11"/>
  <c r="C36" i="11"/>
  <c r="N43" i="9"/>
  <c r="R43" i="9"/>
  <c r="Q24" i="6"/>
  <c r="P36" i="6"/>
  <c r="H43" i="6"/>
  <c r="I41" i="6"/>
  <c r="K41" i="6"/>
  <c r="L36" i="6"/>
  <c r="O28" i="11"/>
  <c r="L28" i="11"/>
  <c r="AD30" i="6"/>
  <c r="AA21" i="6"/>
  <c r="Z21" i="3"/>
  <c r="Y30" i="3"/>
  <c r="H45" i="10"/>
  <c r="J45" i="10" s="1"/>
  <c r="J36" i="10"/>
  <c r="H41" i="10"/>
  <c r="G34" i="10"/>
  <c r="C36" i="10"/>
  <c r="J34" i="11"/>
  <c r="I34" i="11"/>
  <c r="M36" i="3"/>
  <c r="O24" i="3"/>
  <c r="R24" i="3"/>
  <c r="N24" i="3"/>
  <c r="F43" i="9"/>
  <c r="J43" i="9"/>
  <c r="E64" i="7"/>
  <c r="O30" i="11"/>
  <c r="K32" i="11"/>
  <c r="K34" i="11" s="1"/>
  <c r="L30" i="11"/>
  <c r="J24" i="11"/>
  <c r="I24" i="11"/>
  <c r="H36" i="11"/>
  <c r="R34" i="11"/>
  <c r="Q34" i="11"/>
  <c r="AB23" i="11"/>
  <c r="AC18" i="11"/>
  <c r="N46" i="6"/>
  <c r="N26" i="6"/>
  <c r="N30" i="6"/>
  <c r="N22" i="6"/>
  <c r="N10" i="6"/>
  <c r="N20" i="6"/>
  <c r="M24" i="6"/>
  <c r="R24" i="6" s="1"/>
  <c r="N12" i="6"/>
  <c r="N15" i="6"/>
  <c r="N14" i="6"/>
  <c r="N32" i="6"/>
  <c r="N39" i="6"/>
  <c r="N27" i="6"/>
  <c r="N17" i="6"/>
  <c r="N38" i="6"/>
  <c r="N11" i="6"/>
  <c r="N18" i="6"/>
  <c r="N13" i="6"/>
  <c r="N42" i="6"/>
  <c r="O20" i="6"/>
  <c r="N33" i="6"/>
  <c r="N28" i="6"/>
  <c r="AH23" i="11"/>
  <c r="Y24" i="11"/>
  <c r="AC30" i="6"/>
  <c r="AC15" i="11"/>
  <c r="D34" i="11"/>
  <c r="G34" i="11"/>
  <c r="N16" i="6"/>
  <c r="E59" i="7"/>
  <c r="E60" i="7" s="1"/>
  <c r="E61" i="7" s="1"/>
  <c r="E45" i="10"/>
  <c r="I45" i="10" s="1"/>
  <c r="I36" i="10"/>
  <c r="E41" i="10"/>
  <c r="K34" i="10"/>
  <c r="O30" i="10"/>
  <c r="R45" i="10"/>
  <c r="Q45" i="10"/>
  <c r="P43" i="10"/>
  <c r="R41" i="10"/>
  <c r="Q41" i="10"/>
  <c r="O38" i="10"/>
  <c r="K42" i="10"/>
  <c r="K42" i="11" s="1"/>
  <c r="K45" i="8"/>
  <c r="O45" i="8" s="1"/>
  <c r="O43" i="8"/>
  <c r="F43" i="8"/>
  <c r="J43" i="8"/>
  <c r="R43" i="8"/>
  <c r="N43" i="8"/>
  <c r="O45" i="7"/>
  <c r="L45" i="7"/>
  <c r="G45" i="7"/>
  <c r="D45" i="7"/>
  <c r="R45" i="7"/>
  <c r="Q45" i="7"/>
  <c r="J45" i="7"/>
  <c r="I45" i="7"/>
  <c r="N45" i="7"/>
  <c r="F45" i="7"/>
  <c r="D41" i="7"/>
  <c r="C43" i="7"/>
  <c r="G41" i="7"/>
  <c r="H43" i="7"/>
  <c r="J41" i="7"/>
  <c r="I41" i="7"/>
  <c r="L41" i="7"/>
  <c r="K43" i="7"/>
  <c r="O41" i="7"/>
  <c r="P43" i="7"/>
  <c r="R41" i="7"/>
  <c r="Q41" i="7"/>
  <c r="E43" i="7"/>
  <c r="F41" i="7"/>
  <c r="M43" i="7"/>
  <c r="N43" i="7" s="1"/>
  <c r="N41" i="7"/>
  <c r="F45" i="5"/>
  <c r="D45" i="5"/>
  <c r="G45" i="5"/>
  <c r="R45" i="5"/>
  <c r="Q45" i="5"/>
  <c r="L45" i="5"/>
  <c r="O45" i="5"/>
  <c r="E43" i="5"/>
  <c r="F43" i="5" s="1"/>
  <c r="F41" i="5"/>
  <c r="D41" i="5"/>
  <c r="C43" i="5"/>
  <c r="G41" i="5"/>
  <c r="P43" i="5"/>
  <c r="R41" i="5"/>
  <c r="Q41" i="5"/>
  <c r="L41" i="5"/>
  <c r="K43" i="5"/>
  <c r="O41" i="5"/>
  <c r="H43" i="5"/>
  <c r="J41" i="5"/>
  <c r="I41" i="5"/>
  <c r="I42" i="5" s="1"/>
  <c r="F45" i="4"/>
  <c r="R45" i="4"/>
  <c r="Q45" i="4"/>
  <c r="O45" i="4"/>
  <c r="L45" i="4"/>
  <c r="N45" i="4"/>
  <c r="G45" i="4"/>
  <c r="D45" i="4"/>
  <c r="O41" i="4"/>
  <c r="L41" i="4"/>
  <c r="K43" i="4"/>
  <c r="J41" i="4"/>
  <c r="I41" i="4"/>
  <c r="H43" i="4"/>
  <c r="M43" i="4"/>
  <c r="N43" i="4" s="1"/>
  <c r="N41" i="4"/>
  <c r="E43" i="4"/>
  <c r="F43" i="4" s="1"/>
  <c r="F41" i="4"/>
  <c r="R41" i="4"/>
  <c r="Q41" i="4"/>
  <c r="P43" i="4"/>
  <c r="G41" i="4"/>
  <c r="D41" i="4"/>
  <c r="C43" i="4"/>
  <c r="AC30" i="4"/>
  <c r="L45" i="3"/>
  <c r="Q45" i="3"/>
  <c r="F45" i="3"/>
  <c r="G45" i="3"/>
  <c r="D45" i="3"/>
  <c r="J45" i="3"/>
  <c r="I45" i="3"/>
  <c r="Q41" i="3"/>
  <c r="P43" i="3"/>
  <c r="F41" i="3"/>
  <c r="E43" i="3"/>
  <c r="F43" i="3" s="1"/>
  <c r="L41" i="3"/>
  <c r="K43" i="3"/>
  <c r="J41" i="3"/>
  <c r="I41" i="3"/>
  <c r="H43" i="3"/>
  <c r="G41" i="3"/>
  <c r="D41" i="3"/>
  <c r="C43" i="3"/>
  <c r="M45" i="6" l="1"/>
  <c r="R45" i="6" s="1"/>
  <c r="R45" i="3"/>
  <c r="O45" i="3"/>
  <c r="N45" i="3"/>
  <c r="L34" i="11"/>
  <c r="O34" i="11"/>
  <c r="K36" i="11"/>
  <c r="H43" i="10"/>
  <c r="J43" i="10" s="1"/>
  <c r="J41" i="10"/>
  <c r="Q36" i="6"/>
  <c r="R36" i="6"/>
  <c r="P41" i="6"/>
  <c r="G41" i="6"/>
  <c r="C43" i="6"/>
  <c r="D41" i="6"/>
  <c r="E43" i="10"/>
  <c r="I41" i="10"/>
  <c r="N26" i="11"/>
  <c r="N42" i="11"/>
  <c r="N30" i="11"/>
  <c r="N19" i="11"/>
  <c r="N10" i="11"/>
  <c r="N17" i="11"/>
  <c r="M24" i="11"/>
  <c r="N15" i="11"/>
  <c r="N11" i="11"/>
  <c r="N20" i="11"/>
  <c r="N28" i="11"/>
  <c r="N14" i="11"/>
  <c r="N46" i="11"/>
  <c r="N18" i="11"/>
  <c r="N31" i="11"/>
  <c r="N38" i="11"/>
  <c r="N39" i="11"/>
  <c r="N27" i="11"/>
  <c r="N13" i="11"/>
  <c r="N34" i="11"/>
  <c r="N22" i="11"/>
  <c r="N12" i="11"/>
  <c r="N32" i="11"/>
  <c r="O20" i="11"/>
  <c r="F36" i="11"/>
  <c r="E41" i="11"/>
  <c r="AC30" i="3"/>
  <c r="Z23" i="11"/>
  <c r="AD18" i="11"/>
  <c r="N24" i="6"/>
  <c r="M36" i="6"/>
  <c r="O24" i="6"/>
  <c r="O32" i="11"/>
  <c r="L32" i="11"/>
  <c r="M41" i="3"/>
  <c r="N36" i="3"/>
  <c r="O36" i="3"/>
  <c r="R36" i="3"/>
  <c r="AA30" i="6"/>
  <c r="Z30" i="3"/>
  <c r="J45" i="6"/>
  <c r="H45" i="11"/>
  <c r="I45" i="6"/>
  <c r="K43" i="6"/>
  <c r="L41" i="6"/>
  <c r="T28" i="6"/>
  <c r="J41" i="6"/>
  <c r="F41" i="6"/>
  <c r="E43" i="6"/>
  <c r="J43" i="6" s="1"/>
  <c r="AD20" i="11"/>
  <c r="AC20" i="11"/>
  <c r="R20" i="11"/>
  <c r="G45" i="6"/>
  <c r="D45" i="6"/>
  <c r="AB21" i="6"/>
  <c r="AI18" i="11" s="1"/>
  <c r="AK18" i="11"/>
  <c r="Q24" i="11"/>
  <c r="P36" i="11"/>
  <c r="AA23" i="11"/>
  <c r="T31" i="6"/>
  <c r="E45" i="11"/>
  <c r="F45" i="11" s="1"/>
  <c r="F45" i="6"/>
  <c r="O42" i="11"/>
  <c r="L42" i="11"/>
  <c r="C59" i="7"/>
  <c r="C60" i="7" s="1"/>
  <c r="C61" i="7" s="1"/>
  <c r="G36" i="10"/>
  <c r="C41" i="10"/>
  <c r="C45" i="10"/>
  <c r="G45" i="10" s="1"/>
  <c r="AE30" i="6"/>
  <c r="AA24" i="11"/>
  <c r="G36" i="11"/>
  <c r="D36" i="11"/>
  <c r="C41" i="11"/>
  <c r="P45" i="11"/>
  <c r="Q45" i="6"/>
  <c r="I36" i="11"/>
  <c r="H41" i="11"/>
  <c r="J36" i="11"/>
  <c r="AE21" i="6"/>
  <c r="I43" i="6"/>
  <c r="O45" i="6"/>
  <c r="K45" i="11"/>
  <c r="L45" i="6"/>
  <c r="K39" i="10"/>
  <c r="K39" i="11" s="1"/>
  <c r="O34" i="10"/>
  <c r="R43" i="10"/>
  <c r="Q43" i="10"/>
  <c r="O42" i="10"/>
  <c r="K46" i="10"/>
  <c r="G43" i="7"/>
  <c r="C63" i="7"/>
  <c r="D43" i="7"/>
  <c r="E63" i="7"/>
  <c r="F43" i="7"/>
  <c r="J43" i="7"/>
  <c r="I43" i="7"/>
  <c r="R43" i="7"/>
  <c r="Q43" i="7"/>
  <c r="O43" i="7"/>
  <c r="L43" i="7"/>
  <c r="R43" i="5"/>
  <c r="Q43" i="5"/>
  <c r="J43" i="5"/>
  <c r="I43" i="5"/>
  <c r="G43" i="5"/>
  <c r="D43" i="5"/>
  <c r="O43" i="5"/>
  <c r="L43" i="5"/>
  <c r="G43" i="4"/>
  <c r="D43" i="4"/>
  <c r="J43" i="4"/>
  <c r="I43" i="4"/>
  <c r="R43" i="4"/>
  <c r="Q43" i="4"/>
  <c r="O43" i="4"/>
  <c r="L43" i="4"/>
  <c r="G43" i="3"/>
  <c r="D43" i="3"/>
  <c r="L43" i="3"/>
  <c r="J43" i="3"/>
  <c r="I43" i="3"/>
  <c r="Q43" i="3"/>
  <c r="L45" i="11" l="1"/>
  <c r="C45" i="11"/>
  <c r="AK23" i="11"/>
  <c r="AB24" i="11"/>
  <c r="AB30" i="6"/>
  <c r="N36" i="6"/>
  <c r="M41" i="6"/>
  <c r="O36" i="6"/>
  <c r="N24" i="11"/>
  <c r="M36" i="11"/>
  <c r="N36" i="11" s="1"/>
  <c r="O24" i="11"/>
  <c r="I43" i="10"/>
  <c r="E65" i="7"/>
  <c r="O39" i="11"/>
  <c r="L39" i="11"/>
  <c r="Q45" i="11"/>
  <c r="C43" i="10"/>
  <c r="G41" i="10"/>
  <c r="K41" i="11"/>
  <c r="L36" i="11"/>
  <c r="Q36" i="11"/>
  <c r="G43" i="6"/>
  <c r="D43" i="6"/>
  <c r="C43" i="11"/>
  <c r="D41" i="11"/>
  <c r="G41" i="11"/>
  <c r="R24" i="11"/>
  <c r="L43" i="6"/>
  <c r="O46" i="10"/>
  <c r="K46" i="11"/>
  <c r="N41" i="3"/>
  <c r="R41" i="3"/>
  <c r="M43" i="3"/>
  <c r="O41" i="3"/>
  <c r="P41" i="11"/>
  <c r="P43" i="6"/>
  <c r="R41" i="6"/>
  <c r="Q41" i="6"/>
  <c r="T30" i="6"/>
  <c r="F43" i="6"/>
  <c r="J45" i="11"/>
  <c r="I45" i="11"/>
  <c r="F41" i="11"/>
  <c r="E43" i="11"/>
  <c r="F43" i="11" s="1"/>
  <c r="H43" i="11"/>
  <c r="J41" i="11"/>
  <c r="I41" i="11"/>
  <c r="N45" i="6"/>
  <c r="M45" i="11"/>
  <c r="N45" i="11" s="1"/>
  <c r="O39" i="10"/>
  <c r="K43" i="10"/>
  <c r="O43" i="10" s="1"/>
  <c r="E68" i="7"/>
  <c r="K63" i="7"/>
  <c r="E66" i="7"/>
  <c r="J45" i="5"/>
  <c r="I45" i="5"/>
  <c r="J45" i="4"/>
  <c r="I45" i="4"/>
  <c r="G43" i="10" l="1"/>
  <c r="C65" i="7"/>
  <c r="R41" i="11"/>
  <c r="Q41" i="11"/>
  <c r="P43" i="11"/>
  <c r="R36" i="11"/>
  <c r="M41" i="11"/>
  <c r="N41" i="6"/>
  <c r="M43" i="6"/>
  <c r="O41" i="6"/>
  <c r="N43" i="3"/>
  <c r="O43" i="3"/>
  <c r="R43" i="3"/>
  <c r="O41" i="11"/>
  <c r="L41" i="11"/>
  <c r="K43" i="11"/>
  <c r="AC24" i="11"/>
  <c r="AI23" i="11"/>
  <c r="D43" i="11"/>
  <c r="G43" i="11"/>
  <c r="O36" i="11"/>
  <c r="G45" i="11"/>
  <c r="D45" i="11"/>
  <c r="J43" i="11"/>
  <c r="I43" i="11"/>
  <c r="O46" i="11"/>
  <c r="L46" i="11"/>
  <c r="Q43" i="6"/>
  <c r="R45" i="11"/>
  <c r="O45" i="11"/>
  <c r="N43" i="6" l="1"/>
  <c r="O43" i="6"/>
  <c r="O43" i="11"/>
  <c r="L43" i="11"/>
  <c r="M43" i="11"/>
  <c r="N43" i="11" s="1"/>
  <c r="N41" i="11"/>
  <c r="R43" i="6"/>
  <c r="R43" i="11"/>
  <c r="Q43" i="11"/>
  <c r="C66" i="7"/>
  <c r="C68" i="7"/>
  <c r="F68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351EF46A-C84D-4388-A0B3-B5440003350B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<sst xmlns="http://schemas.openxmlformats.org/spreadsheetml/2006/main" count="1455" uniqueCount="591">
  <si>
    <t>Periodo ant</t>
  </si>
  <si>
    <t>Periodo Actual</t>
  </si>
  <si>
    <t>MES INIC</t>
  </si>
  <si>
    <t>MES FIN</t>
  </si>
  <si>
    <t>AÑO</t>
  </si>
  <si>
    <t>TRM</t>
  </si>
  <si>
    <t>ENERO</t>
  </si>
  <si>
    <t>FEBRERO</t>
  </si>
  <si>
    <t>PPTO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</si>
  <si>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</si>
  <si>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</si>
  <si>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</si>
  <si>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</si>
  <si>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</si>
  <si>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</si>
  <si>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</si>
  <si>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</si>
  <si>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</si>
  <si>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</si>
  <si>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</si>
  <si>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</si>
  <si>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</si>
  <si>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</si>
  <si>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</si>
  <si>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</si>
  <si>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</si>
  <si>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</si>
  <si>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</si>
  <si>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</si>
  <si>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</si>
  <si>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</si>
  <si>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</si>
  <si>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</si>
  <si>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</si>
  <si>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</si>
  <si>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</si>
  <si>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</si>
  <si>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</si>
  <si>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</si>
  <si>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</si>
  <si>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</si>
  <si>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</si>
  <si>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</si>
  <si>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</si>
  <si>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</si>
  <si>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</si>
  <si>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</si>
  <si>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</si>
  <si>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</si>
  <si>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</si>
  <si>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</si>
  <si>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</si>
  <si>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</si>
  <si>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</si>
  <si>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</si>
  <si>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</si>
  <si>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</si>
  <si>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</si>
  <si>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</si>
  <si>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</si>
  <si>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</si>
  <si>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</si>
  <si>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</si>
  <si>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</si>
  <si>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</si>
  <si>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</si>
  <si>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</si>
  <si>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</si>
  <si>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</si>
  <si>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</si>
  <si>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</si>
  <si>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</si>
  <si>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</si>
  <si>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</si>
  <si>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</si>
  <si>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</si>
  <si>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4155951500,4155951600,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</si>
  <si>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</si>
  <si>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</si>
  <si>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</si>
  <si>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</si>
  <si>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</si>
  <si>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</si>
  <si>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</si>
  <si>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</si>
  <si>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</si>
  <si>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</si>
  <si>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</si>
  <si>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</si>
  <si>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</si>
  <si>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</si>
  <si>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</si>
  <si>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</si>
  <si>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</si>
  <si>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</si>
  <si>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</si>
  <si>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</si>
  <si>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</si>
  <si>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</si>
  <si>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</si>
  <si>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</si>
  <si>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</si>
  <si>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</si>
  <si>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</si>
  <si>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</si>
  <si>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2025</t>
  </si>
  <si>
    <t>Real 2024</t>
  </si>
  <si>
    <t>real 2025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</si>
  <si>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</si>
  <si>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</si>
  <si>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</si>
  <si>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</si>
  <si>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</si>
  <si>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</si>
  <si>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</si>
  <si>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</si>
  <si>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</si>
  <si>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</si>
  <si>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</si>
  <si>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</si>
  <si>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</si>
  <si>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</si>
  <si>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</si>
  <si>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</si>
  <si>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</si>
  <si>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</si>
  <si>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</si>
  <si>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</si>
  <si>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</si>
  <si>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</si>
  <si>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</si>
  <si>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</si>
  <si>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2025</t>
  </si>
  <si>
    <t>Dólar implicito tomado dolar today</t>
  </si>
  <si>
    <t>TRM 2024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</si>
  <si>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</si>
  <si>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</si>
  <si>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</si>
  <si>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</si>
  <si>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</si>
  <si>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</si>
  <si>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</si>
  <si>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</si>
  <si>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</si>
  <si>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</si>
  <si>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</si>
  <si>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Año 2025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</si>
  <si>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</si>
  <si>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</si>
  <si>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</si>
  <si>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</si>
  <si>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</si>
  <si>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</si>
  <si>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</si>
  <si>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</si>
  <si>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</si>
  <si>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>4155900000,4155900100,4155900500,4155900600,4170250000,4170250100,4170250200,4170251500,4170251600,4170251700,4170251900,4170251800,4170252000,4170253000,4170253500,4170252100,4170253700,4155900700,4170253800,4155900800,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</si>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</sst>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  <numFmt numFmtId="177" formatCode="_-* #,##0.0_-;\-* #,##0.0_-;_-* &quot;-&quot;??????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4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9" fontId="13" fillId="0" borderId="0" xfId="3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6" applyNumberFormat="1" applyFont="1"/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9" fillId="0" borderId="0" xfId="0" applyNumberFormat="1" applyFont="1"/>
    <xf numFmtId="3" fontId="11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7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3" fontId="17" fillId="0" borderId="0" xfId="0" applyNumberFormat="1" applyFont="1"/>
    <xf numFmtId="9" fontId="17" fillId="0" borderId="0" xfId="3" applyFont="1" applyFill="1" applyBorder="1" applyAlignment="1"/>
    <xf numFmtId="171" fontId="17" fillId="0" borderId="0" xfId="3" applyNumberFormat="1" applyFont="1" applyFill="1" applyBorder="1" applyAlignment="1"/>
    <xf numFmtId="3" fontId="9" fillId="0" borderId="0" xfId="0" applyNumberFormat="1" applyFont="1"/>
    <xf numFmtId="9" fontId="3" fillId="0" borderId="0" xfId="3" applyFont="1" applyFill="1" applyBorder="1" applyAlignme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43" fontId="3" fillId="0" borderId="0" xfId="0" applyNumberFormat="1" applyFont="1"/>
    <xf numFmtId="173" fontId="3" fillId="0" borderId="0" xfId="1" applyNumberFormat="1" applyFont="1" applyFill="1" applyBorder="1"/>
    <xf numFmtId="1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4" fontId="19" fillId="0" borderId="0" xfId="1" applyNumberFormat="1" applyFont="1"/>
    <xf numFmtId="175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6" fontId="18" fillId="0" borderId="0" xfId="0" applyNumberFormat="1" applyFont="1"/>
    <xf numFmtId="177" fontId="3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0B2B8FEB-9781-4802-B438-A0B18886E12B}"/>
    <cellStyle name="Normal" xfId="0" builtinId="0"/>
    <cellStyle name="Normal 2" xfId="6" xr:uid="{77B933DE-D38C-4EA0-A1D7-0A39EEACCB82}"/>
    <cellStyle name="Normal 3" xfId="4" xr:uid="{1096F450-2DEF-4753-9570-82ABDAB15A43}"/>
    <cellStyle name="Porcentaje" xfId="3" builtinId="5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40</xdr:col>
      <xdr:colOff>704575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8EDE27-EDE1-4B93-9A91-0782FDCDA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3500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DDF6F5-E76E-431C-9F8A-D18A6C53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C3B824-715D-4071-BC2D-F3A41853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4754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39</xdr:col>
      <xdr:colOff>865925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8C2765-B37E-4438-BB54-C78E55B9C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040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3F8146-05A3-49AD-B149-36F19848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9462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81CF047-084C-4BF8-A779-9791B015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26192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8F7C213-93FD-4752-B5AC-BD851CD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6727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240F3C4-A746-4C6F-B1C8-BAAA48896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3930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142876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ED5E9A2-C70F-4510-A683-6A4E26A2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0850" y="2228851"/>
          <a:ext cx="4257676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D161969-4163-4673-BCD8-AE087749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2375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633607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5C7CAB5-1651-4516-B3E6-DE81782F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7650" y="2390775"/>
          <a:ext cx="3681607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968934B-3212-4581-B0C2-F7A636C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8545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418278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9FF41A4-FE68-4634-9850-C41A2F64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95399" y="11153776"/>
          <a:ext cx="3180529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34CD02A-9E52-415F-BB52-CE790D7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1017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44</xdr:col>
      <xdr:colOff>724298</xdr:colOff>
      <xdr:row>71</xdr:row>
      <xdr:rowOff>148829</xdr:rowOff>
    </xdr:from>
    <xdr:to>
      <xdr:col>48</xdr:col>
      <xdr:colOff>590361</xdr:colOff>
      <xdr:row>79</xdr:row>
      <xdr:rowOff>229273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BA40B99-BF9A-4F90-9381-91789B19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23948" y="12921854"/>
          <a:ext cx="2914063" cy="160444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257968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66974C1-B862-4D04-9C35-AAF4C1F5D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39125" y="13087963"/>
          <a:ext cx="2876493" cy="1791800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29768</xdr:colOff>
      <xdr:row>73</xdr:row>
      <xdr:rowOff>101674</xdr:rowOff>
    </xdr:from>
    <xdr:to>
      <xdr:col>58</xdr:col>
      <xdr:colOff>198004</xdr:colOff>
      <xdr:row>81</xdr:row>
      <xdr:rowOff>98802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35C2AD6-5DEE-48E6-BBAE-152E9218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49418" y="13255699"/>
          <a:ext cx="3216236" cy="1625903"/>
        </a:xfrm>
        <a:prstGeom prst="rect">
          <a:avLst/>
        </a:prstGeom>
      </xdr:spPr>
    </xdr:pic>
    <xdr:clientData/>
  </xdr:twoCellAnchor>
  <xdr:twoCellAnchor editAs="oneCell">
    <xdr:from>
      <xdr:col>58</xdr:col>
      <xdr:colOff>49611</xdr:colOff>
      <xdr:row>73</xdr:row>
      <xdr:rowOff>79374</xdr:rowOff>
    </xdr:from>
    <xdr:to>
      <xdr:col>62</xdr:col>
      <xdr:colOff>40017</xdr:colOff>
      <xdr:row>82</xdr:row>
      <xdr:rowOff>35230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BE186D1A-C2F7-47A5-A7B4-18F67308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017261" y="13233399"/>
          <a:ext cx="3038406" cy="1775131"/>
        </a:xfrm>
        <a:prstGeom prst="rect">
          <a:avLst/>
        </a:prstGeom>
      </xdr:spPr>
    </xdr:pic>
    <xdr:clientData/>
  </xdr:twoCellAnchor>
  <xdr:twoCellAnchor editAs="oneCell">
    <xdr:from>
      <xdr:col>45</xdr:col>
      <xdr:colOff>529344</xdr:colOff>
      <xdr:row>80</xdr:row>
      <xdr:rowOff>138906</xdr:rowOff>
    </xdr:from>
    <xdr:to>
      <xdr:col>49</xdr:col>
      <xdr:colOff>272740</xdr:colOff>
      <xdr:row>90</xdr:row>
      <xdr:rowOff>79376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0144263-806A-4AEB-B78C-E8615C0C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90994" y="14731206"/>
          <a:ext cx="2791396" cy="1616870"/>
        </a:xfrm>
        <a:prstGeom prst="rect">
          <a:avLst/>
        </a:prstGeom>
      </xdr:spPr>
    </xdr:pic>
    <xdr:clientData/>
  </xdr:twoCellAnchor>
  <xdr:twoCellAnchor editAs="oneCell">
    <xdr:from>
      <xdr:col>50</xdr:col>
      <xdr:colOff>99219</xdr:colOff>
      <xdr:row>83</xdr:row>
      <xdr:rowOff>16642</xdr:rowOff>
    </xdr:from>
    <xdr:to>
      <xdr:col>53</xdr:col>
      <xdr:colOff>724297</xdr:colOff>
      <xdr:row>93</xdr:row>
      <xdr:rowOff>113800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DC4092A-88DE-431E-88AA-475E52A0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70869" y="15151867"/>
          <a:ext cx="2911078" cy="1716408"/>
        </a:xfrm>
        <a:prstGeom prst="rect">
          <a:avLst/>
        </a:prstGeom>
      </xdr:spPr>
    </xdr:pic>
    <xdr:clientData/>
  </xdr:twoCellAnchor>
  <xdr:twoCellAnchor editAs="oneCell">
    <xdr:from>
      <xdr:col>54</xdr:col>
      <xdr:colOff>218282</xdr:colOff>
      <xdr:row>83</xdr:row>
      <xdr:rowOff>47028</xdr:rowOff>
    </xdr:from>
    <xdr:to>
      <xdr:col>58</xdr:col>
      <xdr:colOff>426641</xdr:colOff>
      <xdr:row>94</xdr:row>
      <xdr:rowOff>42662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A97E78A-B942-4F56-A6FA-BBED8245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37932" y="15182253"/>
          <a:ext cx="3256359" cy="1805384"/>
        </a:xfrm>
        <a:prstGeom prst="rect">
          <a:avLst/>
        </a:prstGeom>
      </xdr:spPr>
    </xdr:pic>
    <xdr:clientData/>
  </xdr:twoCellAnchor>
  <xdr:twoCellAnchor editAs="oneCell">
    <xdr:from>
      <xdr:col>59</xdr:col>
      <xdr:colOff>69453</xdr:colOff>
      <xdr:row>82</xdr:row>
      <xdr:rowOff>109140</xdr:rowOff>
    </xdr:from>
    <xdr:to>
      <xdr:col>62</xdr:col>
      <xdr:colOff>701309</xdr:colOff>
      <xdr:row>98</xdr:row>
      <xdr:rowOff>29836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8839D7F4-562C-425C-9E12-468809BE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99103" y="15082440"/>
          <a:ext cx="2917856" cy="2654371"/>
        </a:xfrm>
        <a:prstGeom prst="rect">
          <a:avLst/>
        </a:prstGeom>
      </xdr:spPr>
    </xdr:pic>
    <xdr:clientData/>
  </xdr:twoCellAnchor>
  <xdr:twoCellAnchor editAs="oneCell">
    <xdr:from>
      <xdr:col>45</xdr:col>
      <xdr:colOff>550374</xdr:colOff>
      <xdr:row>94</xdr:row>
      <xdr:rowOff>119063</xdr:rowOff>
    </xdr:from>
    <xdr:to>
      <xdr:col>53</xdr:col>
      <xdr:colOff>236911</xdr:colOff>
      <xdr:row>116</xdr:row>
      <xdr:rowOff>148405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8665CD4D-8AC7-48B6-AD44-6FEAB246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612024" y="17064038"/>
          <a:ext cx="5782537" cy="39345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%20(x86)\Vision%20Tecnologica\UnoBiable\UnoBiable.xla" TargetMode="External"/><Relationship Id="rId1" Type="http://schemas.openxmlformats.org/officeDocument/2006/relationships/externalLinkPath" Target="/Program%20Files%20(x86)/Vision%20Tecnologica/UnoBiable/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ings"/>
      <sheetName val="UnoBiable"/>
    </sheetNames>
    <definedNames>
      <definedName name="Consulta"/>
    </defined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C4673183-7FDF-47F6-8E58-F2708AAEE3B9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8FD89675-08A1-45C5-ADD1-7ED37D6127C8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574AA474-8427-4964-80BB-C4703B31D877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BBA3E7-DAE9-4422-8331-BB12480FCA4F}" name="UnoBiable: SmartZoom 001 en ctas" cacheId="5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9F3FF6-189B-480D-A54F-CE8BFCCA9D8B}" name="UnoBiable: SmartZoom 002 en ctas" cacheId="6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07D3CD-1B3F-4655-9CF0-21146F82FCE8}" name="UnoBiable: SmartZoom 000 en ctas" cacheId="4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4F77F-EA42-4B27-97E1-BCAFED1CB088}">
  <dimension ref="A2:G33"/>
  <sheetViews>
    <sheetView showGridLines="0" topLeftCell="A4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202401</v>
      </c>
      <c r="B3" s="3" t="str">
        <f>VLOOKUP(D3,B22:D33,3,0)</f>
        <v>202501</v>
      </c>
      <c r="C3" s="3"/>
      <c r="D3" s="4" t="s">
        <v>6</v>
      </c>
      <c r="E3" s="4" t="s">
        <v>7</v>
      </c>
      <c r="F3" s="5">
        <v>2025</v>
      </c>
      <c r="G3" s="6">
        <v>4120.1099999999997</v>
      </c>
    </row>
    <row r="4" spans="1:7" x14ac:dyDescent="0.2">
      <c r="A4" s="2" t="str">
        <f>VLOOKUP(E4,B22:E33,4,0)</f>
        <v>202402</v>
      </c>
      <c r="B4" s="3" t="str">
        <f>VLOOKUP(E3,B22:D33,3,0)</f>
        <v>202502</v>
      </c>
      <c r="C4" s="3"/>
      <c r="D4" s="7" t="str">
        <f>+D3</f>
        <v>ENERO</v>
      </c>
      <c r="E4" s="7" t="str">
        <f>+E3</f>
        <v>FEBRERO</v>
      </c>
      <c r="F4" s="5">
        <v>2024</v>
      </c>
      <c r="G4" s="8">
        <v>3933.56</v>
      </c>
    </row>
    <row r="5" spans="1:7" x14ac:dyDescent="0.2">
      <c r="A5" s="2"/>
      <c r="B5" s="3">
        <f>+B4-1</f>
        <v>202501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202501</v>
      </c>
      <c r="E22" s="1" t="str">
        <f t="shared" ref="E22:E30" si="1">$F$4&amp;0&amp;C22</f>
        <v>202401</v>
      </c>
    </row>
    <row r="23" spans="2:5" x14ac:dyDescent="0.2">
      <c r="B23" s="1" t="s">
        <v>7</v>
      </c>
      <c r="C23" s="1">
        <v>2</v>
      </c>
      <c r="D23" s="1" t="str">
        <f t="shared" si="0"/>
        <v>202502</v>
      </c>
      <c r="E23" s="1" t="str">
        <f t="shared" si="1"/>
        <v>202402</v>
      </c>
    </row>
    <row r="24" spans="2:5" x14ac:dyDescent="0.2">
      <c r="B24" s="1" t="s">
        <v>9</v>
      </c>
      <c r="C24" s="1">
        <v>3</v>
      </c>
      <c r="D24" s="1" t="str">
        <f t="shared" si="0"/>
        <v>202503</v>
      </c>
      <c r="E24" s="1" t="str">
        <f t="shared" si="1"/>
        <v>202403</v>
      </c>
    </row>
    <row r="25" spans="2:5" x14ac:dyDescent="0.2">
      <c r="B25" s="1" t="s">
        <v>10</v>
      </c>
      <c r="C25" s="1">
        <v>4</v>
      </c>
      <c r="D25" s="1" t="str">
        <f t="shared" si="0"/>
        <v>202504</v>
      </c>
      <c r="E25" s="1" t="str">
        <f t="shared" si="1"/>
        <v>202404</v>
      </c>
    </row>
    <row r="26" spans="2:5" x14ac:dyDescent="0.2">
      <c r="B26" s="1" t="s">
        <v>11</v>
      </c>
      <c r="C26" s="1">
        <v>5</v>
      </c>
      <c r="D26" s="1" t="str">
        <f t="shared" si="0"/>
        <v>202505</v>
      </c>
      <c r="E26" s="1" t="str">
        <f t="shared" si="1"/>
        <v>202405</v>
      </c>
    </row>
    <row r="27" spans="2:5" x14ac:dyDescent="0.2">
      <c r="B27" s="1" t="s">
        <v>12</v>
      </c>
      <c r="C27" s="1">
        <v>6</v>
      </c>
      <c r="D27" s="1" t="str">
        <f t="shared" si="0"/>
        <v>202506</v>
      </c>
      <c r="E27" s="1" t="str">
        <f t="shared" si="1"/>
        <v>202406</v>
      </c>
    </row>
    <row r="28" spans="2:5" x14ac:dyDescent="0.2">
      <c r="B28" s="1" t="s">
        <v>13</v>
      </c>
      <c r="C28" s="1">
        <v>7</v>
      </c>
      <c r="D28" s="1" t="str">
        <f t="shared" si="0"/>
        <v>202507</v>
      </c>
      <c r="E28" s="1" t="str">
        <f t="shared" si="1"/>
        <v>202407</v>
      </c>
    </row>
    <row r="29" spans="2:5" x14ac:dyDescent="0.2">
      <c r="B29" s="1" t="s">
        <v>14</v>
      </c>
      <c r="C29" s="1">
        <v>8</v>
      </c>
      <c r="D29" s="1" t="str">
        <f t="shared" si="0"/>
        <v>202508</v>
      </c>
      <c r="E29" s="1" t="str">
        <f t="shared" si="1"/>
        <v>202408</v>
      </c>
    </row>
    <row r="30" spans="2:5" x14ac:dyDescent="0.2">
      <c r="B30" s="1" t="s">
        <v>15</v>
      </c>
      <c r="C30" s="1">
        <v>9</v>
      </c>
      <c r="D30" s="1" t="str">
        <f t="shared" si="0"/>
        <v>202509</v>
      </c>
      <c r="E30" s="1" t="str">
        <f t="shared" si="1"/>
        <v>202409</v>
      </c>
    </row>
    <row r="31" spans="2:5" x14ac:dyDescent="0.2">
      <c r="B31" s="1" t="s">
        <v>16</v>
      </c>
      <c r="C31" s="1">
        <v>10</v>
      </c>
      <c r="D31" s="1" t="str">
        <f>$F$3&amp;C31</f>
        <v>202510</v>
      </c>
      <c r="E31" s="1" t="str">
        <f>$F$4&amp;C31</f>
        <v>202410</v>
      </c>
    </row>
    <row r="32" spans="2:5" x14ac:dyDescent="0.2">
      <c r="B32" s="1" t="s">
        <v>17</v>
      </c>
      <c r="C32" s="1">
        <v>11</v>
      </c>
      <c r="D32" s="1" t="str">
        <f>$F$3&amp;C32</f>
        <v>202511</v>
      </c>
      <c r="E32" s="1" t="str">
        <f>$F$4&amp;C32</f>
        <v>202411</v>
      </c>
    </row>
    <row r="33" spans="2:5" x14ac:dyDescent="0.2">
      <c r="B33" s="1" t="s">
        <v>18</v>
      </c>
      <c r="C33" s="1">
        <v>12</v>
      </c>
      <c r="D33" s="1" t="str">
        <f>$F$3&amp;C33</f>
        <v>202512</v>
      </c>
      <c r="E33" s="1" t="str">
        <f>$F$4&amp;C33</f>
        <v>202412</v>
      </c>
    </row>
  </sheetData>
  <dataValidations count="1">
    <dataValidation type="list" allowBlank="1" showInputMessage="1" showErrorMessage="1" sqref="D3:E3" xr:uid="{A4236253-9B1E-4E84-BA35-22D13094942E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5E363-CE59-4D10-AD23-452B00C6C306}">
  <dimension ref="A1:AK46"/>
  <sheetViews>
    <sheetView showGridLines="0" topLeftCell="Q22" workbookViewId="0">
      <selection activeCell="AK71" sqref="AK71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151</v>
      </c>
      <c r="T3" s="121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91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FEBRERO de 2025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91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152</v>
      </c>
      <c r="E7" s="61"/>
      <c r="F7" s="61" t="s">
        <v>153</v>
      </c>
      <c r="G7" s="62" t="s">
        <v>24</v>
      </c>
      <c r="H7" s="61"/>
      <c r="I7" s="61" t="s">
        <v>154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155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-12779.987785376477</v>
      </c>
      <c r="X8" s="32">
        <f>'COLOMBIA USD'!Y10+'EL SALVADOR USD'!X10+'VENEZUELA USD'!X9+'PANAMA USD'!W10</f>
        <v>19098.198472223688</v>
      </c>
      <c r="Y8" s="32">
        <f>'COLOMBIA USD'!X10+'EL SALVADOR USD'!W10+'VENEZUELA USD'!Y9+'PANAMA USD'!V10</f>
        <v>-23807.234433061294</v>
      </c>
      <c r="Z8" s="32">
        <f>'COLOMBIA USD'!Z10+'EL SALVADOR USD'!Y10+'VENEZUELA USD'!Z9+'PANAMA USD'!X10</f>
        <v>0</v>
      </c>
      <c r="AA8" s="32">
        <f>'COLOMBIA USD'!AD10+'EL SALVADOR USD'!AC10+'VENEZUELA USD'!AA9+'PANAMA USD'!AB10</f>
        <v>32764.72991193728</v>
      </c>
      <c r="AB8" s="32">
        <f>'COLOMBIA USD'!AA10+'EL SALVADOR USD'!Z10+'VENEZUELA USD'!AB9+'PANAMA USD'!Y10</f>
        <v>30371.276495045036</v>
      </c>
      <c r="AC8" s="63">
        <f>+AB8-Z8</f>
        <v>30371.276495045036</v>
      </c>
      <c r="AD8" s="68" t="str">
        <f>IF(Z8=0,"",(AB8-Z8)/ABS(Z8)+1)</f>
        <v/>
      </c>
      <c r="AE8" s="68">
        <f>IF(X8=0,"",(AB8-AA8)/ABS(AA8))</f>
        <v>-7.3049691644802142E-2</v>
      </c>
      <c r="AF8" s="55"/>
      <c r="AG8" s="55">
        <f>+'COLOMBIA USD'!Y10+'EL SALVADOR USD'!X10+'VENEZUELA USD'!X9+'PANAMA USD'!W10</f>
        <v>19098.198472223688</v>
      </c>
      <c r="AH8" s="55">
        <f>+'COLOMBIA USD'!X10+'EL SALVADOR USD'!W10+'VENEZUELA USD'!Y9+'PANAMA USD'!V10</f>
        <v>-23807.234433061294</v>
      </c>
      <c r="AI8" s="55">
        <f>+'COLOMBIA USD'!Z10+'EL SALVADOR USD'!Y10+'VENEZUELA USD'!Z9+'PANAMA USD'!X10</f>
        <v>0</v>
      </c>
      <c r="AJ8" s="55">
        <f>+'COLOMBIA USD'!AD10+'EL SALVADOR USD'!AC10+'VENEZUELA USD'!AA9+'PANAMA USD'!AB10</f>
        <v>32764.72991193728</v>
      </c>
      <c r="AK8" s="55">
        <f>+'COLOMBIA USD'!AA10+'EL SALVADOR USD'!Z10+'VENEZUELA USD'!AB9+'PANAMA USD'!Y10</f>
        <v>30371.276495045036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2008.1112737920937</v>
      </c>
      <c r="X9" s="32">
        <f>'COLOMBIA USD'!Y11+'EL SALVADOR USD'!X11+'VENEZUELA USD'!X10+'PANAMA USD'!W11</f>
        <v>252431.77077179475</v>
      </c>
      <c r="Y9" s="32">
        <f>'COLOMBIA USD'!X11+'EL SALVADOR USD'!W11+'VENEZUELA USD'!Y10+'PANAMA USD'!V11</f>
        <v>243514.43299135359</v>
      </c>
      <c r="Z9" s="32">
        <f>'COLOMBIA USD'!Z11+'EL SALVADOR USD'!Y11+'VENEZUELA USD'!Z10+'PANAMA USD'!X11</f>
        <v>32.401171303074989</v>
      </c>
      <c r="AA9" s="32">
        <f>'COLOMBIA USD'!AD11+'EL SALVADOR USD'!AC11+'VENEZUELA USD'!AA10+'PANAMA USD'!AB11</f>
        <v>708026.19300934405</v>
      </c>
      <c r="AB9" s="32">
        <f>'COLOMBIA USD'!AA11+'EL SALVADOR USD'!Z11+'VENEZUELA USD'!AB10+'PANAMA USD'!Y11</f>
        <v>519904.46364187356</v>
      </c>
      <c r="AC9" s="63">
        <f>+AB9-Z9</f>
        <v>519872.0624705705</v>
      </c>
      <c r="AD9" s="68">
        <f>IF(Z9=0,"",(AB9-Z9)/ABS(Z9)+1)</f>
        <v>16045.853984066704</v>
      </c>
      <c r="AE9" s="68">
        <f>IF(AA9=0,"",(AB9-AA9)/ABS(AA9))</f>
        <v>-0.26569882756440311</v>
      </c>
      <c r="AF9" s="55"/>
      <c r="AG9" s="55">
        <f>+'COLOMBIA USD'!Y11+'EL SALVADOR USD'!X11+'VENEZUELA USD'!X10+'PANAMA USD'!W11</f>
        <v>252431.77077179475</v>
      </c>
      <c r="AH9" s="55">
        <f>+'COLOMBIA USD'!X11+'EL SALVADOR USD'!W11+'VENEZUELA USD'!Y10+'PANAMA USD'!V11</f>
        <v>243514.43299135359</v>
      </c>
      <c r="AI9" s="55">
        <f>+'COLOMBIA USD'!AB11+'EL SALVADOR USD'!AA11+'VENEZUELA USD'!AC10+'PANAMA USD'!Z11</f>
        <v>519367.80657381983</v>
      </c>
      <c r="AK9" s="55">
        <f>+'COLOMBIA USD'!AA11+'EL SALVADOR USD'!Z11+'VENEZUELA USD'!AB10+'PANAMA USD'!Y11</f>
        <v>519904.46364187356</v>
      </c>
    </row>
    <row r="10" spans="1:37" x14ac:dyDescent="0.2">
      <c r="B10" s="3" t="s">
        <v>65</v>
      </c>
      <c r="C10" s="32">
        <f>+'COLOMBIA USD'!C10+'EL SALVADOR USD'!C10+'VENEZUELA USD'!C10+'PANAMA USD'!C10</f>
        <v>85984.144806233206</v>
      </c>
      <c r="D10" s="34">
        <f t="shared" ref="D10:D15" si="0">+C10/$C$20</f>
        <v>0.37067814012614286</v>
      </c>
      <c r="E10" s="32">
        <f>+'COLOMBIA USD'!E10+'EL SALVADOR USD'!E10+'VENEZUELA USD'!E10+'PANAMA USD'!E10</f>
        <v>113270.27197039066</v>
      </c>
      <c r="F10" s="34">
        <f t="shared" ref="F10:F20" si="1">+E10/$E$20</f>
        <v>0.4687450932543038</v>
      </c>
      <c r="G10" s="34">
        <f t="shared" ref="G10:G20" si="2">IF(C10=0,"",(E10-C10)/ABS(C10)+1)</f>
        <v>1.3173390539110115</v>
      </c>
      <c r="H10" s="32">
        <f>+'COLOMBIA USD'!H10+'EL SALVADOR USD'!H10+'VENEZUELA USD'!H10+'PANAMA USD'!H10</f>
        <v>105320.75518059648</v>
      </c>
      <c r="I10" s="34">
        <f t="shared" ref="I10:I18" si="3">+H10/$H$20</f>
        <v>0.38387487837575612</v>
      </c>
      <c r="J10" s="34">
        <f t="shared" ref="J10:J20" si="4">IF(H10=0,"",(E10-H10)/ABS(H10))</f>
        <v>7.5479109280624943E-2</v>
      </c>
      <c r="K10" s="32">
        <f>+'COLOMBIA USD'!K10+'EL SALVADOR USD'!K10+'VENEZUELA USD'!K10+'PANAMA USD'!K10</f>
        <v>185566.55665566557</v>
      </c>
      <c r="L10" s="34">
        <f t="shared" ref="L10:L46" si="5">+K10/$K$20</f>
        <v>0.40220547386223404</v>
      </c>
      <c r="M10" s="32">
        <f>+'COLOMBIA USD'!M10+'EL SALVADOR USD'!M10+'VENEZUELA USD'!M10+'PANAMA USD'!M10</f>
        <v>230231.7702606135</v>
      </c>
      <c r="N10" s="34">
        <f t="shared" ref="N10:N20" si="6">+M10/$M$20</f>
        <v>0.48254764965004426</v>
      </c>
      <c r="O10" s="34">
        <f t="shared" ref="O10:O18" si="7">IF(K10=0,"",(M10-K10)/ABS(K10)+1)</f>
        <v>1.2406964617435243</v>
      </c>
      <c r="P10" s="32">
        <f>+'COLOMBIA USD'!P10+'EL SALVADOR USD'!P10+'VENEZUELA USD'!P10+'PANAMA USD'!P10</f>
        <v>245635.53066786469</v>
      </c>
      <c r="Q10" s="34">
        <f t="shared" ref="Q10:Q46" si="8">+P10/$P$20</f>
        <v>0.43688484905185188</v>
      </c>
      <c r="R10" s="34">
        <f t="shared" ref="R10:R18" si="9">IF(P10=0,"",(M10-P10)/ABS(P10))</f>
        <v>-6.270982200893134E-2</v>
      </c>
      <c r="V10" s="3" t="s">
        <v>33</v>
      </c>
      <c r="W10" s="32">
        <f>'COLOMBIA USD'!W13+'EL SALVADOR USD'!V13+'VENEZUELA USD'!W11+'PANAMA USD'!U13</f>
        <v>2954.2459736456808</v>
      </c>
      <c r="X10" s="32">
        <f>'COLOMBIA USD'!Y13+'EL SALVADOR USD'!X13+'VENEZUELA USD'!X11+'PANAMA USD'!W13</f>
        <v>50050.48454834806</v>
      </c>
      <c r="Y10" s="32">
        <f>'COLOMBIA USD'!X13+'EL SALVADOR USD'!W13+'VENEZUELA USD'!Y11+'PANAMA USD'!V13</f>
        <v>62068.406934671075</v>
      </c>
      <c r="Z10" s="32">
        <f>'COLOMBIA USD'!Z13+'EL SALVADOR USD'!Y13+'VENEZUELA USD'!Z11+'PANAMA USD'!X13</f>
        <v>10541.478770131773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123682.65508039339</v>
      </c>
      <c r="AC10" s="63">
        <f>+Z10-AB10</f>
        <v>-113141.17631026162</v>
      </c>
      <c r="AD10" s="68">
        <f>IF(Z10=0,"",(AB10-Z10)/ABS(Z10)+1)</f>
        <v>11.732951114110845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50050.48454834806</v>
      </c>
      <c r="AH10" s="55">
        <f>+'COLOMBIA USD'!X13+'EL SALVADOR USD'!W13+'VENEZUELA USD'!Y11+'PANAMA USD'!V13</f>
        <v>62068.406934671075</v>
      </c>
      <c r="AI10" s="55">
        <f>+'COLOMBIA USD'!AB13+'EL SALVADOR USD'!AA13+'VENEZUELA USD'!AC11+'PANAMA USD'!Z13</f>
        <v>-91770.162244506864</v>
      </c>
      <c r="AK10" s="55">
        <f>+'COLOMBIA USD'!AA13+'EL SALVADOR USD'!Z13+'VENEZUELA USD'!AB11+'PANAMA USD'!Y13</f>
        <v>123682.65508039339</v>
      </c>
    </row>
    <row r="11" spans="1:37" x14ac:dyDescent="0.2">
      <c r="B11" s="3" t="s">
        <v>67</v>
      </c>
      <c r="C11" s="32">
        <f>+'COLOMBIA USD'!C11+'EL SALVADOR USD'!C11+'VENEZUELA USD'!C11+'PANAMA USD'!C11</f>
        <v>18939.811506923888</v>
      </c>
      <c r="D11" s="34">
        <f t="shared" si="0"/>
        <v>8.1649635750256688E-2</v>
      </c>
      <c r="E11" s="32">
        <f>+'COLOMBIA USD'!E11+'EL SALVADOR USD'!E11+'VENEZUELA USD'!E11+'PANAMA USD'!E11</f>
        <v>8537.9163368652062</v>
      </c>
      <c r="F11" s="34">
        <f t="shared" si="1"/>
        <v>3.5332363204420424E-2</v>
      </c>
      <c r="G11" s="34">
        <f t="shared" si="2"/>
        <v>0.45079204371933546</v>
      </c>
      <c r="H11" s="32">
        <f>+'COLOMBIA USD'!H11+'EL SALVADOR USD'!H11+'VENEZUELA USD'!H11+'PANAMA USD'!H11</f>
        <v>4947.1198492886679</v>
      </c>
      <c r="I11" s="34">
        <f t="shared" si="3"/>
        <v>1.8031346501452432E-2</v>
      </c>
      <c r="J11" s="34">
        <f t="shared" si="4"/>
        <v>0.72583575837420811</v>
      </c>
      <c r="K11" s="32">
        <f>+'COLOMBIA USD'!K11+'EL SALVADOR USD'!K11+'VENEZUELA USD'!K11+'PANAMA USD'!K11</f>
        <v>30992.253864561717</v>
      </c>
      <c r="L11" s="34">
        <f t="shared" si="5"/>
        <v>6.7174033814643833E-2</v>
      </c>
      <c r="M11" s="32">
        <f>+'COLOMBIA USD'!M11+'EL SALVADOR USD'!M11+'VENEZUELA USD'!M11+'PANAMA USD'!M11</f>
        <v>13775.114475524902</v>
      </c>
      <c r="N11" s="34">
        <f t="shared" si="6"/>
        <v>2.8871554548273361E-2</v>
      </c>
      <c r="O11" s="34">
        <f t="shared" si="7"/>
        <v>0.44446959345787185</v>
      </c>
      <c r="P11" s="32">
        <f>+'COLOMBIA USD'!P11+'EL SALVADOR USD'!P11+'VENEZUELA USD'!P11+'PANAMA USD'!P11</f>
        <v>24173.419353164179</v>
      </c>
      <c r="Q11" s="34">
        <f t="shared" si="8"/>
        <v>4.2994597061995363E-2</v>
      </c>
      <c r="R11" s="34">
        <f t="shared" si="9"/>
        <v>-0.43015449017468815</v>
      </c>
      <c r="V11" s="3" t="s">
        <v>34</v>
      </c>
      <c r="W11" s="32">
        <f>'COLOMBIA USD'!W14+'EL SALVADOR USD'!V14+'VENEZUELA USD'!W12+'PANAMA USD'!U14</f>
        <v>0</v>
      </c>
      <c r="X11" s="32">
        <f>'COLOMBIA USD'!Y14+'EL SALVADOR USD'!X14+'VENEZUELA USD'!X12+'PANAMA USD'!W14</f>
        <v>3491.603534711559</v>
      </c>
      <c r="Y11" s="32">
        <f>'COLOMBIA USD'!X14+'EL SALVADOR USD'!W14+'VENEZUELA USD'!Y12+'PANAMA USD'!V14</f>
        <v>2765.1140382174267</v>
      </c>
      <c r="Z11" s="32">
        <f>'COLOMBIA USD'!Z14+'EL SALVADOR USD'!Y14+'VENEZUELA USD'!Z12+'PANAMA USD'!X14</f>
        <v>0</v>
      </c>
      <c r="AA11" s="32">
        <f>'COLOMBIA USD'!AD14+'EL SALVADOR USD'!AC14+'VENEZUELA USD'!AA12+'PANAMA USD'!AB14</f>
        <v>6468.7395133161817</v>
      </c>
      <c r="AB11" s="32">
        <f>'COLOMBIA USD'!AA14+'EL SALVADOR USD'!Z14+'VENEZUELA USD'!AB12+'PANAMA USD'!Y14</f>
        <v>7407.5757686081197</v>
      </c>
      <c r="AC11" s="63">
        <f>+Z11-AB11</f>
        <v>-7407.5757686081197</v>
      </c>
      <c r="AD11" s="68" t="str">
        <f t="shared" ref="AD11:AD22" si="11">IF(Z11=0,"",(AB11-Z11)/ABS(Z11)+1)</f>
        <v/>
      </c>
      <c r="AE11" s="68">
        <f t="shared" si="10"/>
        <v>0.14513434237988757</v>
      </c>
      <c r="AF11" s="55"/>
      <c r="AG11" s="55">
        <f>+'COLOMBIA USD'!Y14+'EL SALVADOR USD'!X14+'VENEZUELA USD'!X12+'PANAMA USD'!W14</f>
        <v>3491.603534711559</v>
      </c>
      <c r="AH11" s="55">
        <f>+'COLOMBIA USD'!X14+'EL SALVADOR USD'!W14+'VENEZUELA USD'!Y12+'PANAMA USD'!V14</f>
        <v>2765.1140382174267</v>
      </c>
      <c r="AI11" s="55">
        <f>+'COLOMBIA USD'!AB14+'EL SALVADOR USD'!AA14+'VENEZUELA USD'!AC12+'PANAMA USD'!Z14</f>
        <v>-7407.5757686081197</v>
      </c>
      <c r="AK11" s="55">
        <f>+'COLOMBIA USD'!AA14+'EL SALVADOR USD'!Z14+'VENEZUELA USD'!AB12+'PANAMA USD'!Y14</f>
        <v>7407.5757686081197</v>
      </c>
    </row>
    <row r="12" spans="1:37" x14ac:dyDescent="0.2">
      <c r="B12" s="3" t="s">
        <v>69</v>
      </c>
      <c r="C12" s="32">
        <f>+'COLOMBIA USD'!C12+'EL SALVADOR USD'!C12+'VENEZUELA USD'!C12+'PANAMA USD'!C12</f>
        <v>13542.46764882674</v>
      </c>
      <c r="D12" s="34">
        <f t="shared" si="0"/>
        <v>5.8381655502860216E-2</v>
      </c>
      <c r="E12" s="32">
        <f>+'COLOMBIA USD'!E12+'EL SALVADOR USD'!E12+'VENEZUELA USD'!E12+'PANAMA USD'!E12</f>
        <v>20156.382280897396</v>
      </c>
      <c r="F12" s="34">
        <f t="shared" si="1"/>
        <v>8.3412930220547618E-2</v>
      </c>
      <c r="G12" s="34">
        <f t="shared" si="2"/>
        <v>1.4883832698425281</v>
      </c>
      <c r="H12" s="32">
        <f>+'COLOMBIA USD'!H12+'EL SALVADOR USD'!H12+'VENEZUELA USD'!H12+'PANAMA USD'!H12</f>
        <v>19182.503528013669</v>
      </c>
      <c r="I12" s="34">
        <f t="shared" si="3"/>
        <v>6.9916714859592943E-2</v>
      </c>
      <c r="J12" s="34">
        <f t="shared" si="4"/>
        <v>5.0769116317976856E-2</v>
      </c>
      <c r="K12" s="32">
        <f>+'COLOMBIA USD'!K12+'EL SALVADOR USD'!K12+'VENEZUELA USD'!K12+'PANAMA USD'!K12</f>
        <v>32219.840540755107</v>
      </c>
      <c r="L12" s="34">
        <f t="shared" si="5"/>
        <v>6.9834761532524103E-2</v>
      </c>
      <c r="M12" s="32">
        <f>+'COLOMBIA USD'!M12+'EL SALVADOR USD'!M12+'VENEZUELA USD'!M12+'PANAMA USD'!M12</f>
        <v>38014.763142120617</v>
      </c>
      <c r="N12" s="34">
        <f t="shared" si="6"/>
        <v>7.9675948221519591E-2</v>
      </c>
      <c r="O12" s="34">
        <f t="shared" si="7"/>
        <v>1.179855719460668</v>
      </c>
      <c r="P12" s="32">
        <f>+'COLOMBIA USD'!P12+'EL SALVADOR USD'!P12+'VENEZUELA USD'!P12+'PANAMA USD'!P12</f>
        <v>49132.181434540777</v>
      </c>
      <c r="Q12" s="34">
        <f t="shared" si="8"/>
        <v>8.7385996688897266E-2</v>
      </c>
      <c r="R12" s="34">
        <f t="shared" si="9"/>
        <v>-0.22627569075539605</v>
      </c>
      <c r="V12" s="3" t="s">
        <v>35</v>
      </c>
      <c r="W12" s="32">
        <f>'COLOMBIA USD'!W15+'EL SALVADOR USD'!V15+'VENEZUELA USD'!W13+'PANAMA USD'!U15</f>
        <v>0</v>
      </c>
      <c r="X12" s="32">
        <f>'COLOMBIA USD'!Y15+'EL SALVADOR USD'!X15+'VENEZUELA USD'!X13+'PANAMA USD'!W15</f>
        <v>141948.46856282855</v>
      </c>
      <c r="Y12" s="32">
        <f>'COLOMBIA USD'!X15+'EL SALVADOR USD'!W15+'VENEZUELA USD'!Y13+'PANAMA USD'!V15</f>
        <v>137383.0060362466</v>
      </c>
      <c r="Z12" s="32">
        <f>'COLOMBIA USD'!Z15+'EL SALVADOR USD'!Y15+'VENEZUELA USD'!Z13+'PANAMA USD'!X15</f>
        <v>0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266444.13422255317</v>
      </c>
      <c r="AC12" s="63">
        <f>+Z12-AB12</f>
        <v>-266444.13422255317</v>
      </c>
      <c r="AD12" s="68" t="str">
        <f t="shared" si="11"/>
        <v/>
      </c>
      <c r="AE12" s="68" t="e">
        <f t="shared" si="10"/>
        <v>#VALUE!</v>
      </c>
      <c r="AF12" s="55"/>
      <c r="AG12" s="55">
        <f>+'COLOMBIA USD'!Y15+'EL SALVADOR USD'!X15+'VENEZUELA USD'!X13+'PANAMA USD'!W15</f>
        <v>141948.46856282855</v>
      </c>
      <c r="AH12" s="55">
        <f>+'COLOMBIA USD'!X15+'EL SALVADOR USD'!W15+'VENEZUELA USD'!Y13+'PANAMA USD'!V15</f>
        <v>137383.0060362466</v>
      </c>
      <c r="AI12" s="55">
        <f>+'COLOMBIA USD'!AB15+'EL SALVADOR USD'!AA15+'VENEZUELA USD'!AC13+'PANAMA USD'!Z15</f>
        <v>-263408.86775110371</v>
      </c>
      <c r="AK12" s="55">
        <f>+'COLOMBIA USD'!AA15+'EL SALVADOR USD'!Z15+'VENEZUELA USD'!AB13+'PANAMA USD'!Y15</f>
        <v>266444.13422255317</v>
      </c>
    </row>
    <row r="13" spans="1:37" x14ac:dyDescent="0.2">
      <c r="B13" s="3" t="s">
        <v>71</v>
      </c>
      <c r="C13" s="32">
        <f>+'COLOMBIA USD'!C13+'EL SALVADOR USD'!C13+'VENEZUELA USD'!C13+'PANAMA USD'!C13</f>
        <v>32498.383859004462</v>
      </c>
      <c r="D13" s="34">
        <f t="shared" si="0"/>
        <v>0.14010071872097005</v>
      </c>
      <c r="E13" s="32">
        <f>+'COLOMBIA USD'!E13+'EL SALVADOR USD'!E13+'VENEZUELA USD'!E13+'PANAMA USD'!E13</f>
        <v>18776.778800191099</v>
      </c>
      <c r="F13" s="34">
        <f t="shared" si="1"/>
        <v>7.7703732644093665E-2</v>
      </c>
      <c r="G13" s="34">
        <f t="shared" si="2"/>
        <v>0.57777577130157942</v>
      </c>
      <c r="H13" s="32">
        <f>+'COLOMBIA USD'!H13+'EL SALVADOR USD'!H13+'VENEZUELA USD'!H13+'PANAMA USD'!H13</f>
        <v>55321.962017047663</v>
      </c>
      <c r="I13" s="34">
        <f t="shared" si="3"/>
        <v>0.20163842733929493</v>
      </c>
      <c r="J13" s="34">
        <f t="shared" si="4"/>
        <v>-0.66059087357738744</v>
      </c>
      <c r="K13" s="32">
        <f>+'COLOMBIA USD'!K13+'EL SALVADOR USD'!K13+'VENEZUELA USD'!K13+'PANAMA USD'!K13</f>
        <v>53221.961371394878</v>
      </c>
      <c r="L13" s="34">
        <f t="shared" si="5"/>
        <v>0.11535572238364233</v>
      </c>
      <c r="M13" s="32">
        <f>+'COLOMBIA USD'!M13+'EL SALVADOR USD'!M13+'VENEZUELA USD'!M13+'PANAMA USD'!M13</f>
        <v>41034.716876241342</v>
      </c>
      <c r="N13" s="34">
        <f t="shared" si="6"/>
        <v>8.6005533294866571E-2</v>
      </c>
      <c r="O13" s="34">
        <f t="shared" si="7"/>
        <v>0.77101098529405576</v>
      </c>
      <c r="P13" s="32">
        <f>+'COLOMBIA USD'!P13+'EL SALVADOR USD'!P13+'VENEZUELA USD'!P13+'PANAMA USD'!P13</f>
        <v>82846.531994360543</v>
      </c>
      <c r="Q13" s="34">
        <f t="shared" si="8"/>
        <v>0.14734999666544885</v>
      </c>
      <c r="R13" s="34">
        <f t="shared" si="9"/>
        <v>-0.50468998655206687</v>
      </c>
      <c r="V13" s="3" t="s">
        <v>36</v>
      </c>
      <c r="W13" s="32">
        <f>'COLOMBIA USD'!W16+'EL SALVADOR USD'!V16+'VENEZUELA USD'!W14+'PANAMA USD'!U16</f>
        <v>0</v>
      </c>
      <c r="X13" s="32">
        <f>'COLOMBIA USD'!Y16+'EL SALVADOR USD'!X16+'VENEZUELA USD'!X14+'PANAMA USD'!W16</f>
        <v>69784.566563113316</v>
      </c>
      <c r="Y13" s="32">
        <f>'COLOMBIA USD'!X16+'EL SALVADOR USD'!W16+'VENEZUELA USD'!Y14+'PANAMA USD'!V16</f>
        <v>52207.761894706709</v>
      </c>
      <c r="Z13" s="32">
        <f>'COLOMBIA USD'!Z16+'EL SALVADOR USD'!Y16+'VENEZUELA USD'!Z14+'PANAMA USD'!X16</f>
        <v>0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119097.58680229411</v>
      </c>
      <c r="AC13" s="63">
        <f>+Z13-AB13</f>
        <v>-119097.58680229411</v>
      </c>
      <c r="AD13" s="68" t="str">
        <f t="shared" si="11"/>
        <v/>
      </c>
      <c r="AE13" s="68" t="e">
        <f t="shared" si="10"/>
        <v>#VALUE!</v>
      </c>
      <c r="AF13" s="55"/>
      <c r="AG13" s="55">
        <f>+'COLOMBIA USD'!Y16+'EL SALVADOR USD'!X16+'VENEZUELA USD'!X14+'PANAMA USD'!W16</f>
        <v>69784.566563113316</v>
      </c>
      <c r="AH13" s="55">
        <f>+'COLOMBIA USD'!X16+'EL SALVADOR USD'!W16+'VENEZUELA USD'!Y14+'PANAMA USD'!V16</f>
        <v>52207.761894706709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119097.58680229411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2954.2459736456808</v>
      </c>
      <c r="X14" s="32">
        <f>SUM(X10:X13)</f>
        <v>265275.1232090015</v>
      </c>
      <c r="Y14" s="32">
        <f>SUM(Y10:Y13)</f>
        <v>254424.28890384181</v>
      </c>
      <c r="Z14" s="32">
        <f>'COLOMBIA USD'!Z17+'EL SALVADOR USD'!Y17+'VENEZUELA USD'!Z15+'PANAMA USD'!X17</f>
        <v>-3248.3748169838946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490698.35011689429</v>
      </c>
      <c r="AC14" s="63">
        <f>+AB14-Z14</f>
        <v>493946.72493387817</v>
      </c>
      <c r="AD14" s="68">
        <f t="shared" si="11"/>
        <v>153.05964605787275</v>
      </c>
      <c r="AE14" s="68" t="e">
        <f t="shared" si="10"/>
        <v>#VALUE!</v>
      </c>
      <c r="AF14" s="55"/>
      <c r="AG14" s="55">
        <f>+'COLOMBIA USD'!Y17+'EL SALVADOR USD'!X17+'VENEZUELA USD'!X15+'PANAMA USD'!W17</f>
        <v>265275.1232090015</v>
      </c>
      <c r="AH14" s="55">
        <f>+'COLOMBIA USD'!X17+'EL SALVADOR USD'!W17+'VENEZUELA USD'!Y15+'PANAMA USD'!V17</f>
        <v>247131.18495069392</v>
      </c>
      <c r="AI14" s="55">
        <f>+'COLOMBIA USD'!AB17+'EL SALVADOR USD'!AA17+'VENEZUELA USD'!AC15+'PANAMA USD'!Z17</f>
        <v>481681.88318102155</v>
      </c>
      <c r="AK14" s="55">
        <f>+'COLOMBIA USD'!AA17+'EL SALVADOR USD'!Z17+'VENEZUELA USD'!AB15+'PANAMA USD'!Y17</f>
        <v>490698.35011689429</v>
      </c>
    </row>
    <row r="15" spans="1:37" x14ac:dyDescent="0.2">
      <c r="B15" s="3" t="s">
        <v>74</v>
      </c>
      <c r="C15" s="32">
        <f>+'COLOMBIA USD'!C15+'EL SALVADOR USD'!C15+'VENEZUELA USD'!C15+'PANAMA USD'!C15</f>
        <v>29077.835618613411</v>
      </c>
      <c r="D15" s="34">
        <f t="shared" si="0"/>
        <v>0.12535471568962989</v>
      </c>
      <c r="E15" s="32">
        <f>+'COLOMBIA USD'!E15+'EL SALVADOR USD'!E15+'VENEZUELA USD'!E15+'PANAMA USD'!E15</f>
        <v>29376.043983085601</v>
      </c>
      <c r="F15" s="34">
        <f t="shared" si="1"/>
        <v>0.1215665526069673</v>
      </c>
      <c r="G15" s="34">
        <f t="shared" si="2"/>
        <v>1.0102555213662912</v>
      </c>
      <c r="H15" s="32">
        <f>+'COLOMBIA USD'!H15+'EL SALVADOR USD'!H15+'VENEZUELA USD'!H15+'PANAMA USD'!H15</f>
        <v>35534.885306450946</v>
      </c>
      <c r="I15" s="34">
        <f t="shared" si="3"/>
        <v>0.12951815386928986</v>
      </c>
      <c r="J15" s="34">
        <f t="shared" si="4"/>
        <v>-0.17331817086932538</v>
      </c>
      <c r="K15" s="32">
        <f>+'COLOMBIA USD'!K15+'EL SALVADOR USD'!K15+'VENEZUELA USD'!K15+'PANAMA USD'!K15</f>
        <v>59249.656924455339</v>
      </c>
      <c r="L15" s="34">
        <f t="shared" si="5"/>
        <v>0.12842042644405441</v>
      </c>
      <c r="M15" s="32">
        <f>+'COLOMBIA USD'!M15+'EL SALVADOR USD'!M15+'VENEZUELA USD'!M15+'PANAMA USD'!M15</f>
        <v>65674.150723831233</v>
      </c>
      <c r="N15" s="34">
        <f t="shared" si="6"/>
        <v>0.13764784520691747</v>
      </c>
      <c r="O15" s="34">
        <f t="shared" si="7"/>
        <v>1.1084309029429027</v>
      </c>
      <c r="P15" s="32">
        <f>+'COLOMBIA USD'!P15+'EL SALVADOR USD'!P15+'VENEZUELA USD'!P15+'PANAMA USD'!P15</f>
        <v>83393.590864997313</v>
      </c>
      <c r="Q15" s="34">
        <f t="shared" si="8"/>
        <v>0.14832298999206897</v>
      </c>
      <c r="R15" s="34">
        <f t="shared" si="9"/>
        <v>-0.21247963971057923</v>
      </c>
      <c r="V15" s="3" t="s">
        <v>38</v>
      </c>
      <c r="W15" s="32">
        <f>W9-W14</f>
        <v>-946.13469985358711</v>
      </c>
      <c r="X15" s="32">
        <f>X9-X14</f>
        <v>-12843.352437206748</v>
      </c>
      <c r="Y15" s="32">
        <f t="shared" ref="Y15:AB15" si="12">Y9-Y14</f>
        <v>-10909.855912488216</v>
      </c>
      <c r="Z15" s="32">
        <f t="shared" si="12"/>
        <v>3280.7759882869696</v>
      </c>
      <c r="AA15" s="32" t="e">
        <f>AA9-AA14</f>
        <v>#VALUE!</v>
      </c>
      <c r="AB15" s="32">
        <f t="shared" si="12"/>
        <v>29206.113524979271</v>
      </c>
      <c r="AC15" s="63">
        <f>+AB15-Z15</f>
        <v>25925.337536692303</v>
      </c>
      <c r="AD15" s="68">
        <f t="shared" si="11"/>
        <v>8.9021968062589387</v>
      </c>
      <c r="AE15" s="68" t="e">
        <f t="shared" si="10"/>
        <v>#VALUE!</v>
      </c>
      <c r="AF15" s="55"/>
      <c r="AG15" s="55">
        <f>+'COLOMBIA USD'!Y19+'EL SALVADOR USD'!X19+'VENEZUELA USD'!X16+'PANAMA USD'!W19</f>
        <v>-16308.242627543485</v>
      </c>
      <c r="AH15" s="55">
        <f>+'COLOMBIA USD'!X19+'EL SALVADOR USD'!W19+'VENEZUELA USD'!Y16+'PANAMA USD'!V19</f>
        <v>886.30806994223076</v>
      </c>
      <c r="AI15" s="55">
        <f>+'COLOMBIA USD'!AB19+'EL SALVADOR USD'!AA19+'VENEZUELA USD'!AC16+'PANAMA USD'!Z19</f>
        <v>37679.139420865293</v>
      </c>
      <c r="AK15" s="55">
        <f>+'COLOMBIA USD'!AA19+'EL SALVADOR USD'!Z19+'VENEZUELA USD'!AB16+'PANAMA USD'!Y19</f>
        <v>53158.148664071479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77</v>
      </c>
      <c r="C17" s="32">
        <f>+'COLOMBIA USD'!C17+'EL SALVADOR USD'!C17+'VENEZUELA USD'!C17+'PANAMA USD'!C17</f>
        <v>3868.0775294024252</v>
      </c>
      <c r="D17" s="34">
        <f>+C17/$C$20</f>
        <v>1.6675304356329145E-2</v>
      </c>
      <c r="E17" s="32">
        <f>+'COLOMBIA USD'!E17+'EL SALVADOR USD'!E17+'VENEZUELA USD'!E17+'PANAMA USD'!E17</f>
        <v>6272.979604913462</v>
      </c>
      <c r="F17" s="34">
        <f t="shared" si="1"/>
        <v>2.5959400986131184E-2</v>
      </c>
      <c r="G17" s="34">
        <f t="shared" si="2"/>
        <v>1.6217305773296036</v>
      </c>
      <c r="H17" s="32">
        <f>+'COLOMBIA USD'!H17+'EL SALVADOR USD'!H17+'VENEZUELA USD'!H17+'PANAMA USD'!H17</f>
        <v>2756.692665168448</v>
      </c>
      <c r="I17" s="34">
        <f t="shared" si="3"/>
        <v>1.0047640275141483E-2</v>
      </c>
      <c r="J17" s="34">
        <f t="shared" si="4"/>
        <v>1.275545505733825</v>
      </c>
      <c r="K17" s="32">
        <f>+'COLOMBIA USD'!K17+'EL SALVADOR USD'!K17+'VENEZUELA USD'!K17+'PANAMA USD'!K17</f>
        <v>7564.2203395597298</v>
      </c>
      <c r="L17" s="34">
        <f t="shared" si="5"/>
        <v>1.6395038421262224E-2</v>
      </c>
      <c r="M17" s="32">
        <f>+'COLOMBIA USD'!M17+'EL SALVADOR USD'!M17+'VENEZUELA USD'!M17+'PANAMA USD'!M17</f>
        <v>9391.5735259495505</v>
      </c>
      <c r="N17" s="34">
        <f t="shared" si="6"/>
        <v>1.9683998113434208E-2</v>
      </c>
      <c r="O17" s="34">
        <f t="shared" si="7"/>
        <v>1.2415785242046744</v>
      </c>
      <c r="P17" s="32">
        <f>+'COLOMBIA USD'!P17+'EL SALVADOR USD'!P17+'VENEZUELA USD'!P17+'PANAMA USD'!P17</f>
        <v>5527.9337292427217</v>
      </c>
      <c r="Q17" s="34">
        <f t="shared" si="8"/>
        <v>9.8319265388946402E-3</v>
      </c>
      <c r="R17" s="34">
        <f t="shared" si="9"/>
        <v>0.69893019452606808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79</v>
      </c>
      <c r="C18" s="32">
        <f>+'COLOMBIA USD'!C18+'EL SALVADOR USD'!C18+'VENEZUELA USD'!C18+'PANAMA USD'!C18</f>
        <v>48053.712587753624</v>
      </c>
      <c r="D18" s="41">
        <f t="shared" ref="D18:D46" si="13">+C18/$C$20</f>
        <v>0.20715982985381118</v>
      </c>
      <c r="E18" s="32">
        <f>+'COLOMBIA USD'!E18+'EL SALVADOR USD'!E18+'VENEZUELA USD'!E18+'PANAMA USD'!E18</f>
        <v>45255.4033751526</v>
      </c>
      <c r="F18" s="34">
        <f t="shared" si="1"/>
        <v>0.18727992708353589</v>
      </c>
      <c r="G18" s="41">
        <f t="shared" si="2"/>
        <v>0.94176705478289802</v>
      </c>
      <c r="H18" s="32">
        <f>+'COLOMBIA USD'!H18+'EL SALVADOR USD'!H18+'VENEZUELA USD'!H18+'PANAMA USD'!H18</f>
        <v>37095.764905073265</v>
      </c>
      <c r="I18" s="34">
        <f t="shared" si="3"/>
        <v>0.13520727435701241</v>
      </c>
      <c r="J18" s="41">
        <f t="shared" si="4"/>
        <v>0.21996145627296157</v>
      </c>
      <c r="K18" s="32">
        <f>+'COLOMBIA USD'!K18+'EL SALVADOR USD'!K18+'VENEZUELA USD'!K18+'PANAMA USD'!K18</f>
        <v>92558.039309085565</v>
      </c>
      <c r="L18" s="34">
        <f t="shared" si="5"/>
        <v>0.20061454354163905</v>
      </c>
      <c r="M18" s="32">
        <f>+'COLOMBIA USD'!M18+'EL SALVADOR USD'!M18+'VENEZUELA USD'!M18+'PANAMA USD'!M18</f>
        <v>78995.083626408043</v>
      </c>
      <c r="N18" s="34">
        <f t="shared" si="6"/>
        <v>0.16556747096494448</v>
      </c>
      <c r="O18" s="34">
        <f t="shared" si="7"/>
        <v>0.85346539550837086</v>
      </c>
      <c r="P18" s="32">
        <f>+'COLOMBIA USD'!P18+'EL SALVADOR USD'!P18+'VENEZUELA USD'!P18+'PANAMA USD'!P18</f>
        <v>71534.000752499007</v>
      </c>
      <c r="Q18" s="34">
        <f t="shared" si="8"/>
        <v>0.12722964400084302</v>
      </c>
      <c r="R18" s="41">
        <f t="shared" si="9"/>
        <v>0.10430121054914417</v>
      </c>
      <c r="V18" s="3" t="s">
        <v>40</v>
      </c>
      <c r="W18" s="32">
        <f>W8+W15</f>
        <v>-13726.122485230064</v>
      </c>
      <c r="X18" s="32">
        <f>'COLOMBIA USD'!Y21+'EL SALVADOR USD'!X21+'VENEZUELA USD'!X19+'PANAMA USD'!W21</f>
        <v>19298.955844680197</v>
      </c>
      <c r="Y18" s="32">
        <f t="shared" ref="Y18" si="14">Y8+Y15</f>
        <v>-34717.090345549514</v>
      </c>
      <c r="Z18" s="32">
        <f>Z8+Z15</f>
        <v>3280.7759882869696</v>
      </c>
      <c r="AA18" s="32" t="e">
        <f>AA8+AA15</f>
        <v>#VALUE!</v>
      </c>
      <c r="AB18" s="32">
        <f>AB8+AB15</f>
        <v>59577.390020024308</v>
      </c>
      <c r="AC18" s="63">
        <f>+AB18-Z18</f>
        <v>56296.614031737336</v>
      </c>
      <c r="AD18" s="68">
        <f t="shared" si="11"/>
        <v>18.159542203651689</v>
      </c>
      <c r="AE18" s="68" t="e">
        <f t="shared" si="10"/>
        <v>#VALUE!</v>
      </c>
      <c r="AF18" s="55"/>
      <c r="AG18" s="55">
        <f>+'COLOMBIA USD'!Y21+'EL SALVADOR USD'!X21+'VENEZUELA USD'!X19+'PANAMA USD'!W21</f>
        <v>19298.955844680197</v>
      </c>
      <c r="AH18" s="55">
        <f>+'COLOMBIA USD'!X21+'EL SALVADOR USD'!W21+'VENEZUELA USD'!Y19+'PANAMA USD'!V21</f>
        <v>-25131.775557848199</v>
      </c>
      <c r="AI18" s="55">
        <f>+'COLOMBIA USD'!AB21+'EL SALVADOR USD'!AA21+'VENEZUELA USD'!AC19+'PANAMA USD'!Z21</f>
        <v>68050.688708984817</v>
      </c>
      <c r="AK18" s="55">
        <f>+'COLOMBIA USD'!AA21+'EL SALVADOR USD'!Z21+'VENEZUELA USD'!AB19+'PANAMA USD'!Y21</f>
        <v>72433.861469511903</v>
      </c>
    </row>
    <row r="19" spans="2:37" x14ac:dyDescent="0.2">
      <c r="B19" s="3" t="s">
        <v>81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14202.514007667356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0</v>
      </c>
      <c r="X19" s="32">
        <f>'COLOMBIA USD'!Y23+'EL SALVADOR USD'!X23+'VENEZUELA USD'!X20+'PANAMA USD'!W23</f>
        <v>15902.69587854259</v>
      </c>
      <c r="Y19" s="32">
        <f>'COLOMBIA USD'!X23+'EL SALVADOR USD'!W23+'VENEZUELA USD'!Y20+'PANAMA USD'!V23</f>
        <v>1389.5092606750791</v>
      </c>
      <c r="Z19" s="32">
        <f>'COLOMBIA USD'!Z23+'EL SALVADOR USD'!Y23+'VENEZUELA USD'!Z20+'PANAMA USD'!X23</f>
        <v>0</v>
      </c>
      <c r="AA19" s="32">
        <f>'COLOMBIA USD'!AD23+'EL SALVADOR USD'!AC23+'VENEZUELA USD'!AA20+'PANAMA USD'!AB23</f>
        <v>25274.831732578125</v>
      </c>
      <c r="AB19" s="32">
        <f>'COLOMBIA USD'!AA23+'EL SALVADOR USD'!Z23+'VENEZUELA USD'!AB20+'PANAMA USD'!Y23</f>
        <v>1389.5092606750791</v>
      </c>
      <c r="AC19" s="63">
        <f t="shared" ref="AC19:AC22" si="15">+AB19-Z19</f>
        <v>1389.5092606750791</v>
      </c>
      <c r="AD19" s="68" t="str">
        <f t="shared" si="11"/>
        <v/>
      </c>
      <c r="AE19" s="68">
        <f t="shared" si="10"/>
        <v>-0.94502399559463479</v>
      </c>
      <c r="AF19" s="55"/>
      <c r="AG19" s="55">
        <f>+'COLOMBIA USD'!Y23+'EL SALVADOR USD'!X23+'VENEZUELA USD'!X20+'PANAMA USD'!W23</f>
        <v>15902.69587854259</v>
      </c>
      <c r="AH19" s="55">
        <f>+'COLOMBIA USD'!X23+'EL SALVADOR USD'!W23+'VENEZUELA USD'!Y20+'PANAMA USD'!V23</f>
        <v>1389.5092606750791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1389.5092606750791</v>
      </c>
    </row>
    <row r="20" spans="2:37" x14ac:dyDescent="0.2">
      <c r="B20" s="20" t="s">
        <v>39</v>
      </c>
      <c r="C20" s="69">
        <f>SUM(C10:C19)</f>
        <v>231964.43355675775</v>
      </c>
      <c r="D20" s="45">
        <f t="shared" si="13"/>
        <v>1</v>
      </c>
      <c r="E20" s="69">
        <f>SUM(E10:E19)</f>
        <v>241645.77635149605</v>
      </c>
      <c r="F20" s="45">
        <f t="shared" si="1"/>
        <v>1</v>
      </c>
      <c r="G20" s="45">
        <f t="shared" si="2"/>
        <v>1.0417363241695821</v>
      </c>
      <c r="H20" s="69">
        <f>SUM(H10:H19)</f>
        <v>274362.19745930651</v>
      </c>
      <c r="I20" s="45">
        <f>+H22/$H$22</f>
        <v>1</v>
      </c>
      <c r="J20" s="45">
        <f t="shared" si="4"/>
        <v>-0.11924536765916145</v>
      </c>
      <c r="K20" s="69">
        <f>SUM(K10:K19)</f>
        <v>461372.5290054779</v>
      </c>
      <c r="L20" s="45">
        <f t="shared" si="5"/>
        <v>1</v>
      </c>
      <c r="M20" s="69">
        <f>SUM(M10:M19)</f>
        <v>477117.17263068922</v>
      </c>
      <c r="N20" s="45">
        <f t="shared" si="6"/>
        <v>1</v>
      </c>
      <c r="O20" s="45">
        <f>IF(K20=0,"",(M20-K20)/ABS(K20)+1)</f>
        <v>1.0341256633964533</v>
      </c>
      <c r="P20" s="69">
        <f>SUM(P10:P19)</f>
        <v>562243.18879666924</v>
      </c>
      <c r="Q20" s="45">
        <f t="shared" si="8"/>
        <v>1</v>
      </c>
      <c r="R20" s="45">
        <f>IF(P20=0,"",(M20-P20)/ABS(P20))</f>
        <v>-0.15140426395946108</v>
      </c>
      <c r="V20" s="3" t="s">
        <v>44</v>
      </c>
      <c r="W20" s="32">
        <f>'COLOMBIA USD'!W25+'EL SALVADOR USD'!V25+'VENEZUELA USD'!W21+'PANAMA USD'!U25</f>
        <v>1987.9355783308931</v>
      </c>
      <c r="X20" s="32">
        <f>'COLOMBIA USD'!Y25+'EL SALVADOR USD'!X25+'VENEZUELA USD'!X21+'PANAMA USD'!W25</f>
        <v>18021.447070109782</v>
      </c>
      <c r="Y20" s="32">
        <f>'COLOMBIA USD'!X25+'EL SALVADOR USD'!W25+'VENEZUELA USD'!Y21+'PANAMA USD'!V25</f>
        <v>19840.381144765597</v>
      </c>
      <c r="Z20" s="32">
        <f>'COLOMBIA USD'!Z25+'EL SALVADOR USD'!Y25+'VENEZUELA USD'!Z21+'PANAMA USD'!X25</f>
        <v>2573.5285505124466</v>
      </c>
      <c r="AA20" s="32">
        <f>'COLOMBIA USD'!AD25+'EL SALVADOR USD'!AC25+'VENEZUELA USD'!AA21+'PANAMA USD'!AB25</f>
        <v>111026.81262533953</v>
      </c>
      <c r="AB20" s="32">
        <f>'COLOMBIA USD'!AA25+'EL SALVADOR USD'!Z25+'VENEZUELA USD'!AB21+'PANAMA USD'!Y25</f>
        <v>92728.134283956155</v>
      </c>
      <c r="AC20" s="63">
        <f t="shared" si="15"/>
        <v>90154.605733443706</v>
      </c>
      <c r="AD20" s="68">
        <f t="shared" si="11"/>
        <v>36.031515665715823</v>
      </c>
      <c r="AE20" s="68">
        <f t="shared" si="10"/>
        <v>-0.1648131465606632</v>
      </c>
      <c r="AF20" s="55"/>
      <c r="AG20" s="55">
        <f>+'COLOMBIA USD'!Y25+'EL SALVADOR USD'!X25+'VENEZUELA USD'!X21+'PANAMA USD'!W25</f>
        <v>18021.447070109782</v>
      </c>
      <c r="AH20" s="55">
        <f>+'COLOMBIA USD'!X25+'EL SALVADOR USD'!W25+'VENEZUELA USD'!Y21+'PANAMA USD'!V25</f>
        <v>19840.381144765597</v>
      </c>
      <c r="AI20" s="55">
        <f>+'COLOMBIA USD'!AB25+'EL SALVADOR USD'!AA25+'VENEZUELA USD'!AC21+'PANAMA USD'!Z25</f>
        <v>87803.4994856954</v>
      </c>
      <c r="AK20" s="55">
        <f>+'COLOMBIA USD'!AA25+'EL SALVADOR USD'!Z25+'VENEZUELA USD'!AB21+'PANAMA USD'!Y25</f>
        <v>92728.134283956155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0</v>
      </c>
      <c r="X21" s="32">
        <f>'COLOMBIA USD'!Y27+'EL SALVADOR USD'!X27+'VENEZUELA USD'!X22+'PANAMA USD'!W27</f>
        <v>-49529.433897029659</v>
      </c>
      <c r="Y21" s="32">
        <f>'COLOMBIA USD'!X27+'EL SALVADOR USD'!W27+'VENEZUELA USD'!Y22+'PANAMA USD'!V27</f>
        <v>-22240.00579838888</v>
      </c>
      <c r="Z21" s="32">
        <f>'COLOMBIA USD'!Z27+'EL SALVADOR USD'!Y27+'VENEZUELA USD'!Z22+'PANAMA USD'!X27</f>
        <v>0</v>
      </c>
      <c r="AA21" s="32">
        <f>'COLOMBIA USD'!AD27+'EL SALVADOR USD'!AC27+'VENEZUELA USD'!AA22+'PANAMA USD'!AB27</f>
        <v>-46976.021720782192</v>
      </c>
      <c r="AB21" s="32">
        <f>'COLOMBIA USD'!AA27+'EL SALVADOR USD'!Z27+'VENEZUELA USD'!AB22+'PANAMA USD'!Y27</f>
        <v>-517.21920045824027</v>
      </c>
      <c r="AC21" s="63">
        <f t="shared" si="15"/>
        <v>-517.21920045824027</v>
      </c>
      <c r="AD21" s="68" t="str">
        <f t="shared" si="11"/>
        <v/>
      </c>
      <c r="AE21" s="68">
        <f t="shared" si="10"/>
        <v>0.98898971897764132</v>
      </c>
      <c r="AF21" s="55"/>
      <c r="AG21" s="55">
        <f>+'COLOMBIA USD'!Y27+'EL SALVADOR USD'!X27+'VENEZUELA USD'!X22+'PANAMA USD'!W27</f>
        <v>-49529.433897029659</v>
      </c>
      <c r="AH21" s="55">
        <f>+'COLOMBIA USD'!X27+'EL SALVADOR USD'!W27+'VENEZUELA USD'!Y22+'PANAMA USD'!V27</f>
        <v>-22240.00579838888</v>
      </c>
      <c r="AI21" s="55">
        <f>+'COLOMBIA USD'!AB27+'EL SALVADOR USD'!AA27+'VENEZUELA USD'!AC22+'PANAMA USD'!Z27</f>
        <v>-517.21920045824027</v>
      </c>
      <c r="AK21" s="55">
        <f>+'COLOMBIA USD'!AA27+'EL SALVADOR USD'!Z27+'VENEZUELA USD'!AB22+'PANAMA USD'!Y27</f>
        <v>-517.21920045824027</v>
      </c>
    </row>
    <row r="22" spans="2:37" x14ac:dyDescent="0.2">
      <c r="B22" s="3" t="s">
        <v>41</v>
      </c>
      <c r="C22" s="32">
        <f>+'COLOMBIA USD'!C22+'EL SALVADOR USD'!C22+'VENEZUELA USD'!C22+'PANAMA USD'!C22</f>
        <v>35682.124913522282</v>
      </c>
      <c r="D22" s="34">
        <f t="shared" si="13"/>
        <v>0.15382584461937124</v>
      </c>
      <c r="E22" s="32">
        <f>+'COLOMBIA USD'!E22+'EL SALVADOR USD'!E22+'VENEZUELA USD'!E22+'PANAMA USD'!E22</f>
        <v>26443.95774870089</v>
      </c>
      <c r="F22" s="34">
        <f>+E22/$E$20</f>
        <v>0.10943273310200843</v>
      </c>
      <c r="G22" s="34">
        <f>IF(C22=0,"",(E22-C22)/ABS(C22)+1)</f>
        <v>0.74109817766709152</v>
      </c>
      <c r="H22" s="32">
        <f>+'COLOMBIA USD'!H22+'EL SALVADOR USD'!H22+'VENEZUELA USD'!H22+'PANAMA USD'!H22</f>
        <v>41288.689192690588</v>
      </c>
      <c r="I22" s="34">
        <f t="shared" ref="I22:I46" si="16">+H22/$H$20</f>
        <v>0.15048971605796582</v>
      </c>
      <c r="J22" s="34">
        <f>IF(H22=0,"",(E22-H22)/ABS(H22))</f>
        <v>-0.35953506236806587</v>
      </c>
      <c r="K22" s="32">
        <f>+'COLOMBIA USD'!K22+'EL SALVADOR USD'!K22+'VENEZUELA USD'!K22+'PANAMA USD'!K22</f>
        <v>60911.390108082975</v>
      </c>
      <c r="L22" s="34">
        <f t="shared" si="5"/>
        <v>0.13202214323289233</v>
      </c>
      <c r="M22" s="32">
        <f>+'COLOMBIA USD'!M22+'EL SALVADOR USD'!M22+'VENEZUELA USD'!M22+'PANAMA USD'!M22</f>
        <v>45563.260349845033</v>
      </c>
      <c r="N22" s="34">
        <f>+M22/$M$20</f>
        <v>9.5497003594781749E-2</v>
      </c>
      <c r="O22" s="34">
        <f>IF(K22=0,"",(M22-K22)/ABS(K22)+1)</f>
        <v>0.74802529164079545</v>
      </c>
      <c r="P22" s="32">
        <f>+'COLOMBIA USD'!P22+'EL SALVADOR USD'!P22+'VENEZUELA USD'!P22+'PANAMA USD'!P22</f>
        <v>68547.345554866319</v>
      </c>
      <c r="Q22" s="34">
        <f t="shared" si="8"/>
        <v>0.12191760953400525</v>
      </c>
      <c r="R22" s="34">
        <f>IF(P22=0,"",(M22-P22)/ABS(P22))</f>
        <v>-0.33530233766126627</v>
      </c>
      <c r="V22" s="3" t="s">
        <v>49</v>
      </c>
      <c r="W22" s="32">
        <f>'COLOMBIA USD'!W28+'EL SALVADOR USD'!V28+'VENEZUELA USD'!W23+'PANAMA USD'!U28</f>
        <v>0</v>
      </c>
      <c r="X22" s="32">
        <f>'COLOMBIA USD'!Y28+'EL SALVADOR USD'!X28+'VENEZUELA USD'!X23+'PANAMA USD'!W28</f>
        <v>0</v>
      </c>
      <c r="Y22" s="32">
        <f>'COLOMBIA USD'!X28+'EL SALVADOR USD'!W28+'VENEZUELA USD'!Y23+'PANAMA USD'!V28</f>
        <v>0</v>
      </c>
      <c r="Z22" s="32">
        <f>'COLOMBIA USD'!Z28+'EL SALVADOR USD'!Y28+'VENEZUELA USD'!Z23+'PANAMA USD'!X28</f>
        <v>0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0</v>
      </c>
      <c r="AC22" s="63">
        <f t="shared" si="15"/>
        <v>0</v>
      </c>
      <c r="AD22" s="68" t="str">
        <f t="shared" si="11"/>
        <v/>
      </c>
      <c r="AE22" s="68" t="e">
        <f t="shared" si="10"/>
        <v>#VALUE!</v>
      </c>
      <c r="AF22" s="55"/>
      <c r="AG22" s="55">
        <f>+'COLOMBIA USD'!Y28+'EL SALVADOR USD'!X28+'VENEZUELA USD'!X23+'PANAMA USD'!W28</f>
        <v>0</v>
      </c>
      <c r="AH22" s="55">
        <f>+'COLOMBIA USD'!X28+'EL SALVADOR USD'!W28+'VENEZUELA USD'!Y23+'PANAMA USD'!V28</f>
        <v>0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0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-15714.058063560957</v>
      </c>
      <c r="X23" s="32">
        <f t="shared" ref="X23:AB23" si="17">X18-X19-X20-X21-X22</f>
        <v>34904.246793057486</v>
      </c>
      <c r="Y23" s="32">
        <f t="shared" si="17"/>
        <v>-33706.974952601304</v>
      </c>
      <c r="Z23" s="32">
        <f t="shared" si="17"/>
        <v>707.24743777452295</v>
      </c>
      <c r="AA23" s="32" t="e">
        <f t="shared" si="17"/>
        <v>#VALUE!</v>
      </c>
      <c r="AB23" s="32">
        <f t="shared" si="17"/>
        <v>-34023.034324148684</v>
      </c>
      <c r="AC23" s="63">
        <f t="shared" ref="AC23" si="18">Y23-W23</f>
        <v>-17992.916889040345</v>
      </c>
      <c r="AD23" s="68">
        <f t="shared" ref="AD23" si="19">IF(W23=0,"",(Y23-W23)/ABS(W23)+1)</f>
        <v>-0.14502038978485077</v>
      </c>
      <c r="AE23" s="68">
        <f t="shared" ref="AE23" si="20">IF(X23=0,"",(Y23-X23)/ABS(X23))</f>
        <v>-1.9656983905839696</v>
      </c>
      <c r="AF23" s="55"/>
      <c r="AG23" s="55">
        <f>+'COLOMBIA USD'!Y30+'EL SALVADOR USD'!X30+'VENEZUELA USD'!X24+'PANAMA USD'!W30</f>
        <v>37027.13698339423</v>
      </c>
      <c r="AH23" s="55">
        <f>+'COLOMBIA USD'!X30+'EL SALVADOR USD'!W30+'VENEZUELA USD'!Y24+'PANAMA USD'!V30</f>
        <v>-20624.368803260175</v>
      </c>
      <c r="AI23" s="55">
        <f>+'COLOMBIA USD'!AB30+'EL SALVADOR USD'!AA30+'VENEZUELA USD'!AC24+'PANAMA USD'!Z30</f>
        <v>-20624.454529126677</v>
      </c>
      <c r="AK23" s="55">
        <f>+'COLOMBIA USD'!AA30+'EL SALVADOR USD'!Z30+'VENEZUELA USD'!AB24+'PANAMA USD'!Y30</f>
        <v>-20624.454529126677</v>
      </c>
    </row>
    <row r="24" spans="2:37" x14ac:dyDescent="0.2">
      <c r="B24" s="3" t="s">
        <v>43</v>
      </c>
      <c r="C24" s="32">
        <f>+C20-C22</f>
        <v>196282.30864323548</v>
      </c>
      <c r="D24" s="34">
        <f t="shared" si="13"/>
        <v>0.84617415538062879</v>
      </c>
      <c r="E24" s="32">
        <f>+E20-E22</f>
        <v>215201.81860279516</v>
      </c>
      <c r="F24" s="34">
        <f>+E24/$E$20</f>
        <v>0.89056726689799159</v>
      </c>
      <c r="G24" s="34">
        <f>IF(C24=0,"",(E24-C24)/ABS(C24)+1)</f>
        <v>1.0963892777211417</v>
      </c>
      <c r="H24" s="32">
        <f>+H20-H22</f>
        <v>233073.50826661591</v>
      </c>
      <c r="I24" s="34">
        <f t="shared" si="16"/>
        <v>0.84951028394203421</v>
      </c>
      <c r="J24" s="34">
        <f>IF(H24=0,"",(E24-H24)/ABS(H24))</f>
        <v>-7.6678339793886358E-2</v>
      </c>
      <c r="K24" s="32">
        <f>+K20-K22</f>
        <v>400461.13889739494</v>
      </c>
      <c r="L24" s="34">
        <f t="shared" si="5"/>
        <v>0.8679778567671077</v>
      </c>
      <c r="M24" s="32">
        <f>+M20-M22</f>
        <v>431553.91228084418</v>
      </c>
      <c r="N24" s="34">
        <f>+M24/$M$20</f>
        <v>0.90450299640521825</v>
      </c>
      <c r="O24" s="34">
        <f>IF(K24=0,"",(M24-K24)/ABS(K24)+1)</f>
        <v>1.0776424236045929</v>
      </c>
      <c r="P24" s="32">
        <f>+P20-P22</f>
        <v>493695.84324180294</v>
      </c>
      <c r="Q24" s="34">
        <f t="shared" si="8"/>
        <v>0.87808239046599479</v>
      </c>
      <c r="R24" s="34">
        <f>IF(P24=0,"",(M24-P24)/ABS(P24))</f>
        <v>-0.12587088145792391</v>
      </c>
      <c r="W24" s="55">
        <f>+'COLOMBIA USD'!W30+'EL SALVADOR USD'!V30+'VENEZUELA USD'!W24+'PANAMA USD'!U30</f>
        <v>-12779.987785376477</v>
      </c>
      <c r="X24" s="55">
        <f>+'COLOMBIA USD'!Y30+'EL SALVADOR USD'!X30+'VENEZUELA USD'!X24+'PANAMA USD'!W30</f>
        <v>37027.13698339423</v>
      </c>
      <c r="Y24" s="55">
        <f>+'COLOMBIA USD'!X30+'EL SALVADOR USD'!W30+'VENEZUELA USD'!Y24+'PANAMA USD'!V30</f>
        <v>-20624.368803260175</v>
      </c>
      <c r="Z24" s="55">
        <f>+'COLOMBIA USD'!Z30+'EL SALVADOR USD'!Y30+'VENEZUELA USD'!Z24+'PANAMA USD'!X30</f>
        <v>0</v>
      </c>
      <c r="AA24" s="55">
        <f>+'COLOMBIA USD'!AD30+'EL SALVADOR USD'!AC30+'VENEZUELA USD'!AA24+'PANAMA USD'!AB30</f>
        <v>37027.205051505371</v>
      </c>
      <c r="AB24" s="55">
        <f>+'COLOMBIA USD'!AA30+'EL SALVADOR USD'!Z30+'VENEZUELA USD'!AB24+'PANAMA USD'!Y30</f>
        <v>-20624.454529126677</v>
      </c>
      <c r="AC24" s="55">
        <f>+'COLOMBIA USD'!AB30+'EL SALVADOR USD'!AA30+'VENEZUELA USD'!AC24+'PANAMA USD'!Z30</f>
        <v>-20624.454529126677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54025.155092828878</v>
      </c>
      <c r="D26" s="34">
        <f t="shared" si="13"/>
        <v>0.23290275265242263</v>
      </c>
      <c r="E26" s="32">
        <f>+'COLOMBIA USD'!E26+'EL SALVADOR USD'!E26+'VENEZUELA USD'!E26+'PANAMA USD'!E26</f>
        <v>48307.552565259561</v>
      </c>
      <c r="F26" s="34">
        <f>+E26/$E$20</f>
        <v>0.19991060176856462</v>
      </c>
      <c r="G26" s="34">
        <f>IF(C26=0,"",(E26-C26)/ABS(C26)+1)</f>
        <v>0.89416777207311982</v>
      </c>
      <c r="H26" s="32">
        <f>+'COLOMBIA USD'!H26+'EL SALVADOR USD'!H26+'VENEZUELA USD'!H26+'PANAMA USD'!H26</f>
        <v>62543.585651571986</v>
      </c>
      <c r="I26" s="34">
        <f t="shared" si="16"/>
        <v>0.22795992389165956</v>
      </c>
      <c r="J26" s="34">
        <f>IF(H26=0,"",(E26-H26)/ABS(H26))</f>
        <v>-0.22761779546220523</v>
      </c>
      <c r="K26" s="32">
        <f>+'COLOMBIA USD'!K26+'EL SALVADOR USD'!K26+'VENEZUELA USD'!K26+'PANAMA USD'!K26</f>
        <v>100931.12404023908</v>
      </c>
      <c r="L26" s="34">
        <f t="shared" si="5"/>
        <v>0.218762751778489</v>
      </c>
      <c r="M26" s="32">
        <f>+'COLOMBIA USD'!M26+'EL SALVADOR USD'!M26+'VENEZUELA USD'!M26+'PANAMA USD'!M26</f>
        <v>96619.394084500018</v>
      </c>
      <c r="N26" s="34">
        <f>+M26/$M$20</f>
        <v>0.20250663700023203</v>
      </c>
      <c r="O26" s="34">
        <f>IF(K26=0,"",(M26-K26)/ABS(K26)+1)</f>
        <v>0.95728047223550117</v>
      </c>
      <c r="P26" s="32">
        <f>+'COLOMBIA USD'!P26+'EL SALVADOR USD'!P26+'VENEZUELA USD'!P26+'PANAMA USD'!P26</f>
        <v>105060.41524118965</v>
      </c>
      <c r="Q26" s="34">
        <f t="shared" si="8"/>
        <v>0.1868593827984707</v>
      </c>
      <c r="R26" s="34">
        <f>IF(P26=0,"",(M26-P26)/ABS(P26))</f>
        <v>-8.0344448832715756E-2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81866.104136186827</v>
      </c>
      <c r="D27" s="34">
        <f t="shared" si="13"/>
        <v>0.35292524324060043</v>
      </c>
      <c r="E27" s="32">
        <f>+'COLOMBIA USD'!E27+'EL SALVADOR USD'!E27+'VENEZUELA USD'!E27+'PANAMA USD'!E27</f>
        <v>88392.274970408529</v>
      </c>
      <c r="F27" s="34">
        <f>+E27/$E$20</f>
        <v>0.36579275791617322</v>
      </c>
      <c r="G27" s="34">
        <f>IF(C27=0,"",(E27-C27)/ABS(C27)+1)</f>
        <v>1.0797176182143127</v>
      </c>
      <c r="H27" s="32">
        <f>+'COLOMBIA USD'!H27+'EL SALVADOR USD'!H27+'VENEZUELA USD'!H27+'PANAMA USD'!H27</f>
        <v>90427.903661720658</v>
      </c>
      <c r="I27" s="34">
        <f t="shared" si="16"/>
        <v>0.3295931600603722</v>
      </c>
      <c r="J27" s="34">
        <f>IF(H27=0,"",(E27-H27)/ABS(H27))</f>
        <v>-2.2511068031911462E-2</v>
      </c>
      <c r="K27" s="32">
        <f>+'COLOMBIA USD'!K27+'EL SALVADOR USD'!K27+'VENEZUELA USD'!K27+'PANAMA USD'!K27</f>
        <v>162259.42181847052</v>
      </c>
      <c r="L27" s="34">
        <f t="shared" si="5"/>
        <v>0.35168851983500737</v>
      </c>
      <c r="M27" s="32">
        <f>+'COLOMBIA USD'!M27+'EL SALVADOR USD'!M27+'VENEZUELA USD'!M27+'PANAMA USD'!M27</f>
        <v>173070.47994777586</v>
      </c>
      <c r="N27" s="34">
        <f>+M27/$M$20</f>
        <v>0.36274208910468292</v>
      </c>
      <c r="O27" s="34">
        <f>IF(K27=0,"",(M27-K27)/ABS(K27)+1)</f>
        <v>1.0666282303248948</v>
      </c>
      <c r="P27" s="32">
        <f>+'COLOMBIA USD'!P27+'EL SALVADOR USD'!P27+'VENEZUELA USD'!P27+'PANAMA USD'!P27</f>
        <v>177951.91709432297</v>
      </c>
      <c r="Q27" s="34">
        <f t="shared" si="8"/>
        <v>0.31650346440866867</v>
      </c>
      <c r="R27" s="34">
        <f>IF(P27=0,"",(M27-P27)/ABS(P27))</f>
        <v>-2.7431214151852668E-2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135891.2592290157</v>
      </c>
      <c r="D28" s="34">
        <f t="shared" si="13"/>
        <v>0.58582799589302303</v>
      </c>
      <c r="E28" s="32">
        <f>SUM(E26:E27)</f>
        <v>136699.8275356681</v>
      </c>
      <c r="F28" s="34">
        <f>+E28/$E$20</f>
        <v>0.56570335968473784</v>
      </c>
      <c r="G28" s="34">
        <f>IF(C28=0,"",(E28-C28)/ABS(C28)+1)</f>
        <v>1.0059501126948107</v>
      </c>
      <c r="H28" s="32">
        <f>SUM(H26:H27)</f>
        <v>152971.48931329264</v>
      </c>
      <c r="I28" s="34">
        <f t="shared" si="16"/>
        <v>0.55755308395203174</v>
      </c>
      <c r="J28" s="34">
        <f>IF(H28=0,"",(E28-H28)/ABS(H28))</f>
        <v>-0.10637055212490891</v>
      </c>
      <c r="K28" s="32">
        <f>SUM(K26:K27)</f>
        <v>263190.54585870961</v>
      </c>
      <c r="L28" s="34">
        <f t="shared" si="5"/>
        <v>0.5704512716134964</v>
      </c>
      <c r="M28" s="32">
        <f>SUM(M26:M27)</f>
        <v>269689.87403227587</v>
      </c>
      <c r="N28" s="34">
        <f>+M28/$M$20</f>
        <v>0.56524872610491494</v>
      </c>
      <c r="O28" s="34">
        <f>IF(K28=0,"",(M28-K28)/ABS(K28)+1)</f>
        <v>1.0246943831221633</v>
      </c>
      <c r="P28" s="32">
        <f>SUM(P26:P27)</f>
        <v>283012.33233551262</v>
      </c>
      <c r="Q28" s="34">
        <f t="shared" si="8"/>
        <v>0.50336284720713931</v>
      </c>
      <c r="R28" s="34">
        <f>IF(P28=0,"",(M28-P28)/ABS(P28))</f>
        <v>-4.7073773051850287E-2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14076.191124267067</v>
      </c>
      <c r="D30" s="34">
        <f t="shared" si="13"/>
        <v>6.0682540458612426E-2</v>
      </c>
      <c r="E30" s="32">
        <f>+'COLOMBIA USD'!E30+'EL SALVADOR USD'!E30+'VENEZUELA USD'!E30+'PANAMA USD'!E30</f>
        <v>23504.88942665606</v>
      </c>
      <c r="F30" s="34">
        <f>+E30/$E$20</f>
        <v>9.7270019702169475E-2</v>
      </c>
      <c r="G30" s="34">
        <f>IF(C30=0,"",(E30-C30)/ABS(C30)+1)</f>
        <v>1.6698330691272094</v>
      </c>
      <c r="H30" s="32">
        <f>+'COLOMBIA USD'!H30+'EL SALVADOR USD'!H30+'VENEZUELA USD'!H30+'PANAMA USD'!H30</f>
        <v>26571.095892885765</v>
      </c>
      <c r="I30" s="34">
        <f t="shared" si="16"/>
        <v>9.6846781877910862E-2</v>
      </c>
      <c r="J30" s="34">
        <f>IF(H30=0,"",(E30-H30)/ABS(H30))</f>
        <v>-0.11539631178895643</v>
      </c>
      <c r="K30" s="32">
        <f>+'COLOMBIA USD'!K30+'EL SALVADOR USD'!K30+'VENEZUELA USD'!K30+'PANAMA USD'!K30</f>
        <v>26675.059258503174</v>
      </c>
      <c r="L30" s="34">
        <f t="shared" si="5"/>
        <v>5.7816748032231587E-2</v>
      </c>
      <c r="M30" s="32">
        <f>+'COLOMBIA USD'!M30+'EL SALVADOR USD'!M30+'VENEZUELA USD'!M30+'PANAMA USD'!M30</f>
        <v>43887.480802022365</v>
      </c>
      <c r="N30" s="34">
        <f>+M30/$M$20</f>
        <v>9.1984701703439434E-2</v>
      </c>
      <c r="O30" s="34">
        <f>IF(K30=0,"",(M30-K30)/ABS(K30)+1)</f>
        <v>1.6452627293801574</v>
      </c>
      <c r="P30" s="32">
        <f>+'COLOMBIA USD'!P30+'EL SALVADOR USD'!P30+'VENEZUELA USD'!P30+'PANAMA USD'!P30</f>
        <v>72121.905143029202</v>
      </c>
      <c r="Q30" s="34">
        <f t="shared" si="8"/>
        <v>0.12827528475246947</v>
      </c>
      <c r="R30" s="34">
        <f>IF(P30=0,"",(M30-P30)/ABS(P30))</f>
        <v>-0.39148195385318074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0</v>
      </c>
      <c r="D31" s="34">
        <f t="shared" si="13"/>
        <v>0</v>
      </c>
      <c r="E31" s="32">
        <f>+'COLOMBIA USD'!E31+'EL SALVADOR USD'!E31+'VENEZUELA USD'!E31+'PANAMA USD'!E31</f>
        <v>1083.0405563689606</v>
      </c>
      <c r="F31" s="34">
        <f>+E31/$E$20</f>
        <v>4.4819345602530964E-3</v>
      </c>
      <c r="G31" s="34" t="str">
        <f>IF(C31=0,"",(E31-C31)/ABS(C31)+1)</f>
        <v/>
      </c>
      <c r="H31" s="32">
        <f>+'COLOMBIA USD'!H31+'EL SALVADOR USD'!H31+'VENEZUELA USD'!H31+'PANAMA USD'!H31</f>
        <v>872.73895169578623</v>
      </c>
      <c r="I31" s="34">
        <f t="shared" si="16"/>
        <v>3.1809737630681834E-3</v>
      </c>
      <c r="J31" s="34">
        <f>IF(H31=0,"",(E31-H31)/ABS(H31))</f>
        <v>0.24096736402625915</v>
      </c>
      <c r="K31" s="32">
        <f>+'COLOMBIA USD'!K31+'EL SALVADOR USD'!K31+'VENEZUELA USD'!K31+'PANAMA USD'!K31</f>
        <v>0</v>
      </c>
      <c r="L31" s="34">
        <f t="shared" si="5"/>
        <v>0</v>
      </c>
      <c r="M31" s="32">
        <f>+'COLOMBIA USD'!M31+'EL SALVADOR USD'!M31+'VENEZUELA USD'!M31+'PANAMA USD'!M31</f>
        <v>2049.3925329428994</v>
      </c>
      <c r="N31" s="34">
        <f>+M31/$M$20</f>
        <v>4.2953652697997188E-3</v>
      </c>
      <c r="O31" s="34" t="str">
        <f>IF(K31=0,"",(M31-K31)/ABS(K31)+1)</f>
        <v/>
      </c>
      <c r="P31" s="32">
        <f>+'COLOMBIA USD'!P31+'EL SALVADOR USD'!P31+'VENEZUELA USD'!P31+'PANAMA USD'!P31</f>
        <v>7963.103802672148</v>
      </c>
      <c r="Q31" s="34">
        <f t="shared" si="8"/>
        <v>1.4163095189672348E-2</v>
      </c>
      <c r="R31" s="34">
        <f>IF(P31=0,"",(M31-P31)/ABS(P31))</f>
        <v>-0.74263897800061418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14076.191124267067</v>
      </c>
      <c r="D32" s="34">
        <f t="shared" si="13"/>
        <v>6.0682540458612426E-2</v>
      </c>
      <c r="E32" s="32">
        <f>SUM(E30:E31)</f>
        <v>24587.92998302502</v>
      </c>
      <c r="F32" s="34">
        <f>+E32/$E$20</f>
        <v>0.10175195426242258</v>
      </c>
      <c r="G32" s="34">
        <f>IF(C32=0,"",(E32-C32)/ABS(C32)+1)</f>
        <v>1.7467743770994932</v>
      </c>
      <c r="H32" s="32">
        <f>SUM(H30:H31)</f>
        <v>27443.83484458155</v>
      </c>
      <c r="I32" s="34">
        <f t="shared" si="16"/>
        <v>0.10002775564097903</v>
      </c>
      <c r="J32" s="34">
        <f>IF(H32=0,"",(E32-H32)/ABS(H32))</f>
        <v>-0.10406362222079883</v>
      </c>
      <c r="K32" s="32">
        <f>SUM(K30:K31)</f>
        <v>26675.059258503174</v>
      </c>
      <c r="L32" s="34">
        <f t="shared" si="5"/>
        <v>5.7816748032231587E-2</v>
      </c>
      <c r="M32" s="32">
        <f>SUM(M30:M31)</f>
        <v>45936.873334965261</v>
      </c>
      <c r="N32" s="34">
        <f>+M32/$M$20</f>
        <v>9.628006697323914E-2</v>
      </c>
      <c r="O32" s="34">
        <f>IF(K32=0,"",(M32-K32)/ABS(K32)+1)</f>
        <v>1.7220907698760604</v>
      </c>
      <c r="P32" s="32">
        <f>SUM(P30:P31)</f>
        <v>80085.008945701353</v>
      </c>
      <c r="Q32" s="34">
        <f t="shared" si="8"/>
        <v>0.14243837994214181</v>
      </c>
      <c r="R32" s="34">
        <f>IF(P32=0,"",(M32-P32)/ABS(P32))</f>
        <v>-0.42639859894239329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149967.45035328277</v>
      </c>
      <c r="D34" s="34">
        <f t="shared" si="13"/>
        <v>0.64651053635163547</v>
      </c>
      <c r="E34" s="32">
        <f>E28+E32</f>
        <v>161287.75751869311</v>
      </c>
      <c r="F34" s="34">
        <f>+E34/$E$20</f>
        <v>0.6674553139471604</v>
      </c>
      <c r="G34" s="34">
        <f>IF(C34=0,"",(E34-C34)/ABS(C34)+1)</f>
        <v>1.0754850945237968</v>
      </c>
      <c r="H34" s="32">
        <f>H28+H32</f>
        <v>180415.32415787419</v>
      </c>
      <c r="I34" s="34">
        <f t="shared" si="16"/>
        <v>0.65758083959301084</v>
      </c>
      <c r="J34" s="34">
        <f>IF(H34=0,"",(E34-H34)/ABS(H34))</f>
        <v>-0.10601963402201532</v>
      </c>
      <c r="K34" s="32">
        <f>K28+K32</f>
        <v>289865.60511721281</v>
      </c>
      <c r="L34" s="34">
        <f t="shared" si="5"/>
        <v>0.62826801964572798</v>
      </c>
      <c r="M34" s="32">
        <f>M28+M32</f>
        <v>315626.74736724113</v>
      </c>
      <c r="N34" s="34">
        <f>+M34/$M$20</f>
        <v>0.66152879307815404</v>
      </c>
      <c r="O34" s="34">
        <f>IF(K34=0,"",(M34-K34)/ABS(K34)+1)</f>
        <v>1.0888727113367289</v>
      </c>
      <c r="P34" s="32">
        <f>P28+P32</f>
        <v>363097.34128121397</v>
      </c>
      <c r="Q34" s="34">
        <f t="shared" si="8"/>
        <v>0.64580122714928112</v>
      </c>
      <c r="R34" s="34">
        <f>IF(P34=0,"",(M34-P34)/ABS(P34))</f>
        <v>-0.13073792759393277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46314.85828995271</v>
      </c>
      <c r="D36" s="45">
        <f t="shared" si="13"/>
        <v>0.19966361902899329</v>
      </c>
      <c r="E36" s="69">
        <f>E24-E34</f>
        <v>53914.061084102053</v>
      </c>
      <c r="F36" s="45">
        <f>+E36/$E$20</f>
        <v>0.22311195295083114</v>
      </c>
      <c r="G36" s="45">
        <f>IF(C36=0,"",(E36-C36)/ABS(C36)+1)</f>
        <v>1.1640769954768031</v>
      </c>
      <c r="H36" s="69">
        <f>H24-H34</f>
        <v>52658.184108741727</v>
      </c>
      <c r="I36" s="45">
        <f t="shared" si="16"/>
        <v>0.19192944434902337</v>
      </c>
      <c r="J36" s="45">
        <f>IF(H36=0,"",(E36-H36)/ABS(H36))</f>
        <v>2.3849606601831903E-2</v>
      </c>
      <c r="K36" s="69">
        <f>K24-K34</f>
        <v>110595.53378018213</v>
      </c>
      <c r="L36" s="45">
        <f t="shared" si="5"/>
        <v>0.23970983712137967</v>
      </c>
      <c r="M36" s="69">
        <f>+M24-M34</f>
        <v>115927.16491360305</v>
      </c>
      <c r="N36" s="45">
        <f>+M36/$M$20</f>
        <v>0.24297420332706415</v>
      </c>
      <c r="O36" s="45">
        <f>IF(K36=0,"",(M36-K36)/ABS(K36)+1)</f>
        <v>1.0482083765156194</v>
      </c>
      <c r="P36" s="69">
        <f>P24-P34</f>
        <v>130598.50196058897</v>
      </c>
      <c r="Q36" s="45">
        <f t="shared" si="8"/>
        <v>0.23228116331671361</v>
      </c>
      <c r="R36" s="45">
        <f>IF(P36=0,"",(M36-P36)/ABS(P36))</f>
        <v>-0.11233924452987468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330.94031052589793</v>
      </c>
      <c r="D38" s="34">
        <f t="shared" si="13"/>
        <v>1.4266855717987579E-3</v>
      </c>
      <c r="E38" s="32">
        <f>+'COLOMBIA USD'!E38+'EL SALVADOR USD'!E38+'VENEZUELA USD'!E38+'PANAMA USD'!E38</f>
        <v>1660.3648025495688</v>
      </c>
      <c r="F38" s="34">
        <f>+E38/$E$20</f>
        <v>6.8710689986752147E-3</v>
      </c>
      <c r="G38" s="34">
        <f>IF(C38=0,"",(E38-C38)/ABS(C38)+1)</f>
        <v>5.0171126023030546</v>
      </c>
      <c r="H38" s="32">
        <f>+'COLOMBIA USD'!H38+'EL SALVADOR USD'!H38+'VENEZUELA USD'!H38+'PANAMA USD'!H38</f>
        <v>468.74958521995882</v>
      </c>
      <c r="I38" s="34">
        <f t="shared" si="16"/>
        <v>1.7085064544632971E-3</v>
      </c>
      <c r="J38" s="34">
        <f>IF(H38=0,"",(E38-H38)/ABS(H38))</f>
        <v>2.5421147130625181</v>
      </c>
      <c r="K38" s="32">
        <f>+'COLOMBIA USD'!K38+'EL SALVADOR USD'!K38+'VENEZUELA USD'!K38+'PANAMA USD'!K38</f>
        <v>661.88062105179586</v>
      </c>
      <c r="L38" s="34">
        <f t="shared" si="5"/>
        <v>1.4345904436021098E-3</v>
      </c>
      <c r="M38" s="32">
        <f>+'COLOMBIA USD'!M38+'EL SALVADOR USD'!M38+'VENEZUELA USD'!M38+'PANAMA USD'!M38</f>
        <v>3458.450096001467</v>
      </c>
      <c r="N38" s="34">
        <f>+M38/$M$20</f>
        <v>7.2486388970921982E-3</v>
      </c>
      <c r="O38" s="34">
        <f>IF(K38=0,"",(M38-K38)/ABS(K38)+1)</f>
        <v>5.2251871198549926</v>
      </c>
      <c r="P38" s="32">
        <f>+'COLOMBIA USD'!P38+'EL SALVADOR USD'!P38+'VENEZUELA USD'!P38+'PANAMA USD'!P38</f>
        <v>8429.7811416460918</v>
      </c>
      <c r="Q38" s="34">
        <f t="shared" si="8"/>
        <v>1.4993122744070546E-2</v>
      </c>
      <c r="R38" s="34">
        <f>IF(P38=0,"",(M38-P38)/ABS(P38))</f>
        <v>-0.58973429583889159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8058.0222970750692</v>
      </c>
      <c r="D39" s="34">
        <f t="shared" si="13"/>
        <v>3.4738180218060924E-2</v>
      </c>
      <c r="E39" s="32">
        <f>+'COLOMBIA USD'!E39+'EL SALVADOR USD'!E39+'VENEZUELA USD'!E39+'PANAMA USD'!E39</f>
        <v>9134.4418893539569</v>
      </c>
      <c r="F39" s="34">
        <f>+E39/$E$20</f>
        <v>3.7800958192900788E-2</v>
      </c>
      <c r="G39" s="34">
        <f>IF(C39=0,"",(E39-C39)/ABS(C39)+1)</f>
        <v>1.133583595650959</v>
      </c>
      <c r="H39" s="32">
        <f>+'COLOMBIA USD'!H39+'EL SALVADOR USD'!H39+'VENEZUELA USD'!H39+'PANAMA USD'!H39</f>
        <v>6799.4786824945504</v>
      </c>
      <c r="I39" s="34">
        <f t="shared" si="16"/>
        <v>2.4782855456984196E-2</v>
      </c>
      <c r="J39" s="34">
        <f>IF(H39=0,"",(E39-H39)/ABS(H39))</f>
        <v>0.34340326896984547</v>
      </c>
      <c r="K39" s="32">
        <f>+'COLOMBIA USD'!K39+'EL SALVADOR USD'!K39+'VENEZUELA USD'!K39+'PANAMA USD'!K39</f>
        <v>16318.827759064568</v>
      </c>
      <c r="L39" s="34">
        <f t="shared" si="5"/>
        <v>3.537017644774168E-2</v>
      </c>
      <c r="M39" s="32">
        <f>+'COLOMBIA USD'!M39+'EL SALVADOR USD'!M39+'VENEZUELA USD'!M39+'PANAMA USD'!M39</f>
        <v>17339.039036476137</v>
      </c>
      <c r="N39" s="34">
        <f>+M39/$M$20</f>
        <v>3.6341259613175476E-2</v>
      </c>
      <c r="O39" s="34">
        <f>IF(K39=0,"",(M39-K39)/ABS(K39)+1)</f>
        <v>1.0625174364528038</v>
      </c>
      <c r="P39" s="32">
        <f>+'COLOMBIA USD'!P39+'EL SALVADOR USD'!P39+'VENEZUELA USD'!P39+'PANAMA USD'!P39</f>
        <v>16266.97729662782</v>
      </c>
      <c r="Q39" s="34">
        <f t="shared" si="8"/>
        <v>2.8932279875978437E-2</v>
      </c>
      <c r="R39" s="34">
        <f>IF(P39=0,"",(M39-P39)/ABS(P39))</f>
        <v>6.5904176313724749E-2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38587.776303403538</v>
      </c>
      <c r="D41" s="34">
        <f t="shared" si="13"/>
        <v>0.16635212438273114</v>
      </c>
      <c r="E41" s="32">
        <f>E36+E38-E39</f>
        <v>46439.98399729767</v>
      </c>
      <c r="F41" s="34">
        <f>+E41/$E$20</f>
        <v>0.1921820637566056</v>
      </c>
      <c r="G41" s="34">
        <f>IF(C41=0,"",(E41-C41)/ABS(C41)+1)</f>
        <v>1.2034895100498846</v>
      </c>
      <c r="H41" s="32">
        <f>H36+H38-H39</f>
        <v>46327.455011467137</v>
      </c>
      <c r="I41" s="34">
        <f t="shared" si="16"/>
        <v>0.16885509534650248</v>
      </c>
      <c r="J41" s="34">
        <f>IF(H41=0,"",(E41-H41)/ABS(H41))</f>
        <v>2.4289913141716858E-3</v>
      </c>
      <c r="K41" s="32">
        <f>K36+K38-K39</f>
        <v>94938.58664216935</v>
      </c>
      <c r="L41" s="34">
        <f t="shared" si="5"/>
        <v>0.2057742511172401</v>
      </c>
      <c r="M41" s="32">
        <f>+'COLOMBIA USD'!M41+'EL SALVADOR USD'!M41+'VENEZUELA USD'!M41+'PANAMA USD'!M41</f>
        <v>6477.1595255092743</v>
      </c>
      <c r="N41" s="34">
        <f>+M41/$M$20</f>
        <v>1.3575616006013884E-2</v>
      </c>
      <c r="O41" s="34">
        <f>IF(K41=0,"",(M41-K41)/ABS(K41)+1)</f>
        <v>6.8224730898113872E-2</v>
      </c>
      <c r="P41" s="32">
        <f>+'COLOMBIA USD'!P41+'EL SALVADOR USD'!P41+'VENEZUELA USD'!P41+'PANAMA USD'!P41</f>
        <v>-48125.722265105236</v>
      </c>
      <c r="Q41" s="34">
        <f t="shared" si="8"/>
        <v>-8.5595918677299473E-2</v>
      </c>
      <c r="R41" s="34">
        <f>IF(P41=0,"",(M41-P41)/ABS(P41))</f>
        <v>1.1345883078871879</v>
      </c>
    </row>
    <row r="42" spans="2:29" x14ac:dyDescent="0.2">
      <c r="B42" s="3" t="s">
        <v>44</v>
      </c>
      <c r="C42" s="32">
        <f>+'COLOMBIA USD'!C42+'EL SALVADOR USD'!C42+'VENEZUELA USD'!C42+'PANAMA USD'!C42</f>
        <v>1345.4594944030487</v>
      </c>
      <c r="D42" s="34">
        <f t="shared" si="13"/>
        <v>5.8002835769813722E-3</v>
      </c>
      <c r="E42" s="32">
        <f>+'COLOMBIA USD'!E42+'EL SALVADOR USD'!E42+'VENEZUELA USD'!E42+'PANAMA USD'!E42</f>
        <v>4339.8796415629686</v>
      </c>
      <c r="F42" s="34">
        <f>+E42/$E$20</f>
        <v>1.7959675137256336E-2</v>
      </c>
      <c r="G42" s="34">
        <f>IF(C42=0,"",(E42-C42)/ABS(C42)+1)</f>
        <v>3.2255743555390195</v>
      </c>
      <c r="H42" s="32">
        <f>+'COLOMBIA USD'!H42+'EL SALVADOR USD'!H42+'VENEZUELA USD'!H42+'PANAMA USD'!H42</f>
        <v>7373.7453548507501</v>
      </c>
      <c r="I42" s="34">
        <f t="shared" si="16"/>
        <v>2.6875952383871783E-2</v>
      </c>
      <c r="J42" s="34">
        <f>IF(H42=0,"",(E42-H42)/ABS(H42))</f>
        <v>-0.4114416171548399</v>
      </c>
      <c r="K42" s="32">
        <f>+'COLOMBIA USD'!K42+'EL SALVADOR USD'!K42+'VENEZUELA USD'!K42+'PANAMA USD'!K42</f>
        <v>9225.4227484604162</v>
      </c>
      <c r="L42" s="34">
        <f t="shared" si="5"/>
        <v>1.9995604784590202E-2</v>
      </c>
      <c r="M42" s="32">
        <f>+'COLOMBIA USD'!M42+'EL SALVADOR USD'!M42+'VENEZUELA USD'!M42+'PANAMA USD'!M42</f>
        <v>10617.821550589668</v>
      </c>
      <c r="N42" s="34">
        <f>+M42/$M$20</f>
        <v>2.2254117352444057E-2</v>
      </c>
      <c r="O42" s="34">
        <f>IF(K42=0,"",(M42-K42)/ABS(K42)+1)</f>
        <v>1.1509306229204099</v>
      </c>
      <c r="P42" s="32">
        <f>+'COLOMBIA USD'!P42+'EL SALVADOR USD'!P42+'VENEZUELA USD'!P42+'PANAMA USD'!P42</f>
        <v>20636.846009118133</v>
      </c>
      <c r="Q42" s="34">
        <f t="shared" si="8"/>
        <v>3.6704483789809471E-2</v>
      </c>
      <c r="R42" s="34">
        <f>IF(P42=0,"",(M42-P42)/ABS(P42))</f>
        <v>-0.48549203953461129</v>
      </c>
    </row>
    <row r="43" spans="2:29" x14ac:dyDescent="0.2">
      <c r="B43" s="20" t="s">
        <v>59</v>
      </c>
      <c r="C43" s="69">
        <f>+C41-C42</f>
        <v>37242.316809000491</v>
      </c>
      <c r="D43" s="45">
        <f t="shared" si="13"/>
        <v>0.16055184080574977</v>
      </c>
      <c r="E43" s="69">
        <f>E41-E42</f>
        <v>42100.1043557347</v>
      </c>
      <c r="F43" s="45">
        <f>+E43/$E$20</f>
        <v>0.17422238861934924</v>
      </c>
      <c r="G43" s="45">
        <f>IF(C43=0,"",(E43-C43)/ABS(C43)+1)</f>
        <v>1.1304373079593213</v>
      </c>
      <c r="H43" s="69">
        <f>+H41-H42</f>
        <v>38953.709656616389</v>
      </c>
      <c r="I43" s="45">
        <f t="shared" si="16"/>
        <v>0.1419791429626307</v>
      </c>
      <c r="J43" s="45">
        <f>IF(H43=0,"",(E43-H43)/ABS(H43))</f>
        <v>8.0772658800774513E-2</v>
      </c>
      <c r="K43" s="69">
        <f>+K41-K42</f>
        <v>85713.16389370893</v>
      </c>
      <c r="L43" s="45">
        <f t="shared" si="5"/>
        <v>0.18577864633264987</v>
      </c>
      <c r="M43" s="69">
        <f>+M41-M42</f>
        <v>-4140.6620250803935</v>
      </c>
      <c r="N43" s="45">
        <f>+M43/$M$20</f>
        <v>-8.6785013464301727E-3</v>
      </c>
      <c r="O43" s="45">
        <f>IF(K43=0,"",(M43-K43)/ABS(K43)+1)</f>
        <v>-4.8308355881194087E-2</v>
      </c>
      <c r="P43" s="69">
        <f>P41-P42</f>
        <v>-68762.568274223362</v>
      </c>
      <c r="Q43" s="45">
        <f t="shared" si="8"/>
        <v>-0.12230040246710894</v>
      </c>
      <c r="R43" s="45">
        <f>IF(P43=0,"",(M43-P43)/ABS(P43))</f>
        <v>0.93978319703581248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84</v>
      </c>
      <c r="C45" s="32">
        <f>+'COLOMBIA USD'!C45+'EL SALVADOR USD'!C45+'VENEZUELA USD'!C45+'PANAMA USD'!C45</f>
        <v>21562.83669604074</v>
      </c>
      <c r="D45" s="34">
        <f t="shared" si="13"/>
        <v>9.2957512345377205E-2</v>
      </c>
      <c r="E45" s="32">
        <f>+'COLOMBIA USD'!E45+'EL SALVADOR USD'!E45+'VENEZUELA USD'!E45+'PANAMA USD'!E45</f>
        <v>31077.781715884365</v>
      </c>
      <c r="F45" s="34">
        <f>+E45/$E$20</f>
        <v>0.12860883473783075</v>
      </c>
      <c r="G45" s="34">
        <f>IF(C45=0,"",(E45-C45)/ABS(C45)+1)</f>
        <v>1.4412659221961603</v>
      </c>
      <c r="H45" s="32">
        <f>+'COLOMBIA USD'!H45+'EL SALVADOR USD'!H45+'VENEZUELA USD'!H45+'PANAMA USD'!H45</f>
        <v>9506.2103026468976</v>
      </c>
      <c r="I45" s="34">
        <f t="shared" si="16"/>
        <v>3.4648396866178557E-2</v>
      </c>
      <c r="J45" s="34">
        <f>IF(H45=0,"",(E45-H45)/ABS(H45))</f>
        <v>2.2692083097752533</v>
      </c>
      <c r="K45" s="32">
        <f>+'COLOMBIA USD'!K45+'EL SALVADOR USD'!K45+'VENEZUELA USD'!K45+'PANAMA USD'!K45</f>
        <v>61418.801673981841</v>
      </c>
      <c r="L45" s="34">
        <f t="shared" si="5"/>
        <v>0.13312193035500952</v>
      </c>
      <c r="M45" s="32">
        <f>+'COLOMBIA USD'!M45+'EL SALVADOR USD'!M45+'VENEZUELA USD'!M45+'PANAMA USD'!M45</f>
        <v>74539.958029154717</v>
      </c>
      <c r="N45" s="34">
        <f>+M45/$M$20</f>
        <v>0.15622987874899252</v>
      </c>
      <c r="O45" s="34">
        <f>IF(K45=0,"",(M45-K45)/ABS(K45)+1)</f>
        <v>1.213634196655635</v>
      </c>
      <c r="P45" s="32">
        <f>+'COLOMBIA USD'!P45+'EL SALVADOR USD'!P45+'VENEZUELA USD'!P45+'PANAMA USD'!P45</f>
        <v>92024.164806206521</v>
      </c>
      <c r="Q45" s="34">
        <f t="shared" si="8"/>
        <v>0.16367324076110121</v>
      </c>
      <c r="R45" s="34">
        <f>IF(P45=0,"",(M45-P45)/ABS(P45))</f>
        <v>-0.18999582135705068</v>
      </c>
    </row>
    <row r="46" spans="2:29" x14ac:dyDescent="0.2">
      <c r="B46" s="3" t="s">
        <v>35</v>
      </c>
      <c r="C46" s="32">
        <f>+'COLOMBIA USD'!C46+'EL SALVADOR USD'!C46+'VENEZUELA USD'!C46+'PANAMA USD'!C46</f>
        <v>101137.53643405579</v>
      </c>
      <c r="D46" s="34">
        <f t="shared" si="13"/>
        <v>0.43600449811763559</v>
      </c>
      <c r="E46" s="32">
        <f>+'COLOMBIA USD'!E46+'EL SALVADOR USD'!E46+'VENEZUELA USD'!E46+'PANAMA USD'!E46</f>
        <v>116534.24917273172</v>
      </c>
      <c r="F46" s="34">
        <f>+E46/$E$20</f>
        <v>0.48225237342125904</v>
      </c>
      <c r="G46" s="34">
        <f>IF(C46=0,"",(E46-C46)/ABS(C46)+1)</f>
        <v>1.152235394310944</v>
      </c>
      <c r="H46" s="32">
        <f>+'COLOMBIA USD'!H46+'EL SALVADOR USD'!H46+'VENEZUELA USD'!H46+'PANAMA USD'!H46</f>
        <v>116357.91169402646</v>
      </c>
      <c r="I46" s="34">
        <f t="shared" si="16"/>
        <v>0.42410329400895219</v>
      </c>
      <c r="J46" s="34">
        <f>IF(H46=0,"",(E46-H46)/ABS(H46))</f>
        <v>1.5154747634948539E-3</v>
      </c>
      <c r="K46" s="32">
        <f>+'COLOMBIA USD'!K46+'EL SALVADOR USD'!K46+'VENEZUELA USD'!K46+'PANAMA USD'!K46</f>
        <v>206036.99545212253</v>
      </c>
      <c r="L46" s="34">
        <f t="shared" si="5"/>
        <v>0.4465740426640708</v>
      </c>
      <c r="M46" s="32">
        <f>+'COLOMBIA USD'!M46+'EL SALVADOR USD'!M46+'VENEZUELA USD'!M46+'PANAMA USD'!M46</f>
        <v>228762.64108132556</v>
      </c>
      <c r="N46" s="34">
        <f>+M46/$M$20</f>
        <v>0.47946847064840076</v>
      </c>
      <c r="O46" s="34">
        <f>IF(K46=0,"",(M46-K46)/ABS(K46)+1)</f>
        <v>1.1102988595777881</v>
      </c>
      <c r="P46" s="32">
        <f>+'COLOMBIA USD'!P46+'EL SALVADOR USD'!P46+'VENEZUELA USD'!P46+'PANAMA USD'!P46</f>
        <v>239345.0915295984</v>
      </c>
      <c r="Q46" s="34">
        <f t="shared" si="8"/>
        <v>0.42569673817099035</v>
      </c>
      <c r="R46" s="34">
        <f>IF(P46=0,"",(M46-P46)/ABS(P46))</f>
        <v>-4.4214194578392547E-2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98097-ACF0-4EA1-BB6C-D602D102CDDE}">
  <dimension ref="A6:V594"/>
  <sheetViews>
    <sheetView workbookViewId="0">
      <selection activeCell="A16" sqref="A16"/>
    </sheetView>
  </sheetViews>
  <sheetFormatPr baseColWidth="10" defaultColWidth="11.42578125" defaultRowHeight="12" x14ac:dyDescent="0.2"/>
  <cols>
    <col min="1" max="1" width="40.85546875" style="124" customWidth="1"/>
    <col min="2" max="2" width="44.42578125" style="124" customWidth="1"/>
    <col min="3" max="3" width="29.140625" style="124" customWidth="1"/>
    <col min="4" max="4" width="8" style="124" customWidth="1"/>
    <col min="5" max="5" width="22.85546875" style="124" bestFit="1" customWidth="1"/>
    <col min="6" max="6" width="36.42578125" style="124" bestFit="1" customWidth="1"/>
    <col min="7" max="7" width="13.42578125" style="126" bestFit="1" customWidth="1"/>
    <col min="8" max="18" width="30.5703125" style="126" bestFit="1" customWidth="1"/>
    <col min="19" max="19" width="14.140625" style="126" bestFit="1" customWidth="1"/>
    <col min="20" max="22" width="11.42578125" style="126"/>
    <col min="23" max="16384" width="11.42578125" style="124"/>
  </cols>
  <sheetData>
    <row r="6" spans="1:2" x14ac:dyDescent="0.2">
      <c r="A6" s="122" t="s">
        <v>156</v>
      </c>
      <c r="B6" s="123" t="s">
        <v>157</v>
      </c>
    </row>
    <row r="7" spans="1:2" x14ac:dyDescent="0.2">
      <c r="A7" s="122" t="s">
        <v>66</v>
      </c>
      <c r="B7" s="123" t="s">
        <v>158</v>
      </c>
    </row>
    <row r="8" spans="1:2" x14ac:dyDescent="0.2">
      <c r="A8" s="122" t="s">
        <v>68</v>
      </c>
      <c r="B8" s="123" t="s">
        <v>159</v>
      </c>
    </row>
    <row r="9" spans="1:2" x14ac:dyDescent="0.2">
      <c r="A9" s="122" t="s">
        <v>78</v>
      </c>
      <c r="B9" s="123" t="s">
        <v>160</v>
      </c>
    </row>
    <row r="10" spans="1:2" x14ac:dyDescent="0.2">
      <c r="A10" s="122" t="s">
        <v>161</v>
      </c>
      <c r="B10" s="123" t="s">
        <v>162</v>
      </c>
    </row>
    <row r="11" spans="1:2" x14ac:dyDescent="0.2">
      <c r="A11" s="122">
        <v>4170250500</v>
      </c>
      <c r="B11" s="123" t="s">
        <v>163</v>
      </c>
    </row>
    <row r="12" spans="1:2" x14ac:dyDescent="0.2">
      <c r="A12" s="122" t="s">
        <v>80</v>
      </c>
      <c r="B12" s="123" t="s">
        <v>164</v>
      </c>
    </row>
    <row r="13" spans="1:2" x14ac:dyDescent="0.2">
      <c r="A13" s="122" t="s">
        <v>165</v>
      </c>
      <c r="B13" s="123" t="s">
        <v>166</v>
      </c>
    </row>
    <row r="14" spans="1:2" x14ac:dyDescent="0.2">
      <c r="A14" s="122" t="s">
        <v>73</v>
      </c>
      <c r="B14" s="123" t="s">
        <v>167</v>
      </c>
    </row>
    <row r="15" spans="1:2" x14ac:dyDescent="0.2">
      <c r="A15" s="122">
        <v>4155951000</v>
      </c>
      <c r="B15" s="123" t="s">
        <v>168</v>
      </c>
    </row>
    <row r="16" spans="1:2" x14ac:dyDescent="0.2">
      <c r="A16" s="122" t="s">
        <v>76</v>
      </c>
      <c r="B16" s="123" t="s">
        <v>169</v>
      </c>
    </row>
    <row r="33" spans="1:19" x14ac:dyDescent="0.2">
      <c r="B33" s="125" t="s">
        <v>170</v>
      </c>
      <c r="D33" s="124" t="s">
        <v>171</v>
      </c>
    </row>
    <row r="34" spans="1:19" x14ac:dyDescent="0.2">
      <c r="A34" s="124" t="s">
        <v>172</v>
      </c>
      <c r="B34" s="125" t="s">
        <v>173</v>
      </c>
    </row>
    <row r="35" spans="1:19" x14ac:dyDescent="0.2">
      <c r="A35" s="124" t="s">
        <v>174</v>
      </c>
      <c r="B35" s="125" t="s">
        <v>175</v>
      </c>
    </row>
    <row r="36" spans="1:19" x14ac:dyDescent="0.2">
      <c r="A36" s="124" t="s">
        <v>176</v>
      </c>
      <c r="B36" s="125" t="s">
        <v>177</v>
      </c>
    </row>
    <row r="37" spans="1:19" x14ac:dyDescent="0.2">
      <c r="A37" s="124" t="s">
        <v>178</v>
      </c>
      <c r="B37" s="125" t="s">
        <v>179</v>
      </c>
    </row>
    <row r="38" spans="1:19" x14ac:dyDescent="0.2">
      <c r="B38" s="125"/>
    </row>
    <row r="39" spans="1:19" x14ac:dyDescent="0.2">
      <c r="B39" s="125"/>
    </row>
    <row r="40" spans="1:19" x14ac:dyDescent="0.2">
      <c r="B40" s="125"/>
    </row>
    <row r="41" spans="1:19" x14ac:dyDescent="0.2">
      <c r="B41" s="125" t="s">
        <v>180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</row>
    <row r="42" spans="1:19" x14ac:dyDescent="0.2">
      <c r="A42" s="127"/>
      <c r="B42" s="124" t="s">
        <v>181</v>
      </c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</row>
    <row r="43" spans="1:19" x14ac:dyDescent="0.2">
      <c r="A43" s="127" t="s">
        <v>182</v>
      </c>
      <c r="B43" s="123" t="s">
        <v>183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</row>
    <row r="44" spans="1:19" x14ac:dyDescent="0.2">
      <c r="A44" s="124" t="s">
        <v>184</v>
      </c>
      <c r="B44" s="123" t="s">
        <v>185</v>
      </c>
      <c r="G44" s="124"/>
    </row>
    <row r="45" spans="1:19" x14ac:dyDescent="0.2">
      <c r="A45" s="127" t="s">
        <v>186</v>
      </c>
      <c r="B45" s="123" t="s">
        <v>187</v>
      </c>
      <c r="G45" s="124"/>
    </row>
    <row r="46" spans="1:19" x14ac:dyDescent="0.2">
      <c r="A46" s="122">
        <v>5295400000</v>
      </c>
      <c r="B46" s="123" t="s">
        <v>188</v>
      </c>
      <c r="G46" s="124"/>
    </row>
    <row r="47" spans="1:19" x14ac:dyDescent="0.2">
      <c r="A47" s="122">
        <v>5235500000</v>
      </c>
      <c r="B47" s="123" t="s">
        <v>189</v>
      </c>
    </row>
    <row r="48" spans="1:19" x14ac:dyDescent="0.2">
      <c r="A48" s="127" t="s">
        <v>190</v>
      </c>
      <c r="B48" s="123" t="s">
        <v>191</v>
      </c>
    </row>
    <row r="49" spans="1:5" x14ac:dyDescent="0.2">
      <c r="A49" s="127" t="s">
        <v>192</v>
      </c>
      <c r="B49" s="123" t="s">
        <v>193</v>
      </c>
    </row>
    <row r="50" spans="1:5" x14ac:dyDescent="0.2">
      <c r="A50" s="127" t="s">
        <v>194</v>
      </c>
      <c r="B50" s="123" t="s">
        <v>195</v>
      </c>
    </row>
    <row r="51" spans="1:5" x14ac:dyDescent="0.2">
      <c r="A51" s="128">
        <v>5295950300</v>
      </c>
      <c r="B51" s="123" t="s">
        <v>196</v>
      </c>
    </row>
    <row r="52" spans="1:5" x14ac:dyDescent="0.2">
      <c r="A52" s="127" t="s">
        <v>197</v>
      </c>
      <c r="B52" s="123" t="s">
        <v>198</v>
      </c>
    </row>
    <row r="53" spans="1:5" x14ac:dyDescent="0.2">
      <c r="A53" s="122">
        <v>5240200100</v>
      </c>
      <c r="B53" s="123" t="s">
        <v>199</v>
      </c>
    </row>
    <row r="54" spans="1:5" x14ac:dyDescent="0.2">
      <c r="A54" s="122">
        <v>5235150000</v>
      </c>
      <c r="B54" s="123" t="s">
        <v>200</v>
      </c>
    </row>
    <row r="55" spans="1:5" x14ac:dyDescent="0.2">
      <c r="A55" s="122">
        <v>5235100000</v>
      </c>
      <c r="B55" s="123" t="s">
        <v>201</v>
      </c>
    </row>
    <row r="56" spans="1:5" x14ac:dyDescent="0.2">
      <c r="A56" s="127" t="s">
        <v>202</v>
      </c>
      <c r="B56" s="123" t="s">
        <v>203</v>
      </c>
    </row>
    <row r="57" spans="1:5" x14ac:dyDescent="0.2">
      <c r="A57" s="122">
        <v>5299100000</v>
      </c>
      <c r="B57" s="123" t="s">
        <v>204</v>
      </c>
    </row>
    <row r="58" spans="1:5" x14ac:dyDescent="0.2">
      <c r="A58" s="128" t="s">
        <v>205</v>
      </c>
      <c r="B58" s="129" t="s">
        <v>206</v>
      </c>
    </row>
    <row r="59" spans="1:5" x14ac:dyDescent="0.2">
      <c r="A59" s="127"/>
      <c r="B59" s="129" t="s">
        <v>207</v>
      </c>
      <c r="C59" s="124" t="str">
        <f>+Paramet!B4</f>
        <v>202502</v>
      </c>
    </row>
    <row r="60" spans="1:5" x14ac:dyDescent="0.2">
      <c r="A60" s="127" t="s">
        <v>208</v>
      </c>
      <c r="B60" s="123" t="s">
        <v>209</v>
      </c>
      <c r="C60" s="130"/>
      <c r="D60" s="130"/>
      <c r="E60" s="131"/>
    </row>
    <row r="61" spans="1:5" x14ac:dyDescent="0.2">
      <c r="A61" s="124" t="s">
        <v>210</v>
      </c>
      <c r="B61" s="123" t="s">
        <v>211</v>
      </c>
      <c r="C61" s="130"/>
      <c r="D61" s="130"/>
      <c r="E61" s="131"/>
    </row>
    <row r="62" spans="1:5" x14ac:dyDescent="0.2">
      <c r="A62" s="127" t="s">
        <v>212</v>
      </c>
      <c r="B62" s="123" t="s">
        <v>213</v>
      </c>
      <c r="C62" s="130"/>
      <c r="D62" s="130"/>
      <c r="E62" s="131"/>
    </row>
    <row r="63" spans="1:5" x14ac:dyDescent="0.2">
      <c r="A63" s="127" t="s">
        <v>214</v>
      </c>
      <c r="B63" s="123" t="s">
        <v>215</v>
      </c>
      <c r="C63" s="130"/>
      <c r="D63" s="130"/>
      <c r="E63" s="131"/>
    </row>
    <row r="64" spans="1:5" x14ac:dyDescent="0.2">
      <c r="A64" s="127" t="s">
        <v>216</v>
      </c>
      <c r="B64" s="123" t="s">
        <v>217</v>
      </c>
      <c r="C64" s="130"/>
      <c r="D64" s="130"/>
      <c r="E64" s="131"/>
    </row>
    <row r="65" spans="1:5" x14ac:dyDescent="0.2">
      <c r="A65" s="127" t="s">
        <v>218</v>
      </c>
      <c r="B65" s="123" t="s">
        <v>219</v>
      </c>
      <c r="C65" s="130"/>
      <c r="D65" s="130"/>
      <c r="E65" s="131"/>
    </row>
    <row r="66" spans="1:5" x14ac:dyDescent="0.2">
      <c r="A66" s="127" t="s">
        <v>220</v>
      </c>
      <c r="B66" s="123" t="s">
        <v>221</v>
      </c>
      <c r="C66" s="130"/>
      <c r="D66" s="130"/>
      <c r="E66" s="131"/>
    </row>
    <row r="67" spans="1:5" x14ac:dyDescent="0.2">
      <c r="A67" s="127" t="s">
        <v>222</v>
      </c>
      <c r="B67" s="123" t="s">
        <v>223</v>
      </c>
      <c r="C67" s="130"/>
      <c r="D67" s="130"/>
      <c r="E67" s="131"/>
    </row>
    <row r="68" spans="1:5" x14ac:dyDescent="0.2">
      <c r="A68" s="122">
        <v>5265100000</v>
      </c>
      <c r="B68" s="123" t="s">
        <v>224</v>
      </c>
      <c r="C68" s="130"/>
      <c r="D68" s="130"/>
      <c r="E68" s="131"/>
    </row>
    <row r="69" spans="1:5" x14ac:dyDescent="0.2">
      <c r="A69" s="127" t="s">
        <v>225</v>
      </c>
      <c r="B69" s="123" t="s">
        <v>226</v>
      </c>
      <c r="C69" s="130"/>
      <c r="D69" s="130"/>
      <c r="E69" s="131"/>
    </row>
    <row r="70" spans="1:5" x14ac:dyDescent="0.2">
      <c r="A70" s="127" t="s">
        <v>227</v>
      </c>
      <c r="B70" s="123" t="s">
        <v>228</v>
      </c>
      <c r="C70" s="130"/>
      <c r="D70" s="130"/>
      <c r="E70" s="131"/>
    </row>
    <row r="71" spans="1:5" x14ac:dyDescent="0.2">
      <c r="A71" s="127" t="s">
        <v>229</v>
      </c>
      <c r="B71" s="123" t="s">
        <v>230</v>
      </c>
      <c r="C71" s="130"/>
      <c r="D71" s="130"/>
      <c r="E71" s="131"/>
    </row>
    <row r="72" spans="1:5" x14ac:dyDescent="0.2">
      <c r="A72" s="127" t="s">
        <v>231</v>
      </c>
      <c r="B72" s="123" t="s">
        <v>232</v>
      </c>
      <c r="C72" s="130"/>
      <c r="D72" s="130"/>
      <c r="E72" s="131"/>
    </row>
    <row r="73" spans="1:5" x14ac:dyDescent="0.2">
      <c r="A73" s="122" t="s">
        <v>233</v>
      </c>
      <c r="B73" s="123" t="s">
        <v>234</v>
      </c>
      <c r="C73" s="130"/>
      <c r="D73" s="130"/>
      <c r="E73" s="131"/>
    </row>
    <row r="74" spans="1:5" x14ac:dyDescent="0.2">
      <c r="A74" s="127" t="s">
        <v>235</v>
      </c>
      <c r="B74" s="123" t="s">
        <v>236</v>
      </c>
      <c r="C74" s="130"/>
      <c r="D74" s="130"/>
      <c r="E74" s="131"/>
    </row>
    <row r="75" spans="1:5" x14ac:dyDescent="0.2">
      <c r="A75" s="122">
        <v>5265150000</v>
      </c>
      <c r="B75" s="123" t="s">
        <v>237</v>
      </c>
      <c r="C75" s="130"/>
      <c r="D75" s="130"/>
      <c r="E75" s="131"/>
    </row>
    <row r="76" spans="1:5" x14ac:dyDescent="0.2">
      <c r="A76" s="127" t="s">
        <v>238</v>
      </c>
      <c r="B76" s="123" t="s">
        <v>239</v>
      </c>
      <c r="C76" s="130"/>
      <c r="D76" s="130"/>
      <c r="E76" s="131"/>
    </row>
    <row r="77" spans="1:5" x14ac:dyDescent="0.2">
      <c r="A77" s="127" t="s">
        <v>240</v>
      </c>
      <c r="B77" s="123" t="s">
        <v>241</v>
      </c>
      <c r="C77" s="130"/>
      <c r="D77" s="130"/>
      <c r="E77" s="131"/>
    </row>
    <row r="78" spans="1:5" x14ac:dyDescent="0.2">
      <c r="A78" s="127" t="s">
        <v>242</v>
      </c>
      <c r="B78" s="123" t="s">
        <v>243</v>
      </c>
      <c r="C78" s="130"/>
      <c r="D78" s="130"/>
      <c r="E78" s="131"/>
    </row>
    <row r="79" spans="1:5" x14ac:dyDescent="0.2">
      <c r="A79" s="127" t="s">
        <v>244</v>
      </c>
      <c r="B79" s="123" t="s">
        <v>245</v>
      </c>
      <c r="C79" s="130"/>
      <c r="D79" s="130"/>
      <c r="E79" s="131"/>
    </row>
    <row r="80" spans="1:5" x14ac:dyDescent="0.2">
      <c r="A80" s="127" t="s">
        <v>246</v>
      </c>
      <c r="B80" s="123" t="s">
        <v>247</v>
      </c>
      <c r="C80" s="130"/>
      <c r="D80" s="130"/>
      <c r="E80" s="131"/>
    </row>
    <row r="81" spans="1:5" x14ac:dyDescent="0.2">
      <c r="A81" s="127" t="s">
        <v>248</v>
      </c>
      <c r="B81" s="123" t="s">
        <v>249</v>
      </c>
      <c r="C81" s="130"/>
      <c r="D81" s="130"/>
      <c r="E81" s="131"/>
    </row>
    <row r="82" spans="1:5" x14ac:dyDescent="0.2">
      <c r="A82" s="122" t="s">
        <v>250</v>
      </c>
      <c r="B82" s="123" t="s">
        <v>251</v>
      </c>
      <c r="C82" s="130"/>
      <c r="D82" s="130"/>
      <c r="E82" s="131"/>
    </row>
    <row r="83" spans="1:5" x14ac:dyDescent="0.2">
      <c r="A83" s="127" t="s">
        <v>252</v>
      </c>
      <c r="B83" s="123" t="s">
        <v>253</v>
      </c>
      <c r="C83" s="130"/>
      <c r="D83" s="130"/>
      <c r="E83" s="131"/>
    </row>
    <row r="84" spans="1:5" x14ac:dyDescent="0.2">
      <c r="A84" s="127" t="s">
        <v>254</v>
      </c>
      <c r="B84" s="123" t="s">
        <v>255</v>
      </c>
      <c r="C84" s="130"/>
      <c r="D84" s="130"/>
      <c r="E84" s="131"/>
    </row>
    <row r="85" spans="1:5" x14ac:dyDescent="0.2">
      <c r="A85" s="127" t="s">
        <v>256</v>
      </c>
      <c r="B85" s="123" t="s">
        <v>257</v>
      </c>
      <c r="C85" s="130"/>
      <c r="D85" s="130"/>
      <c r="E85" s="131"/>
    </row>
    <row r="86" spans="1:5" x14ac:dyDescent="0.2">
      <c r="A86" s="132" t="s">
        <v>258</v>
      </c>
      <c r="B86" s="123" t="s">
        <v>259</v>
      </c>
      <c r="C86" s="130"/>
      <c r="D86" s="130"/>
      <c r="E86" s="131"/>
    </row>
    <row r="87" spans="1:5" x14ac:dyDescent="0.2">
      <c r="A87" s="127" t="s">
        <v>260</v>
      </c>
      <c r="B87" s="123" t="s">
        <v>261</v>
      </c>
      <c r="C87" s="130"/>
      <c r="D87" s="130"/>
      <c r="E87" s="131"/>
    </row>
    <row r="88" spans="1:5" x14ac:dyDescent="0.2">
      <c r="A88" s="127"/>
      <c r="B88" s="129" t="s">
        <v>262</v>
      </c>
      <c r="C88" s="131"/>
      <c r="D88" s="133"/>
      <c r="E88" s="134"/>
    </row>
    <row r="89" spans="1:5" x14ac:dyDescent="0.2">
      <c r="A89" s="127" t="s">
        <v>263</v>
      </c>
      <c r="B89" s="123" t="s">
        <v>264</v>
      </c>
    </row>
    <row r="90" spans="1:5" x14ac:dyDescent="0.2">
      <c r="A90" s="122">
        <v>5105180100</v>
      </c>
      <c r="B90" s="123" t="s">
        <v>265</v>
      </c>
    </row>
    <row r="91" spans="1:5" x14ac:dyDescent="0.2">
      <c r="A91" s="124" t="s">
        <v>266</v>
      </c>
      <c r="B91" s="123" t="s">
        <v>267</v>
      </c>
    </row>
    <row r="92" spans="1:5" x14ac:dyDescent="0.2">
      <c r="A92" s="122">
        <v>5105480100</v>
      </c>
      <c r="B92" s="123" t="s">
        <v>268</v>
      </c>
    </row>
    <row r="93" spans="1:5" x14ac:dyDescent="0.2">
      <c r="A93" s="127" t="s">
        <v>269</v>
      </c>
      <c r="B93" s="123" t="s">
        <v>270</v>
      </c>
    </row>
    <row r="94" spans="1:5" x14ac:dyDescent="0.2">
      <c r="A94" s="127" t="s">
        <v>271</v>
      </c>
      <c r="B94" s="123" t="s">
        <v>272</v>
      </c>
    </row>
    <row r="95" spans="1:5" x14ac:dyDescent="0.2">
      <c r="A95" s="127"/>
      <c r="B95" s="129" t="s">
        <v>273</v>
      </c>
    </row>
    <row r="96" spans="1:5" x14ac:dyDescent="0.2">
      <c r="A96" s="122">
        <v>5105180000</v>
      </c>
      <c r="B96" s="123" t="s">
        <v>274</v>
      </c>
      <c r="C96" s="130"/>
      <c r="E96" s="131"/>
    </row>
    <row r="97" spans="1:5" x14ac:dyDescent="0.2">
      <c r="A97" s="127" t="s">
        <v>275</v>
      </c>
      <c r="B97" s="123" t="s">
        <v>276</v>
      </c>
      <c r="C97" s="130"/>
      <c r="E97" s="131"/>
    </row>
    <row r="98" spans="1:5" x14ac:dyDescent="0.2">
      <c r="A98" s="127" t="s">
        <v>277</v>
      </c>
      <c r="B98" s="123" t="s">
        <v>278</v>
      </c>
      <c r="C98" s="130"/>
      <c r="E98" s="131"/>
    </row>
    <row r="99" spans="1:5" x14ac:dyDescent="0.2">
      <c r="A99" s="127" t="s">
        <v>279</v>
      </c>
      <c r="B99" s="123" t="s">
        <v>280</v>
      </c>
      <c r="C99" s="130"/>
      <c r="E99" s="131"/>
    </row>
    <row r="100" spans="1:5" x14ac:dyDescent="0.2">
      <c r="A100" s="122" t="s">
        <v>281</v>
      </c>
      <c r="B100" s="123" t="s">
        <v>282</v>
      </c>
      <c r="C100" s="130"/>
      <c r="E100" s="131"/>
    </row>
    <row r="101" spans="1:5" x14ac:dyDescent="0.2">
      <c r="A101" s="127" t="s">
        <v>283</v>
      </c>
      <c r="B101" s="123" t="s">
        <v>284</v>
      </c>
      <c r="C101" s="130"/>
      <c r="E101" s="131"/>
    </row>
    <row r="102" spans="1:5" x14ac:dyDescent="0.2">
      <c r="A102" s="127" t="s">
        <v>285</v>
      </c>
      <c r="B102" s="123" t="s">
        <v>286</v>
      </c>
      <c r="C102" s="130"/>
      <c r="E102" s="131"/>
    </row>
    <row r="103" spans="1:5" x14ac:dyDescent="0.2">
      <c r="A103" s="122" t="s">
        <v>287</v>
      </c>
      <c r="B103" s="123" t="s">
        <v>288</v>
      </c>
      <c r="C103" s="130"/>
      <c r="E103" s="131"/>
    </row>
    <row r="104" spans="1:5" x14ac:dyDescent="0.2">
      <c r="A104" s="122" t="s">
        <v>289</v>
      </c>
      <c r="B104" s="123" t="s">
        <v>290</v>
      </c>
      <c r="C104" s="130"/>
      <c r="E104" s="131"/>
    </row>
    <row r="105" spans="1:5" x14ac:dyDescent="0.2">
      <c r="A105" s="122">
        <v>5120100000</v>
      </c>
      <c r="B105" s="123" t="s">
        <v>291</v>
      </c>
      <c r="C105" s="130"/>
      <c r="E105" s="131"/>
    </row>
    <row r="106" spans="1:5" x14ac:dyDescent="0.2">
      <c r="A106" s="127" t="s">
        <v>292</v>
      </c>
      <c r="B106" s="123" t="s">
        <v>293</v>
      </c>
      <c r="C106" s="130"/>
      <c r="E106" s="131"/>
    </row>
    <row r="107" spans="1:5" x14ac:dyDescent="0.2">
      <c r="A107" s="127" t="s">
        <v>294</v>
      </c>
      <c r="B107" s="123" t="s">
        <v>295</v>
      </c>
      <c r="C107" s="130"/>
      <c r="E107" s="131"/>
    </row>
    <row r="108" spans="1:5" x14ac:dyDescent="0.2">
      <c r="A108" s="127" t="s">
        <v>296</v>
      </c>
      <c r="B108" s="123" t="s">
        <v>297</v>
      </c>
      <c r="C108" s="130"/>
      <c r="E108" s="131"/>
    </row>
    <row r="109" spans="1:5" x14ac:dyDescent="0.2">
      <c r="A109" s="127" t="s">
        <v>298</v>
      </c>
      <c r="B109" s="123" t="s">
        <v>299</v>
      </c>
      <c r="C109" s="130"/>
      <c r="E109" s="131"/>
    </row>
    <row r="110" spans="1:5" x14ac:dyDescent="0.2">
      <c r="A110" s="127" t="s">
        <v>300</v>
      </c>
      <c r="B110" s="123" t="s">
        <v>301</v>
      </c>
      <c r="C110" s="130"/>
      <c r="E110" s="131"/>
    </row>
    <row r="111" spans="1:5" x14ac:dyDescent="0.2">
      <c r="A111" s="127" t="s">
        <v>302</v>
      </c>
      <c r="B111" s="123" t="s">
        <v>303</v>
      </c>
      <c r="C111" s="130"/>
      <c r="E111" s="131"/>
    </row>
    <row r="112" spans="1:5" x14ac:dyDescent="0.2">
      <c r="A112" s="127" t="s">
        <v>304</v>
      </c>
      <c r="B112" s="123" t="s">
        <v>305</v>
      </c>
      <c r="C112" s="130"/>
      <c r="E112" s="131"/>
    </row>
    <row r="113" spans="1:11" x14ac:dyDescent="0.2">
      <c r="A113" s="127" t="s">
        <v>306</v>
      </c>
      <c r="B113" s="123" t="s">
        <v>307</v>
      </c>
      <c r="C113" s="130"/>
      <c r="E113" s="131"/>
    </row>
    <row r="114" spans="1:11" x14ac:dyDescent="0.2">
      <c r="A114" s="127" t="s">
        <v>308</v>
      </c>
      <c r="B114" s="123" t="s">
        <v>309</v>
      </c>
      <c r="C114" s="130"/>
      <c r="E114" s="131"/>
    </row>
    <row r="115" spans="1:11" x14ac:dyDescent="0.2">
      <c r="A115" s="127" t="s">
        <v>310</v>
      </c>
      <c r="B115" s="123" t="s">
        <v>311</v>
      </c>
      <c r="C115" s="130"/>
      <c r="E115" s="131"/>
    </row>
    <row r="116" spans="1:11" x14ac:dyDescent="0.2">
      <c r="A116" s="122" t="s">
        <v>312</v>
      </c>
      <c r="B116" s="123" t="s">
        <v>313</v>
      </c>
      <c r="C116" s="130"/>
      <c r="E116" s="131"/>
    </row>
    <row r="117" spans="1:11" x14ac:dyDescent="0.2">
      <c r="A117" s="127" t="s">
        <v>314</v>
      </c>
      <c r="B117" s="123" t="s">
        <v>315</v>
      </c>
      <c r="C117" s="130"/>
      <c r="E117" s="131"/>
    </row>
    <row r="118" spans="1:11" x14ac:dyDescent="0.2">
      <c r="A118" s="127" t="s">
        <v>316</v>
      </c>
      <c r="B118" s="123" t="s">
        <v>317</v>
      </c>
      <c r="C118" s="130"/>
      <c r="E118" s="131"/>
    </row>
    <row r="119" spans="1:11" x14ac:dyDescent="0.2">
      <c r="A119" s="127" t="s">
        <v>318</v>
      </c>
      <c r="B119" s="123" t="s">
        <v>319</v>
      </c>
      <c r="C119" s="130"/>
      <c r="E119" s="131"/>
    </row>
    <row r="120" spans="1:11" x14ac:dyDescent="0.2">
      <c r="A120" s="127" t="s">
        <v>320</v>
      </c>
      <c r="B120" s="123" t="s">
        <v>321</v>
      </c>
      <c r="C120" s="130"/>
      <c r="E120" s="131"/>
    </row>
    <row r="121" spans="1:11" x14ac:dyDescent="0.2">
      <c r="A121" s="122" t="s">
        <v>322</v>
      </c>
      <c r="B121" s="123" t="s">
        <v>323</v>
      </c>
      <c r="C121" s="130"/>
      <c r="E121" s="131"/>
    </row>
    <row r="122" spans="1:11" x14ac:dyDescent="0.2">
      <c r="A122" s="127" t="s">
        <v>324</v>
      </c>
      <c r="B122" s="123" t="s">
        <v>325</v>
      </c>
      <c r="C122" s="130"/>
      <c r="E122" s="131"/>
    </row>
    <row r="123" spans="1:11" x14ac:dyDescent="0.2">
      <c r="A123" s="127" t="s">
        <v>326</v>
      </c>
      <c r="B123" s="123" t="s">
        <v>327</v>
      </c>
      <c r="C123" s="130"/>
      <c r="E123" s="131"/>
    </row>
    <row r="124" spans="1:11" x14ac:dyDescent="0.2">
      <c r="A124" s="127" t="s">
        <v>328</v>
      </c>
      <c r="B124" s="123" t="s">
        <v>329</v>
      </c>
      <c r="C124" s="130"/>
      <c r="E124" s="131"/>
    </row>
    <row r="125" spans="1:11" x14ac:dyDescent="0.2">
      <c r="A125" s="127" t="s">
        <v>330</v>
      </c>
      <c r="B125" s="123" t="s">
        <v>331</v>
      </c>
      <c r="C125" s="130"/>
      <c r="E125" s="131"/>
    </row>
    <row r="126" spans="1:11" x14ac:dyDescent="0.2">
      <c r="A126" s="127" t="s">
        <v>332</v>
      </c>
      <c r="B126" s="123" t="s">
        <v>333</v>
      </c>
      <c r="C126" s="130"/>
      <c r="E126" s="124" t="s">
        <v>334</v>
      </c>
      <c r="G126" s="124"/>
      <c r="H126" s="124"/>
      <c r="I126" s="124"/>
      <c r="J126" s="124"/>
      <c r="K126" s="124"/>
    </row>
    <row r="127" spans="1:11" x14ac:dyDescent="0.2">
      <c r="A127" s="127"/>
      <c r="B127" s="129" t="s">
        <v>335</v>
      </c>
      <c r="C127" s="131"/>
      <c r="D127" s="131"/>
      <c r="E127" s="124" t="s">
        <v>336</v>
      </c>
      <c r="F127" s="124" t="s">
        <v>337</v>
      </c>
      <c r="G127" s="124" t="s">
        <v>113</v>
      </c>
      <c r="H127" s="124"/>
      <c r="I127" s="124"/>
      <c r="J127" s="124"/>
      <c r="K127" s="124"/>
    </row>
    <row r="128" spans="1:11" x14ac:dyDescent="0.2">
      <c r="A128" s="127" t="s">
        <v>338</v>
      </c>
      <c r="B128" s="123" t="s">
        <v>339</v>
      </c>
      <c r="E128" s="124" t="s">
        <v>340</v>
      </c>
      <c r="F128" s="124" t="s">
        <v>341</v>
      </c>
      <c r="G128" s="135">
        <v>-2083333</v>
      </c>
      <c r="H128" s="124"/>
      <c r="I128" s="124"/>
      <c r="J128" s="124"/>
      <c r="K128" s="124"/>
    </row>
    <row r="129" spans="1:11" x14ac:dyDescent="0.2">
      <c r="A129" s="127" t="s">
        <v>342</v>
      </c>
      <c r="B129" s="123" t="s">
        <v>343</v>
      </c>
      <c r="E129" s="124" t="s">
        <v>344</v>
      </c>
      <c r="G129" s="135">
        <v>-2083333</v>
      </c>
      <c r="H129" s="124"/>
      <c r="I129" s="124"/>
      <c r="J129" s="124"/>
      <c r="K129" s="124"/>
    </row>
    <row r="130" spans="1:11" x14ac:dyDescent="0.2">
      <c r="A130" s="122">
        <v>5110358000</v>
      </c>
      <c r="B130" s="123" t="s">
        <v>345</v>
      </c>
      <c r="G130" s="124"/>
      <c r="H130" s="124"/>
      <c r="I130" s="124"/>
      <c r="J130" s="124"/>
      <c r="K130" s="124"/>
    </row>
    <row r="131" spans="1:11" x14ac:dyDescent="0.2">
      <c r="A131" s="127"/>
      <c r="B131" s="129" t="s">
        <v>346</v>
      </c>
      <c r="G131" s="124"/>
      <c r="H131" s="124"/>
      <c r="I131" s="124"/>
      <c r="J131" s="124"/>
      <c r="K131" s="124"/>
    </row>
    <row r="132" spans="1:11" x14ac:dyDescent="0.2">
      <c r="A132" s="127" t="s">
        <v>347</v>
      </c>
      <c r="B132" s="123" t="s">
        <v>348</v>
      </c>
      <c r="G132" s="124"/>
      <c r="H132" s="124"/>
      <c r="I132" s="124"/>
      <c r="J132" s="124"/>
      <c r="K132" s="124"/>
    </row>
    <row r="133" spans="1:11" x14ac:dyDescent="0.2">
      <c r="A133" s="127" t="s">
        <v>349</v>
      </c>
      <c r="B133" s="123" t="s">
        <v>350</v>
      </c>
      <c r="G133" s="124"/>
      <c r="H133" s="124"/>
      <c r="I133" s="124"/>
      <c r="J133" s="124"/>
      <c r="K133" s="124"/>
    </row>
    <row r="134" spans="1:11" x14ac:dyDescent="0.2">
      <c r="A134" s="127" t="s">
        <v>351</v>
      </c>
      <c r="B134" s="123" t="s">
        <v>352</v>
      </c>
      <c r="G134" s="124"/>
      <c r="H134" s="124"/>
      <c r="I134" s="124"/>
      <c r="J134" s="124"/>
      <c r="K134" s="124"/>
    </row>
    <row r="135" spans="1:11" x14ac:dyDescent="0.2">
      <c r="A135" s="127" t="s">
        <v>353</v>
      </c>
      <c r="B135" s="123" t="s">
        <v>354</v>
      </c>
      <c r="G135" s="124"/>
      <c r="H135" s="124"/>
      <c r="I135" s="124"/>
      <c r="J135" s="124"/>
      <c r="K135" s="124"/>
    </row>
    <row r="136" spans="1:11" x14ac:dyDescent="0.2">
      <c r="G136" s="124"/>
      <c r="H136" s="124"/>
      <c r="I136" s="124"/>
      <c r="J136" s="124"/>
      <c r="K136" s="124"/>
    </row>
    <row r="137" spans="1:11" x14ac:dyDescent="0.2">
      <c r="A137" s="127"/>
      <c r="B137" s="129" t="s">
        <v>355</v>
      </c>
      <c r="G137" s="124"/>
      <c r="H137" s="124"/>
      <c r="I137" s="124"/>
      <c r="J137" s="124"/>
      <c r="K137" s="124"/>
    </row>
    <row r="138" spans="1:11" x14ac:dyDescent="0.2">
      <c r="A138" s="127" t="s">
        <v>356</v>
      </c>
      <c r="B138" s="123" t="s">
        <v>357</v>
      </c>
      <c r="G138" s="124"/>
      <c r="H138" s="124"/>
      <c r="I138" s="124"/>
      <c r="J138" s="124"/>
      <c r="K138" s="124"/>
    </row>
    <row r="139" spans="1:11" x14ac:dyDescent="0.2">
      <c r="A139" s="127" t="s">
        <v>358</v>
      </c>
      <c r="B139" s="123" t="s">
        <v>359</v>
      </c>
      <c r="G139" s="124"/>
      <c r="H139" s="124"/>
      <c r="I139" s="124"/>
      <c r="J139" s="124"/>
      <c r="K139" s="124"/>
    </row>
    <row r="140" spans="1:11" x14ac:dyDescent="0.2">
      <c r="A140" s="127" t="s">
        <v>360</v>
      </c>
      <c r="B140" s="123" t="s">
        <v>361</v>
      </c>
      <c r="G140" s="124"/>
      <c r="H140" s="124"/>
      <c r="I140" s="124"/>
      <c r="J140" s="124"/>
      <c r="K140" s="124"/>
    </row>
    <row r="141" spans="1:11" x14ac:dyDescent="0.2">
      <c r="A141" s="136" t="s">
        <v>362</v>
      </c>
      <c r="B141" s="123" t="s">
        <v>363</v>
      </c>
      <c r="G141" s="124"/>
    </row>
    <row r="142" spans="1:11" x14ac:dyDescent="0.2">
      <c r="A142" s="136"/>
      <c r="B142" s="129" t="s">
        <v>364</v>
      </c>
      <c r="G142" s="124"/>
    </row>
    <row r="143" spans="1:11" x14ac:dyDescent="0.2">
      <c r="A143" s="127" t="s">
        <v>365</v>
      </c>
      <c r="B143" s="123" t="s">
        <v>366</v>
      </c>
      <c r="G143" s="124"/>
    </row>
    <row r="144" spans="1:11" x14ac:dyDescent="0.2">
      <c r="A144" s="127"/>
      <c r="B144" s="129" t="s">
        <v>367</v>
      </c>
      <c r="G144" s="124"/>
    </row>
    <row r="145" spans="1:7" x14ac:dyDescent="0.2">
      <c r="A145" s="127"/>
      <c r="B145" s="129" t="s">
        <v>368</v>
      </c>
      <c r="G145" s="124"/>
    </row>
    <row r="146" spans="1:7" x14ac:dyDescent="0.2">
      <c r="A146" s="127"/>
      <c r="B146" s="129" t="s">
        <v>369</v>
      </c>
      <c r="G146" s="124"/>
    </row>
    <row r="147" spans="1:7" x14ac:dyDescent="0.2">
      <c r="A147" s="127" t="s">
        <v>370</v>
      </c>
      <c r="B147" s="123" t="s">
        <v>371</v>
      </c>
      <c r="G147" s="124"/>
    </row>
    <row r="148" spans="1:7" x14ac:dyDescent="0.2">
      <c r="G148" s="124"/>
    </row>
    <row r="149" spans="1:7" x14ac:dyDescent="0.2">
      <c r="G149" s="124"/>
    </row>
    <row r="150" spans="1:7" x14ac:dyDescent="0.2">
      <c r="B150" s="124" t="s">
        <v>372</v>
      </c>
    </row>
    <row r="151" spans="1:7" x14ac:dyDescent="0.2">
      <c r="A151" s="127" t="s">
        <v>182</v>
      </c>
      <c r="B151" s="123" t="s">
        <v>183</v>
      </c>
    </row>
    <row r="152" spans="1:7" x14ac:dyDescent="0.2">
      <c r="A152" s="124" t="s">
        <v>184</v>
      </c>
      <c r="B152" s="123" t="s">
        <v>185</v>
      </c>
    </row>
    <row r="153" spans="1:7" x14ac:dyDescent="0.2">
      <c r="A153" s="127" t="s">
        <v>208</v>
      </c>
      <c r="B153" s="123" t="s">
        <v>209</v>
      </c>
    </row>
    <row r="154" spans="1:7" x14ac:dyDescent="0.2">
      <c r="A154" s="124" t="s">
        <v>210</v>
      </c>
      <c r="B154" s="123" t="s">
        <v>211</v>
      </c>
    </row>
    <row r="155" spans="1:7" x14ac:dyDescent="0.2">
      <c r="A155" s="127" t="s">
        <v>263</v>
      </c>
      <c r="B155" s="123" t="s">
        <v>264</v>
      </c>
    </row>
    <row r="156" spans="1:7" x14ac:dyDescent="0.2">
      <c r="A156" s="122">
        <v>5105180100</v>
      </c>
      <c r="B156" s="123" t="s">
        <v>265</v>
      </c>
    </row>
    <row r="157" spans="1:7" x14ac:dyDescent="0.2">
      <c r="A157" s="124" t="s">
        <v>266</v>
      </c>
      <c r="B157" s="123" t="s">
        <v>267</v>
      </c>
    </row>
    <row r="158" spans="1:7" x14ac:dyDescent="0.2">
      <c r="A158" s="122">
        <v>5105180000</v>
      </c>
      <c r="B158" s="123" t="s">
        <v>274</v>
      </c>
    </row>
    <row r="159" spans="1:7" x14ac:dyDescent="0.2">
      <c r="A159" s="127" t="s">
        <v>275</v>
      </c>
      <c r="B159" s="123" t="s">
        <v>276</v>
      </c>
    </row>
    <row r="160" spans="1:7" x14ac:dyDescent="0.2">
      <c r="A160" s="127" t="s">
        <v>277</v>
      </c>
      <c r="B160" s="123" t="s">
        <v>278</v>
      </c>
    </row>
    <row r="161" spans="1:5" x14ac:dyDescent="0.2">
      <c r="A161" s="127" t="s">
        <v>279</v>
      </c>
      <c r="B161" s="123" t="s">
        <v>280</v>
      </c>
    </row>
    <row r="164" spans="1:5" x14ac:dyDescent="0.2">
      <c r="B164" s="124" t="s">
        <v>373</v>
      </c>
    </row>
    <row r="165" spans="1:5" x14ac:dyDescent="0.2">
      <c r="A165" s="124" t="s">
        <v>190</v>
      </c>
      <c r="B165" s="124" t="s">
        <v>191</v>
      </c>
    </row>
    <row r="166" spans="1:5" x14ac:dyDescent="0.2">
      <c r="A166" s="124" t="s">
        <v>269</v>
      </c>
      <c r="B166" s="124" t="s">
        <v>270</v>
      </c>
    </row>
    <row r="167" spans="1:5" x14ac:dyDescent="0.2">
      <c r="A167" s="124" t="s">
        <v>271</v>
      </c>
      <c r="B167" s="124" t="s">
        <v>272</v>
      </c>
    </row>
    <row r="173" spans="1:5" x14ac:dyDescent="0.2">
      <c r="A173" s="137" t="s">
        <v>374</v>
      </c>
    </row>
    <row r="174" spans="1:5" x14ac:dyDescent="0.2">
      <c r="A174" s="125" t="s">
        <v>375</v>
      </c>
      <c r="E174" s="124" t="s">
        <v>376</v>
      </c>
    </row>
    <row r="175" spans="1:5" x14ac:dyDescent="0.2">
      <c r="A175" s="124" t="s">
        <v>377</v>
      </c>
      <c r="B175" s="124" t="s">
        <v>378</v>
      </c>
    </row>
    <row r="176" spans="1:5" x14ac:dyDescent="0.2">
      <c r="A176" s="124">
        <v>4155950000</v>
      </c>
      <c r="B176" s="124" t="s">
        <v>379</v>
      </c>
    </row>
    <row r="177" spans="1:5" x14ac:dyDescent="0.2">
      <c r="A177" s="124">
        <v>4155950100</v>
      </c>
      <c r="B177" s="124" t="s">
        <v>380</v>
      </c>
    </row>
    <row r="178" spans="1:5" x14ac:dyDescent="0.2">
      <c r="A178" s="124">
        <v>4155951500</v>
      </c>
      <c r="B178" s="124" t="s">
        <v>381</v>
      </c>
    </row>
    <row r="179" spans="1:5" x14ac:dyDescent="0.2">
      <c r="A179" s="124">
        <v>4135950900</v>
      </c>
      <c r="B179" s="124" t="s">
        <v>382</v>
      </c>
    </row>
    <row r="180" spans="1:5" x14ac:dyDescent="0.2">
      <c r="A180" s="124">
        <v>4135950000</v>
      </c>
      <c r="B180" s="124" t="s">
        <v>383</v>
      </c>
      <c r="E180" s="124">
        <v>4135950000</v>
      </c>
    </row>
    <row r="181" spans="1:5" x14ac:dyDescent="0.2">
      <c r="A181" s="124">
        <v>4155950500</v>
      </c>
      <c r="B181" s="124" t="s">
        <v>383</v>
      </c>
    </row>
    <row r="182" spans="1:5" x14ac:dyDescent="0.2">
      <c r="A182" s="124">
        <v>4170250300</v>
      </c>
      <c r="B182" s="124" t="s">
        <v>383</v>
      </c>
    </row>
    <row r="183" spans="1:5" x14ac:dyDescent="0.2">
      <c r="A183" s="124" t="s">
        <v>384</v>
      </c>
      <c r="B183" s="124" t="s">
        <v>385</v>
      </c>
    </row>
    <row r="184" spans="1:5" x14ac:dyDescent="0.2">
      <c r="A184" s="124">
        <v>6135950000</v>
      </c>
      <c r="B184" s="124" t="s">
        <v>386</v>
      </c>
    </row>
    <row r="186" spans="1:5" x14ac:dyDescent="0.2">
      <c r="B186" s="124" t="s">
        <v>387</v>
      </c>
    </row>
    <row r="187" spans="1:5" x14ac:dyDescent="0.2">
      <c r="A187" s="124">
        <v>5205180100</v>
      </c>
      <c r="B187" s="124" t="s">
        <v>388</v>
      </c>
      <c r="C187" s="124" t="s">
        <v>389</v>
      </c>
    </row>
    <row r="188" spans="1:5" x14ac:dyDescent="0.2">
      <c r="A188" s="124">
        <v>5205361000</v>
      </c>
      <c r="B188" s="124" t="s">
        <v>390</v>
      </c>
      <c r="C188" s="124" t="s">
        <v>391</v>
      </c>
      <c r="D188" s="124" t="s">
        <v>113</v>
      </c>
    </row>
    <row r="189" spans="1:5" x14ac:dyDescent="0.2">
      <c r="A189" s="124">
        <v>5205391000</v>
      </c>
      <c r="B189" s="124" t="s">
        <v>390</v>
      </c>
      <c r="C189" s="124" t="s">
        <v>392</v>
      </c>
      <c r="D189" s="124">
        <v>4638.9799999999996</v>
      </c>
    </row>
    <row r="190" spans="1:5" x14ac:dyDescent="0.2">
      <c r="A190" s="124">
        <v>5205422000</v>
      </c>
      <c r="B190" s="124" t="s">
        <v>390</v>
      </c>
      <c r="C190" s="124" t="s">
        <v>393</v>
      </c>
      <c r="D190" s="124">
        <v>1230.26</v>
      </c>
    </row>
    <row r="191" spans="1:5" x14ac:dyDescent="0.2">
      <c r="A191" s="124">
        <v>5205691000</v>
      </c>
      <c r="B191" s="124" t="s">
        <v>390</v>
      </c>
      <c r="C191" s="124" t="s">
        <v>394</v>
      </c>
      <c r="D191" s="124">
        <v>307.56</v>
      </c>
    </row>
    <row r="192" spans="1:5" x14ac:dyDescent="0.2">
      <c r="A192" s="124">
        <v>5205701000</v>
      </c>
      <c r="B192" s="124" t="s">
        <v>390</v>
      </c>
      <c r="C192" s="124" t="s">
        <v>395</v>
      </c>
      <c r="D192" s="124">
        <v>896.8</v>
      </c>
    </row>
    <row r="193" spans="1:4" x14ac:dyDescent="0.2">
      <c r="A193" s="124">
        <v>5160200000</v>
      </c>
      <c r="B193" s="124" t="s">
        <v>396</v>
      </c>
      <c r="C193" s="124" t="s">
        <v>397</v>
      </c>
      <c r="D193" s="124">
        <v>604.20000000000005</v>
      </c>
    </row>
    <row r="194" spans="1:4" x14ac:dyDescent="0.2">
      <c r="A194" s="124">
        <v>5260100000</v>
      </c>
      <c r="B194" s="124" t="s">
        <v>396</v>
      </c>
      <c r="C194" s="124" t="s">
        <v>398</v>
      </c>
      <c r="D194" s="124">
        <v>27.16</v>
      </c>
    </row>
    <row r="195" spans="1:4" x14ac:dyDescent="0.2">
      <c r="A195" s="124">
        <v>5260200000</v>
      </c>
      <c r="B195" s="124" t="s">
        <v>396</v>
      </c>
      <c r="C195" s="124" t="s">
        <v>344</v>
      </c>
      <c r="D195" s="124">
        <v>7704.96</v>
      </c>
    </row>
    <row r="196" spans="1:4" x14ac:dyDescent="0.2">
      <c r="A196" s="124">
        <v>5260150000</v>
      </c>
      <c r="B196" s="124" t="s">
        <v>396</v>
      </c>
    </row>
    <row r="197" spans="1:4" x14ac:dyDescent="0.2">
      <c r="A197" s="124">
        <v>5260350000</v>
      </c>
      <c r="B197" s="124" t="s">
        <v>396</v>
      </c>
    </row>
    <row r="198" spans="1:4" x14ac:dyDescent="0.2">
      <c r="A198" s="124">
        <v>5160150000</v>
      </c>
      <c r="B198" s="124" t="s">
        <v>399</v>
      </c>
    </row>
    <row r="199" spans="1:4" x14ac:dyDescent="0.2">
      <c r="A199" s="124">
        <v>5145150100</v>
      </c>
      <c r="B199" s="124" t="s">
        <v>400</v>
      </c>
    </row>
    <row r="200" spans="1:4" x14ac:dyDescent="0.2">
      <c r="A200" s="124">
        <v>5235300000</v>
      </c>
      <c r="B200" s="124" t="s">
        <v>400</v>
      </c>
    </row>
    <row r="201" spans="1:4" x14ac:dyDescent="0.2">
      <c r="A201" s="124">
        <v>5245100000</v>
      </c>
      <c r="B201" s="124" t="s">
        <v>400</v>
      </c>
    </row>
    <row r="202" spans="1:4" x14ac:dyDescent="0.2">
      <c r="A202" s="124">
        <v>5245150000</v>
      </c>
      <c r="B202" s="124" t="s">
        <v>400</v>
      </c>
    </row>
    <row r="203" spans="1:4" x14ac:dyDescent="0.2">
      <c r="A203" s="124">
        <v>5245150100</v>
      </c>
      <c r="B203" s="124" t="s">
        <v>400</v>
      </c>
    </row>
    <row r="204" spans="1:4" x14ac:dyDescent="0.2">
      <c r="A204" s="124">
        <v>5245200000</v>
      </c>
      <c r="B204" s="124" t="s">
        <v>400</v>
      </c>
    </row>
    <row r="205" spans="1:4" x14ac:dyDescent="0.2">
      <c r="A205" s="124">
        <v>5245250000</v>
      </c>
      <c r="B205" s="124" t="s">
        <v>400</v>
      </c>
    </row>
    <row r="206" spans="1:4" x14ac:dyDescent="0.2">
      <c r="A206" s="124">
        <v>5250050000</v>
      </c>
      <c r="B206" s="124" t="s">
        <v>400</v>
      </c>
    </row>
    <row r="207" spans="1:4" x14ac:dyDescent="0.2">
      <c r="A207" s="124">
        <v>5250100000</v>
      </c>
      <c r="B207" s="124" t="s">
        <v>400</v>
      </c>
    </row>
    <row r="208" spans="1:4" x14ac:dyDescent="0.2">
      <c r="A208" s="124">
        <v>5250950000</v>
      </c>
      <c r="B208" s="124" t="s">
        <v>400</v>
      </c>
    </row>
    <row r="209" spans="1:2" x14ac:dyDescent="0.2">
      <c r="A209" s="124">
        <v>5295250000</v>
      </c>
      <c r="B209" s="124" t="s">
        <v>400</v>
      </c>
    </row>
    <row r="210" spans="1:2" x14ac:dyDescent="0.2">
      <c r="A210" s="124">
        <v>5295950300</v>
      </c>
      <c r="B210" s="124" t="s">
        <v>400</v>
      </c>
    </row>
    <row r="211" spans="1:2" x14ac:dyDescent="0.2">
      <c r="A211" s="124">
        <v>5235050000</v>
      </c>
      <c r="B211" s="124" t="s">
        <v>401</v>
      </c>
    </row>
    <row r="212" spans="1:2" x14ac:dyDescent="0.2">
      <c r="A212" s="124">
        <v>5235200000</v>
      </c>
      <c r="B212" s="124" t="s">
        <v>401</v>
      </c>
    </row>
    <row r="213" spans="1:2" x14ac:dyDescent="0.2">
      <c r="A213" s="124">
        <v>5235950100</v>
      </c>
      <c r="B213" s="124" t="s">
        <v>401</v>
      </c>
    </row>
    <row r="214" spans="1:2" x14ac:dyDescent="0.2">
      <c r="A214" s="124">
        <v>5235950400</v>
      </c>
      <c r="B214" s="124" t="s">
        <v>401</v>
      </c>
    </row>
    <row r="215" spans="1:2" x14ac:dyDescent="0.2">
      <c r="A215" s="124">
        <v>5235950500</v>
      </c>
      <c r="B215" s="124" t="s">
        <v>401</v>
      </c>
    </row>
    <row r="216" spans="1:2" x14ac:dyDescent="0.2">
      <c r="A216" s="124">
        <v>5235950600</v>
      </c>
      <c r="B216" s="124" t="s">
        <v>401</v>
      </c>
    </row>
    <row r="217" spans="1:2" x14ac:dyDescent="0.2">
      <c r="A217" s="124">
        <v>5235950600</v>
      </c>
      <c r="B217" s="124" t="s">
        <v>401</v>
      </c>
    </row>
    <row r="218" spans="1:2" x14ac:dyDescent="0.2">
      <c r="A218" s="124">
        <v>5235950600</v>
      </c>
      <c r="B218" s="124" t="s">
        <v>401</v>
      </c>
    </row>
    <row r="219" spans="1:2" x14ac:dyDescent="0.2">
      <c r="A219" s="124">
        <v>5295950500</v>
      </c>
      <c r="B219" s="124" t="s">
        <v>401</v>
      </c>
    </row>
    <row r="220" spans="1:2" x14ac:dyDescent="0.2">
      <c r="A220" s="124">
        <v>5295950100</v>
      </c>
      <c r="B220" s="124" t="s">
        <v>402</v>
      </c>
    </row>
    <row r="221" spans="1:2" x14ac:dyDescent="0.2">
      <c r="A221" s="124">
        <v>5299100000</v>
      </c>
      <c r="B221" s="124" t="s">
        <v>403</v>
      </c>
    </row>
    <row r="222" spans="1:2" x14ac:dyDescent="0.2">
      <c r="A222" s="124">
        <v>5160100000</v>
      </c>
      <c r="B222" s="124" t="s">
        <v>404</v>
      </c>
    </row>
    <row r="223" spans="1:2" x14ac:dyDescent="0.2">
      <c r="B223" s="124" t="s">
        <v>405</v>
      </c>
    </row>
    <row r="224" spans="1:2" x14ac:dyDescent="0.2">
      <c r="A224" s="124">
        <v>5205630100</v>
      </c>
      <c r="B224" s="124" t="s">
        <v>406</v>
      </c>
    </row>
    <row r="225" spans="1:2" x14ac:dyDescent="0.2">
      <c r="A225" s="124">
        <v>5205630200</v>
      </c>
      <c r="B225" s="124" t="s">
        <v>406</v>
      </c>
    </row>
    <row r="226" spans="1:2" x14ac:dyDescent="0.2">
      <c r="A226" s="124">
        <v>5205060100</v>
      </c>
      <c r="B226" s="124" t="s">
        <v>407</v>
      </c>
    </row>
    <row r="227" spans="1:2" x14ac:dyDescent="0.2">
      <c r="A227" s="124">
        <v>5205150100</v>
      </c>
      <c r="B227" s="124" t="s">
        <v>407</v>
      </c>
    </row>
    <row r="228" spans="1:2" x14ac:dyDescent="0.2">
      <c r="A228" s="124">
        <v>5205360100</v>
      </c>
      <c r="B228" s="124" t="s">
        <v>408</v>
      </c>
    </row>
    <row r="229" spans="1:2" x14ac:dyDescent="0.2">
      <c r="A229" s="124">
        <v>5205390100</v>
      </c>
      <c r="B229" s="124" t="s">
        <v>408</v>
      </c>
    </row>
    <row r="230" spans="1:2" x14ac:dyDescent="0.2">
      <c r="A230" s="124">
        <v>5205600100</v>
      </c>
      <c r="B230" s="124" t="s">
        <v>408</v>
      </c>
    </row>
    <row r="231" spans="1:2" x14ac:dyDescent="0.2">
      <c r="A231" s="124">
        <v>5205690100</v>
      </c>
      <c r="B231" s="124" t="s">
        <v>408</v>
      </c>
    </row>
    <row r="232" spans="1:2" x14ac:dyDescent="0.2">
      <c r="A232" s="124">
        <v>5205700100</v>
      </c>
      <c r="B232" s="124" t="s">
        <v>408</v>
      </c>
    </row>
    <row r="233" spans="1:2" x14ac:dyDescent="0.2">
      <c r="A233" s="124">
        <v>5205700100</v>
      </c>
      <c r="B233" s="124" t="s">
        <v>408</v>
      </c>
    </row>
    <row r="234" spans="1:2" x14ac:dyDescent="0.2">
      <c r="A234" s="124">
        <v>5205700200</v>
      </c>
      <c r="B234" s="124" t="s">
        <v>408</v>
      </c>
    </row>
    <row r="235" spans="1:2" x14ac:dyDescent="0.2">
      <c r="A235" s="124">
        <v>5205780100</v>
      </c>
      <c r="B235" s="124" t="s">
        <v>408</v>
      </c>
    </row>
    <row r="236" spans="1:2" x14ac:dyDescent="0.2">
      <c r="A236" s="124">
        <v>5205660100</v>
      </c>
      <c r="B236" s="124" t="s">
        <v>409</v>
      </c>
    </row>
    <row r="237" spans="1:2" x14ac:dyDescent="0.2">
      <c r="A237" s="124">
        <v>5210250000</v>
      </c>
      <c r="B237" s="124" t="s">
        <v>410</v>
      </c>
    </row>
    <row r="238" spans="1:2" x14ac:dyDescent="0.2">
      <c r="A238" s="124">
        <v>5210350000</v>
      </c>
      <c r="B238" s="124" t="s">
        <v>410</v>
      </c>
    </row>
    <row r="239" spans="1:2" x14ac:dyDescent="0.2">
      <c r="A239" s="124">
        <v>5210950000</v>
      </c>
      <c r="B239" s="124" t="s">
        <v>410</v>
      </c>
    </row>
    <row r="240" spans="1:2" x14ac:dyDescent="0.2">
      <c r="A240" s="124">
        <v>5115950000</v>
      </c>
      <c r="B240" s="124" t="s">
        <v>411</v>
      </c>
    </row>
    <row r="241" spans="1:2" x14ac:dyDescent="0.2">
      <c r="A241" s="124">
        <v>5215100000</v>
      </c>
      <c r="B241" s="124" t="s">
        <v>411</v>
      </c>
    </row>
    <row r="242" spans="1:2" x14ac:dyDescent="0.2">
      <c r="A242" s="124">
        <v>5215950000</v>
      </c>
      <c r="B242" s="124" t="s">
        <v>411</v>
      </c>
    </row>
    <row r="243" spans="1:2" x14ac:dyDescent="0.2">
      <c r="A243" s="124">
        <v>5240100000</v>
      </c>
      <c r="B243" s="124" t="s">
        <v>411</v>
      </c>
    </row>
    <row r="244" spans="1:2" x14ac:dyDescent="0.2">
      <c r="A244" s="124">
        <v>5240150000</v>
      </c>
      <c r="B244" s="124" t="s">
        <v>411</v>
      </c>
    </row>
    <row r="245" spans="1:2" x14ac:dyDescent="0.2">
      <c r="A245" s="124">
        <v>5245400000</v>
      </c>
      <c r="B245" s="124" t="s">
        <v>412</v>
      </c>
    </row>
    <row r="246" spans="1:2" x14ac:dyDescent="0.2">
      <c r="A246" s="124">
        <v>5295350000</v>
      </c>
      <c r="B246" s="124" t="s">
        <v>412</v>
      </c>
    </row>
    <row r="247" spans="1:2" x14ac:dyDescent="0.2">
      <c r="A247" s="124">
        <v>5295100000</v>
      </c>
      <c r="B247" s="124" t="s">
        <v>413</v>
      </c>
    </row>
    <row r="248" spans="1:2" x14ac:dyDescent="0.2">
      <c r="A248" s="124">
        <v>5295300000</v>
      </c>
      <c r="B248" s="124" t="s">
        <v>413</v>
      </c>
    </row>
    <row r="249" spans="1:2" x14ac:dyDescent="0.2">
      <c r="A249" s="124">
        <v>5235600000</v>
      </c>
      <c r="B249" s="124" t="s">
        <v>414</v>
      </c>
    </row>
    <row r="250" spans="1:2" x14ac:dyDescent="0.2">
      <c r="A250" s="124">
        <v>5235350000</v>
      </c>
      <c r="B250" s="124" t="s">
        <v>415</v>
      </c>
    </row>
    <row r="251" spans="1:2" x14ac:dyDescent="0.2">
      <c r="A251" s="124">
        <v>5235400100</v>
      </c>
      <c r="B251" s="124" t="s">
        <v>415</v>
      </c>
    </row>
    <row r="252" spans="1:2" x14ac:dyDescent="0.2">
      <c r="A252" s="124">
        <v>5235400200</v>
      </c>
      <c r="B252" s="124" t="s">
        <v>415</v>
      </c>
    </row>
    <row r="253" spans="1:2" x14ac:dyDescent="0.2">
      <c r="A253" s="124">
        <v>5235450000</v>
      </c>
      <c r="B253" s="124" t="s">
        <v>415</v>
      </c>
    </row>
    <row r="254" spans="1:2" x14ac:dyDescent="0.2">
      <c r="A254" s="124">
        <v>5230250000</v>
      </c>
      <c r="B254" s="124" t="s">
        <v>416</v>
      </c>
    </row>
    <row r="255" spans="1:2" x14ac:dyDescent="0.2">
      <c r="A255" s="124">
        <v>5230950000</v>
      </c>
      <c r="B255" s="124" t="s">
        <v>416</v>
      </c>
    </row>
    <row r="256" spans="1:2" x14ac:dyDescent="0.2">
      <c r="A256" s="124">
        <v>5295700000</v>
      </c>
      <c r="B256" s="124" t="s">
        <v>416</v>
      </c>
    </row>
    <row r="257" spans="1:2" x14ac:dyDescent="0.2">
      <c r="A257" s="124">
        <v>5225100000</v>
      </c>
      <c r="B257" s="124" t="s">
        <v>417</v>
      </c>
    </row>
    <row r="258" spans="1:2" x14ac:dyDescent="0.2">
      <c r="A258" s="124">
        <v>5205480100</v>
      </c>
      <c r="B258" s="124" t="s">
        <v>418</v>
      </c>
    </row>
    <row r="259" spans="1:2" x14ac:dyDescent="0.2">
      <c r="A259" s="124">
        <v>5205480200</v>
      </c>
      <c r="B259" s="124" t="s">
        <v>418</v>
      </c>
    </row>
    <row r="260" spans="1:2" x14ac:dyDescent="0.2">
      <c r="A260" s="124">
        <v>5205481000</v>
      </c>
      <c r="B260" s="124" t="s">
        <v>418</v>
      </c>
    </row>
    <row r="261" spans="1:2" x14ac:dyDescent="0.2">
      <c r="A261" s="124">
        <v>5205481100</v>
      </c>
      <c r="B261" s="124" t="s">
        <v>418</v>
      </c>
    </row>
    <row r="262" spans="1:2" x14ac:dyDescent="0.2">
      <c r="A262" s="124">
        <v>5205210100</v>
      </c>
      <c r="B262" s="124" t="s">
        <v>419</v>
      </c>
    </row>
    <row r="263" spans="1:2" x14ac:dyDescent="0.2">
      <c r="A263" s="124">
        <v>5205210200</v>
      </c>
      <c r="B263" s="124" t="s">
        <v>419</v>
      </c>
    </row>
    <row r="264" spans="1:2" x14ac:dyDescent="0.2">
      <c r="A264" s="124">
        <v>5255050100</v>
      </c>
      <c r="B264" s="124" t="s">
        <v>419</v>
      </c>
    </row>
    <row r="265" spans="1:2" x14ac:dyDescent="0.2">
      <c r="A265" s="124">
        <v>5255060100</v>
      </c>
      <c r="B265" s="124" t="s">
        <v>419</v>
      </c>
    </row>
    <row r="266" spans="1:2" x14ac:dyDescent="0.2">
      <c r="A266" s="124">
        <v>5255150100</v>
      </c>
      <c r="B266" s="124" t="s">
        <v>419</v>
      </c>
    </row>
    <row r="267" spans="1:2" x14ac:dyDescent="0.2">
      <c r="A267" s="124">
        <v>5255200100</v>
      </c>
      <c r="B267" s="124" t="s">
        <v>419</v>
      </c>
    </row>
    <row r="268" spans="1:2" x14ac:dyDescent="0.2">
      <c r="A268" s="124">
        <v>5255200200</v>
      </c>
      <c r="B268" s="124" t="s">
        <v>419</v>
      </c>
    </row>
    <row r="269" spans="1:2" x14ac:dyDescent="0.2">
      <c r="A269" s="124">
        <v>5255950100</v>
      </c>
      <c r="B269" s="124" t="s">
        <v>419</v>
      </c>
    </row>
    <row r="270" spans="1:2" x14ac:dyDescent="0.2">
      <c r="A270" s="124">
        <v>5240050000</v>
      </c>
      <c r="B270" s="124" t="s">
        <v>420</v>
      </c>
    </row>
    <row r="271" spans="1:2" x14ac:dyDescent="0.2">
      <c r="A271" s="124">
        <v>5240200400</v>
      </c>
      <c r="B271" s="124" t="s">
        <v>420</v>
      </c>
    </row>
    <row r="272" spans="1:2" x14ac:dyDescent="0.2">
      <c r="A272" s="124">
        <v>5220050000</v>
      </c>
      <c r="B272" s="124" t="s">
        <v>421</v>
      </c>
    </row>
    <row r="273" spans="1:2" x14ac:dyDescent="0.2">
      <c r="A273" s="124">
        <v>5220100000</v>
      </c>
      <c r="B273" s="124" t="s">
        <v>421</v>
      </c>
    </row>
    <row r="274" spans="1:2" x14ac:dyDescent="0.2">
      <c r="A274" s="124">
        <v>5220100100</v>
      </c>
      <c r="B274" s="124" t="s">
        <v>421</v>
      </c>
    </row>
    <row r="275" spans="1:2" x14ac:dyDescent="0.2">
      <c r="A275" s="124">
        <v>5220950000</v>
      </c>
      <c r="B275" s="124" t="s">
        <v>421</v>
      </c>
    </row>
    <row r="278" spans="1:2" x14ac:dyDescent="0.2">
      <c r="B278" s="124" t="s">
        <v>422</v>
      </c>
    </row>
    <row r="279" spans="1:2" x14ac:dyDescent="0.2">
      <c r="A279" s="124">
        <v>5105060000</v>
      </c>
      <c r="B279" s="124" t="s">
        <v>423</v>
      </c>
    </row>
    <row r="280" spans="1:2" x14ac:dyDescent="0.2">
      <c r="A280" s="124">
        <v>5105150000</v>
      </c>
      <c r="B280" s="124" t="s">
        <v>423</v>
      </c>
    </row>
    <row r="281" spans="1:2" x14ac:dyDescent="0.2">
      <c r="A281" s="124">
        <v>5105360000</v>
      </c>
      <c r="B281" s="124" t="s">
        <v>424</v>
      </c>
    </row>
    <row r="282" spans="1:2" x14ac:dyDescent="0.2">
      <c r="A282" s="124">
        <v>5105390000</v>
      </c>
      <c r="B282" s="124" t="s">
        <v>424</v>
      </c>
    </row>
    <row r="283" spans="1:2" x14ac:dyDescent="0.2">
      <c r="A283" s="124">
        <v>5105600000</v>
      </c>
      <c r="B283" s="124" t="s">
        <v>424</v>
      </c>
    </row>
    <row r="284" spans="1:2" x14ac:dyDescent="0.2">
      <c r="A284" s="124">
        <v>5105690000</v>
      </c>
      <c r="B284" s="124" t="s">
        <v>424</v>
      </c>
    </row>
    <row r="285" spans="1:2" x14ac:dyDescent="0.2">
      <c r="A285" s="124">
        <v>5105700000</v>
      </c>
      <c r="B285" s="124" t="s">
        <v>424</v>
      </c>
    </row>
    <row r="286" spans="1:2" x14ac:dyDescent="0.2">
      <c r="A286" s="124">
        <v>5105780000</v>
      </c>
      <c r="B286" s="124" t="s">
        <v>424</v>
      </c>
    </row>
    <row r="287" spans="1:2" x14ac:dyDescent="0.2">
      <c r="A287" s="124">
        <v>5105950000</v>
      </c>
      <c r="B287" s="124" t="s">
        <v>424</v>
      </c>
    </row>
    <row r="288" spans="1:2" x14ac:dyDescent="0.2">
      <c r="A288" s="124">
        <v>5105180000</v>
      </c>
      <c r="B288" s="124" t="s">
        <v>425</v>
      </c>
    </row>
    <row r="289" spans="1:2" x14ac:dyDescent="0.2">
      <c r="A289" s="124">
        <v>5105630000</v>
      </c>
      <c r="B289" s="124" t="s">
        <v>426</v>
      </c>
    </row>
    <row r="290" spans="1:2" x14ac:dyDescent="0.2">
      <c r="A290" s="124">
        <v>5105391000</v>
      </c>
      <c r="B290" s="124" t="s">
        <v>427</v>
      </c>
    </row>
    <row r="291" spans="1:2" x14ac:dyDescent="0.2">
      <c r="A291" s="124">
        <v>5105691000</v>
      </c>
      <c r="B291" s="124" t="s">
        <v>427</v>
      </c>
    </row>
    <row r="292" spans="1:2" x14ac:dyDescent="0.2">
      <c r="A292" s="124">
        <v>5105701000</v>
      </c>
      <c r="B292" s="124" t="s">
        <v>427</v>
      </c>
    </row>
    <row r="293" spans="1:2" x14ac:dyDescent="0.2">
      <c r="A293" s="124">
        <v>5135050000</v>
      </c>
      <c r="B293" s="124" t="s">
        <v>401</v>
      </c>
    </row>
    <row r="294" spans="1:2" x14ac:dyDescent="0.2">
      <c r="A294" s="124">
        <v>5135150000</v>
      </c>
      <c r="B294" s="124" t="s">
        <v>401</v>
      </c>
    </row>
    <row r="295" spans="1:2" x14ac:dyDescent="0.2">
      <c r="A295" s="124">
        <v>5135200000</v>
      </c>
      <c r="B295" s="124" t="s">
        <v>401</v>
      </c>
    </row>
    <row r="296" spans="1:2" x14ac:dyDescent="0.2">
      <c r="A296" s="124">
        <v>5135950500</v>
      </c>
      <c r="B296" s="124" t="s">
        <v>401</v>
      </c>
    </row>
    <row r="297" spans="1:2" x14ac:dyDescent="0.2">
      <c r="A297" s="124">
        <v>5120100000</v>
      </c>
      <c r="B297" s="124" t="s">
        <v>428</v>
      </c>
    </row>
    <row r="298" spans="1:2" x14ac:dyDescent="0.2">
      <c r="A298" s="124">
        <v>5105660000</v>
      </c>
      <c r="B298" s="124" t="s">
        <v>429</v>
      </c>
    </row>
    <row r="299" spans="1:2" x14ac:dyDescent="0.2">
      <c r="A299" s="124">
        <v>5155960000</v>
      </c>
      <c r="B299" s="124" t="s">
        <v>429</v>
      </c>
    </row>
    <row r="300" spans="1:2" x14ac:dyDescent="0.2">
      <c r="A300" s="124">
        <v>5195950300</v>
      </c>
      <c r="B300" s="124" t="s">
        <v>430</v>
      </c>
    </row>
    <row r="301" spans="1:2" x14ac:dyDescent="0.2">
      <c r="A301" s="124">
        <v>5110100000</v>
      </c>
      <c r="B301" s="124" t="s">
        <v>431</v>
      </c>
    </row>
    <row r="302" spans="1:2" x14ac:dyDescent="0.2">
      <c r="A302" s="124">
        <v>5110200000</v>
      </c>
      <c r="B302" s="124" t="s">
        <v>431</v>
      </c>
    </row>
    <row r="303" spans="1:2" x14ac:dyDescent="0.2">
      <c r="A303" s="124">
        <v>5110250000</v>
      </c>
      <c r="B303" s="124" t="s">
        <v>431</v>
      </c>
    </row>
    <row r="304" spans="1:2" x14ac:dyDescent="0.2">
      <c r="A304" s="124">
        <v>5110300000</v>
      </c>
      <c r="B304" s="124" t="s">
        <v>431</v>
      </c>
    </row>
    <row r="305" spans="1:2" x14ac:dyDescent="0.2">
      <c r="A305" s="124">
        <v>5110350000</v>
      </c>
      <c r="B305" s="124" t="s">
        <v>431</v>
      </c>
    </row>
    <row r="306" spans="1:2" x14ac:dyDescent="0.2">
      <c r="A306" s="124">
        <v>5110950000</v>
      </c>
      <c r="B306" s="124" t="s">
        <v>431</v>
      </c>
    </row>
    <row r="307" spans="1:2" x14ac:dyDescent="0.2">
      <c r="A307" s="124">
        <v>5130</v>
      </c>
      <c r="B307" s="124" t="s">
        <v>432</v>
      </c>
    </row>
    <row r="308" spans="1:2" x14ac:dyDescent="0.2">
      <c r="A308" s="124">
        <v>5145400000</v>
      </c>
      <c r="B308" s="124" t="s">
        <v>433</v>
      </c>
    </row>
    <row r="309" spans="1:2" x14ac:dyDescent="0.2">
      <c r="A309" s="124">
        <v>5195350000</v>
      </c>
      <c r="B309" s="124" t="s">
        <v>433</v>
      </c>
    </row>
    <row r="310" spans="1:2" x14ac:dyDescent="0.2">
      <c r="A310" s="124">
        <v>5195300000</v>
      </c>
      <c r="B310" s="124" t="s">
        <v>413</v>
      </c>
    </row>
    <row r="311" spans="1:2" x14ac:dyDescent="0.2">
      <c r="A311" s="124">
        <v>5135350000</v>
      </c>
      <c r="B311" s="124" t="s">
        <v>434</v>
      </c>
    </row>
    <row r="312" spans="1:2" x14ac:dyDescent="0.2">
      <c r="A312" s="124">
        <v>5145050000</v>
      </c>
      <c r="B312" s="124" t="s">
        <v>435</v>
      </c>
    </row>
    <row r="313" spans="1:2" x14ac:dyDescent="0.2">
      <c r="A313" s="124">
        <v>5145100000</v>
      </c>
      <c r="B313" s="124" t="s">
        <v>435</v>
      </c>
    </row>
    <row r="314" spans="1:2" x14ac:dyDescent="0.2">
      <c r="A314" s="124">
        <v>5145200000</v>
      </c>
      <c r="B314" s="124" t="s">
        <v>435</v>
      </c>
    </row>
    <row r="315" spans="1:2" x14ac:dyDescent="0.2">
      <c r="A315" s="124">
        <v>5145250000</v>
      </c>
      <c r="B315" s="124" t="s">
        <v>435</v>
      </c>
    </row>
    <row r="316" spans="1:2" x14ac:dyDescent="0.2">
      <c r="A316" s="124">
        <v>5150050000</v>
      </c>
      <c r="B316" s="124" t="s">
        <v>435</v>
      </c>
    </row>
    <row r="317" spans="1:2" x14ac:dyDescent="0.2">
      <c r="A317" s="124">
        <v>5150100000</v>
      </c>
      <c r="B317" s="124" t="s">
        <v>435</v>
      </c>
    </row>
    <row r="318" spans="1:2" x14ac:dyDescent="0.2">
      <c r="A318" s="124">
        <v>5150150000</v>
      </c>
      <c r="B318" s="124" t="s">
        <v>435</v>
      </c>
    </row>
    <row r="319" spans="1:2" x14ac:dyDescent="0.2">
      <c r="A319" s="124">
        <v>5150950000</v>
      </c>
      <c r="B319" s="124" t="s">
        <v>435</v>
      </c>
    </row>
    <row r="320" spans="1:2" x14ac:dyDescent="0.2">
      <c r="A320" s="124">
        <v>5195150000</v>
      </c>
      <c r="B320" s="124" t="s">
        <v>435</v>
      </c>
    </row>
    <row r="321" spans="1:2" x14ac:dyDescent="0.2">
      <c r="A321" s="124">
        <v>5195250000</v>
      </c>
      <c r="B321" s="124" t="s">
        <v>435</v>
      </c>
    </row>
    <row r="322" spans="1:2" x14ac:dyDescent="0.2">
      <c r="A322" s="124">
        <v>5195400000</v>
      </c>
      <c r="B322" s="124" t="s">
        <v>435</v>
      </c>
    </row>
    <row r="323" spans="1:2" x14ac:dyDescent="0.2">
      <c r="A323" s="138">
        <v>5140050000</v>
      </c>
      <c r="B323" s="124" t="s">
        <v>436</v>
      </c>
    </row>
    <row r="324" spans="1:2" x14ac:dyDescent="0.2">
      <c r="A324" s="138">
        <v>5140100000</v>
      </c>
      <c r="B324" s="124" t="s">
        <v>437</v>
      </c>
    </row>
    <row r="325" spans="1:2" x14ac:dyDescent="0.2">
      <c r="A325" s="124">
        <v>5105210000</v>
      </c>
      <c r="B325" s="124" t="s">
        <v>438</v>
      </c>
    </row>
    <row r="326" spans="1:2" x14ac:dyDescent="0.2">
      <c r="A326" s="124">
        <v>5155050000</v>
      </c>
      <c r="B326" s="124" t="s">
        <v>438</v>
      </c>
    </row>
    <row r="327" spans="1:2" x14ac:dyDescent="0.2">
      <c r="A327" s="124">
        <v>5155060000</v>
      </c>
      <c r="B327" s="124" t="s">
        <v>438</v>
      </c>
    </row>
    <row r="328" spans="1:2" x14ac:dyDescent="0.2">
      <c r="A328" s="124">
        <v>5155150000</v>
      </c>
      <c r="B328" s="124" t="s">
        <v>438</v>
      </c>
    </row>
    <row r="329" spans="1:2" x14ac:dyDescent="0.2">
      <c r="A329" s="124">
        <v>5155200000</v>
      </c>
      <c r="B329" s="124" t="s">
        <v>438</v>
      </c>
    </row>
    <row r="330" spans="1:2" x14ac:dyDescent="0.2">
      <c r="A330" s="124">
        <v>5155950000</v>
      </c>
      <c r="B330" s="124" t="s">
        <v>438</v>
      </c>
    </row>
    <row r="332" spans="1:2" x14ac:dyDescent="0.2">
      <c r="B332" s="124" t="s">
        <v>439</v>
      </c>
    </row>
    <row r="333" spans="1:2" x14ac:dyDescent="0.2">
      <c r="A333" s="124">
        <v>5135950300</v>
      </c>
      <c r="B333" s="124" t="s">
        <v>440</v>
      </c>
    </row>
    <row r="334" spans="1:2" x14ac:dyDescent="0.2">
      <c r="A334" s="124">
        <v>5198530000</v>
      </c>
      <c r="B334" s="124" t="s">
        <v>440</v>
      </c>
    </row>
    <row r="335" spans="1:2" x14ac:dyDescent="0.2">
      <c r="A335" s="124">
        <v>5398050000</v>
      </c>
      <c r="B335" s="124" t="s">
        <v>440</v>
      </c>
    </row>
    <row r="336" spans="1:2" x14ac:dyDescent="0.2">
      <c r="A336" s="124">
        <v>5398210000</v>
      </c>
      <c r="B336" s="124" t="s">
        <v>441</v>
      </c>
    </row>
    <row r="337" spans="1:2" x14ac:dyDescent="0.2">
      <c r="A337" s="124">
        <v>5110358000</v>
      </c>
      <c r="B337" s="124" t="s">
        <v>442</v>
      </c>
    </row>
    <row r="338" spans="1:2" x14ac:dyDescent="0.2">
      <c r="A338" s="124">
        <v>5210358000</v>
      </c>
      <c r="B338" s="124" t="s">
        <v>442</v>
      </c>
    </row>
    <row r="340" spans="1:2" x14ac:dyDescent="0.2">
      <c r="B340" s="124" t="s">
        <v>443</v>
      </c>
    </row>
    <row r="341" spans="1:2" x14ac:dyDescent="0.2">
      <c r="A341" s="124">
        <v>4210200100</v>
      </c>
      <c r="B341" s="124" t="s">
        <v>444</v>
      </c>
    </row>
    <row r="342" spans="1:2" x14ac:dyDescent="0.2">
      <c r="A342" s="124">
        <v>4210200200</v>
      </c>
      <c r="B342" s="124" t="s">
        <v>444</v>
      </c>
    </row>
    <row r="343" spans="1:2" x14ac:dyDescent="0.2">
      <c r="A343" s="124">
        <v>4210200400</v>
      </c>
      <c r="B343" s="124" t="s">
        <v>445</v>
      </c>
    </row>
    <row r="344" spans="1:2" x14ac:dyDescent="0.2">
      <c r="A344" s="124">
        <v>4210200500</v>
      </c>
      <c r="B344" s="124" t="s">
        <v>445</v>
      </c>
    </row>
    <row r="345" spans="1:2" x14ac:dyDescent="0.2">
      <c r="A345" s="124">
        <v>4210200501</v>
      </c>
      <c r="B345" s="124" t="s">
        <v>445</v>
      </c>
    </row>
    <row r="346" spans="1:2" x14ac:dyDescent="0.2">
      <c r="A346" s="124">
        <v>4210201000</v>
      </c>
      <c r="B346" s="124" t="s">
        <v>445</v>
      </c>
    </row>
    <row r="347" spans="1:2" x14ac:dyDescent="0.2">
      <c r="A347" s="124">
        <v>4210201001</v>
      </c>
      <c r="B347" s="124" t="s">
        <v>445</v>
      </c>
    </row>
    <row r="348" spans="1:2" x14ac:dyDescent="0.2">
      <c r="A348" s="124">
        <v>4210201100</v>
      </c>
      <c r="B348" s="124" t="s">
        <v>445</v>
      </c>
    </row>
    <row r="349" spans="1:2" x14ac:dyDescent="0.2">
      <c r="A349" s="124">
        <v>4210051000</v>
      </c>
      <c r="B349" s="124" t="s">
        <v>446</v>
      </c>
    </row>
    <row r="350" spans="1:2" x14ac:dyDescent="0.2">
      <c r="A350" s="124">
        <v>4210201000</v>
      </c>
      <c r="B350" s="124" t="s">
        <v>446</v>
      </c>
    </row>
    <row r="351" spans="1:2" x14ac:dyDescent="0.2">
      <c r="A351" s="124">
        <v>4210400000</v>
      </c>
      <c r="B351" s="124" t="s">
        <v>446</v>
      </c>
    </row>
    <row r="352" spans="1:2" x14ac:dyDescent="0.2">
      <c r="A352" s="124">
        <v>4245010000</v>
      </c>
      <c r="B352" s="124" t="s">
        <v>446</v>
      </c>
    </row>
    <row r="353" spans="1:2" x14ac:dyDescent="0.2">
      <c r="A353" s="124">
        <v>4250500100</v>
      </c>
      <c r="B353" s="124" t="s">
        <v>446</v>
      </c>
    </row>
    <row r="354" spans="1:2" x14ac:dyDescent="0.2">
      <c r="A354" s="124">
        <v>4250500200</v>
      </c>
      <c r="B354" s="124" t="s">
        <v>446</v>
      </c>
    </row>
    <row r="355" spans="1:2" x14ac:dyDescent="0.2">
      <c r="A355" s="124">
        <v>4250500300</v>
      </c>
      <c r="B355" s="124" t="s">
        <v>446</v>
      </c>
    </row>
    <row r="356" spans="1:2" x14ac:dyDescent="0.2">
      <c r="A356" s="124">
        <v>4250506600</v>
      </c>
      <c r="B356" s="124" t="s">
        <v>446</v>
      </c>
    </row>
    <row r="357" spans="1:2" x14ac:dyDescent="0.2">
      <c r="A357" s="124">
        <v>4255200000</v>
      </c>
      <c r="B357" s="124" t="s">
        <v>446</v>
      </c>
    </row>
    <row r="358" spans="1:2" x14ac:dyDescent="0.2">
      <c r="A358" s="124">
        <v>4295050000</v>
      </c>
      <c r="B358" s="124" t="s">
        <v>446</v>
      </c>
    </row>
    <row r="359" spans="1:2" x14ac:dyDescent="0.2">
      <c r="A359" s="124">
        <v>4295810000</v>
      </c>
      <c r="B359" s="124" t="s">
        <v>446</v>
      </c>
    </row>
    <row r="361" spans="1:2" x14ac:dyDescent="0.2">
      <c r="B361" s="124" t="s">
        <v>447</v>
      </c>
    </row>
    <row r="362" spans="1:2" x14ac:dyDescent="0.2">
      <c r="A362" s="124">
        <v>5305350000</v>
      </c>
      <c r="B362" s="124" t="s">
        <v>448</v>
      </c>
    </row>
    <row r="363" spans="1:2" x14ac:dyDescent="0.2">
      <c r="A363" s="124">
        <v>5310150000</v>
      </c>
      <c r="B363" s="124" t="s">
        <v>448</v>
      </c>
    </row>
    <row r="364" spans="1:2" x14ac:dyDescent="0.2">
      <c r="A364" s="124">
        <v>5310300000</v>
      </c>
      <c r="B364" s="124" t="s">
        <v>448</v>
      </c>
    </row>
    <row r="365" spans="1:2" x14ac:dyDescent="0.2">
      <c r="A365" s="124">
        <v>5310350000</v>
      </c>
      <c r="B365" s="124" t="s">
        <v>448</v>
      </c>
    </row>
    <row r="366" spans="1:2" x14ac:dyDescent="0.2">
      <c r="A366" s="124">
        <v>5313050000</v>
      </c>
      <c r="B366" s="124" t="s">
        <v>448</v>
      </c>
    </row>
    <row r="367" spans="1:2" x14ac:dyDescent="0.2">
      <c r="A367" s="124">
        <v>5315150200</v>
      </c>
      <c r="B367" s="124" t="s">
        <v>448</v>
      </c>
    </row>
    <row r="368" spans="1:2" x14ac:dyDescent="0.2">
      <c r="A368" s="124">
        <v>5315160000</v>
      </c>
      <c r="B368" s="124" t="s">
        <v>448</v>
      </c>
    </row>
    <row r="369" spans="1:3" x14ac:dyDescent="0.2">
      <c r="A369" s="124">
        <v>5315200000</v>
      </c>
      <c r="B369" s="124" t="s">
        <v>448</v>
      </c>
    </row>
    <row r="370" spans="1:3" x14ac:dyDescent="0.2">
      <c r="A370" s="124">
        <v>5315200100</v>
      </c>
      <c r="B370" s="124" t="s">
        <v>448</v>
      </c>
    </row>
    <row r="371" spans="1:3" x14ac:dyDescent="0.2">
      <c r="A371" s="124">
        <v>5315950000</v>
      </c>
      <c r="B371" s="124" t="s">
        <v>448</v>
      </c>
    </row>
    <row r="372" spans="1:3" x14ac:dyDescent="0.2">
      <c r="A372" s="124">
        <v>5395200000</v>
      </c>
      <c r="B372" s="124" t="s">
        <v>448</v>
      </c>
    </row>
    <row r="373" spans="1:3" x14ac:dyDescent="0.2">
      <c r="A373" s="124">
        <v>5395300000</v>
      </c>
      <c r="B373" s="124" t="s">
        <v>448</v>
      </c>
    </row>
    <row r="374" spans="1:3" x14ac:dyDescent="0.2">
      <c r="A374" s="124">
        <v>5395950000</v>
      </c>
      <c r="B374" s="124" t="s">
        <v>448</v>
      </c>
    </row>
    <row r="375" spans="1:3" x14ac:dyDescent="0.2">
      <c r="A375" s="124">
        <v>5305250500</v>
      </c>
      <c r="B375" s="124" t="s">
        <v>449</v>
      </c>
    </row>
    <row r="376" spans="1:3" x14ac:dyDescent="0.2">
      <c r="A376" s="124">
        <v>5305050000</v>
      </c>
      <c r="B376" s="124" t="s">
        <v>450</v>
      </c>
      <c r="C376" s="124">
        <v>5305050000</v>
      </c>
    </row>
    <row r="377" spans="1:3" x14ac:dyDescent="0.2">
      <c r="A377" s="124">
        <v>5305150000</v>
      </c>
      <c r="B377" s="124" t="s">
        <v>450</v>
      </c>
      <c r="C377" s="124">
        <v>5305200100</v>
      </c>
    </row>
    <row r="378" spans="1:3" x14ac:dyDescent="0.2">
      <c r="A378" s="124">
        <v>5305200100</v>
      </c>
      <c r="B378" s="124" t="s">
        <v>450</v>
      </c>
      <c r="C378" s="124">
        <v>5305202200</v>
      </c>
    </row>
    <row r="379" spans="1:3" x14ac:dyDescent="0.2">
      <c r="A379" s="124">
        <v>5305200200</v>
      </c>
      <c r="B379" s="124" t="s">
        <v>450</v>
      </c>
      <c r="C379" s="124">
        <v>5305150000</v>
      </c>
    </row>
    <row r="380" spans="1:3" x14ac:dyDescent="0.2">
      <c r="A380" s="124">
        <v>5305200300</v>
      </c>
      <c r="B380" s="124" t="s">
        <v>450</v>
      </c>
      <c r="C380" s="124">
        <v>5305200101</v>
      </c>
    </row>
    <row r="381" spans="1:3" x14ac:dyDescent="0.2">
      <c r="A381" s="124">
        <v>5305200400</v>
      </c>
      <c r="B381" s="124" t="s">
        <v>450</v>
      </c>
    </row>
    <row r="382" spans="1:3" x14ac:dyDescent="0.2">
      <c r="A382" s="124">
        <v>5305950000</v>
      </c>
      <c r="B382" s="124" t="s">
        <v>450</v>
      </c>
    </row>
    <row r="383" spans="1:3" x14ac:dyDescent="0.2">
      <c r="A383" s="124">
        <v>5315150000</v>
      </c>
      <c r="B383" s="124" t="s">
        <v>450</v>
      </c>
    </row>
    <row r="385" spans="1:2" x14ac:dyDescent="0.2">
      <c r="A385" s="124">
        <v>5405050100</v>
      </c>
      <c r="B385" s="124" t="s">
        <v>451</v>
      </c>
    </row>
    <row r="389" spans="1:2" x14ac:dyDescent="0.2">
      <c r="B389" s="124" t="s">
        <v>372</v>
      </c>
    </row>
    <row r="390" spans="1:2" x14ac:dyDescent="0.2">
      <c r="A390" s="124">
        <v>5205180100</v>
      </c>
      <c r="B390" s="124" t="s">
        <v>388</v>
      </c>
    </row>
    <row r="391" spans="1:2" x14ac:dyDescent="0.2">
      <c r="A391" s="124">
        <v>5205361000</v>
      </c>
      <c r="B391" s="124" t="s">
        <v>390</v>
      </c>
    </row>
    <row r="392" spans="1:2" x14ac:dyDescent="0.2">
      <c r="A392" s="124">
        <v>5205391000</v>
      </c>
      <c r="B392" s="124" t="s">
        <v>390</v>
      </c>
    </row>
    <row r="393" spans="1:2" x14ac:dyDescent="0.2">
      <c r="A393" s="124">
        <v>5205422000</v>
      </c>
      <c r="B393" s="124" t="s">
        <v>390</v>
      </c>
    </row>
    <row r="394" spans="1:2" x14ac:dyDescent="0.2">
      <c r="A394" s="124">
        <v>5205691000</v>
      </c>
      <c r="B394" s="124" t="s">
        <v>390</v>
      </c>
    </row>
    <row r="395" spans="1:2" x14ac:dyDescent="0.2">
      <c r="A395" s="124">
        <v>5205701000</v>
      </c>
      <c r="B395" s="124" t="s">
        <v>390</v>
      </c>
    </row>
    <row r="396" spans="1:2" x14ac:dyDescent="0.2">
      <c r="A396" s="124">
        <v>5205060100</v>
      </c>
      <c r="B396" s="124" t="s">
        <v>407</v>
      </c>
    </row>
    <row r="397" spans="1:2" x14ac:dyDescent="0.2">
      <c r="A397" s="124">
        <v>5205150100</v>
      </c>
      <c r="B397" s="124" t="s">
        <v>407</v>
      </c>
    </row>
    <row r="398" spans="1:2" x14ac:dyDescent="0.2">
      <c r="A398" s="124">
        <v>5205360100</v>
      </c>
      <c r="B398" s="124" t="s">
        <v>408</v>
      </c>
    </row>
    <row r="399" spans="1:2" x14ac:dyDescent="0.2">
      <c r="A399" s="124">
        <v>5205390100</v>
      </c>
      <c r="B399" s="124" t="s">
        <v>408</v>
      </c>
    </row>
    <row r="400" spans="1:2" x14ac:dyDescent="0.2">
      <c r="A400" s="124">
        <v>5205600100</v>
      </c>
      <c r="B400" s="124" t="s">
        <v>408</v>
      </c>
    </row>
    <row r="401" spans="1:2" x14ac:dyDescent="0.2">
      <c r="A401" s="124">
        <v>5205690100</v>
      </c>
      <c r="B401" s="124" t="s">
        <v>408</v>
      </c>
    </row>
    <row r="402" spans="1:2" x14ac:dyDescent="0.2">
      <c r="A402" s="124">
        <v>5205700100</v>
      </c>
      <c r="B402" s="124" t="s">
        <v>408</v>
      </c>
    </row>
    <row r="403" spans="1:2" x14ac:dyDescent="0.2">
      <c r="A403" s="124">
        <v>5205700100</v>
      </c>
      <c r="B403" s="124" t="s">
        <v>408</v>
      </c>
    </row>
    <row r="404" spans="1:2" x14ac:dyDescent="0.2">
      <c r="A404" s="124">
        <v>5205700200</v>
      </c>
      <c r="B404" s="124" t="s">
        <v>408</v>
      </c>
    </row>
    <row r="405" spans="1:2" x14ac:dyDescent="0.2">
      <c r="A405" s="124">
        <v>5205780100</v>
      </c>
      <c r="B405" s="124" t="s">
        <v>408</v>
      </c>
    </row>
    <row r="406" spans="1:2" x14ac:dyDescent="0.2">
      <c r="A406" s="124">
        <v>5105060000</v>
      </c>
      <c r="B406" s="124" t="s">
        <v>423</v>
      </c>
    </row>
    <row r="407" spans="1:2" x14ac:dyDescent="0.2">
      <c r="A407" s="124">
        <v>5105150000</v>
      </c>
      <c r="B407" s="124" t="s">
        <v>423</v>
      </c>
    </row>
    <row r="408" spans="1:2" x14ac:dyDescent="0.2">
      <c r="A408" s="124">
        <v>5105360000</v>
      </c>
      <c r="B408" s="124" t="s">
        <v>424</v>
      </c>
    </row>
    <row r="409" spans="1:2" x14ac:dyDescent="0.2">
      <c r="A409" s="124">
        <v>5105390000</v>
      </c>
      <c r="B409" s="124" t="s">
        <v>424</v>
      </c>
    </row>
    <row r="410" spans="1:2" x14ac:dyDescent="0.2">
      <c r="A410" s="124">
        <v>5105600000</v>
      </c>
      <c r="B410" s="124" t="s">
        <v>424</v>
      </c>
    </row>
    <row r="411" spans="1:2" x14ac:dyDescent="0.2">
      <c r="A411" s="124">
        <v>5105690000</v>
      </c>
      <c r="B411" s="124" t="s">
        <v>424</v>
      </c>
    </row>
    <row r="412" spans="1:2" x14ac:dyDescent="0.2">
      <c r="A412" s="124">
        <v>5105700000</v>
      </c>
      <c r="B412" s="124" t="s">
        <v>424</v>
      </c>
    </row>
    <row r="413" spans="1:2" x14ac:dyDescent="0.2">
      <c r="A413" s="124">
        <v>5105780000</v>
      </c>
      <c r="B413" s="124" t="s">
        <v>424</v>
      </c>
    </row>
    <row r="414" spans="1:2" x14ac:dyDescent="0.2">
      <c r="A414" s="124">
        <v>5105950000</v>
      </c>
      <c r="B414" s="124" t="s">
        <v>424</v>
      </c>
    </row>
    <row r="415" spans="1:2" x14ac:dyDescent="0.2">
      <c r="A415" s="124">
        <v>5105180000</v>
      </c>
      <c r="B415" s="124" t="s">
        <v>425</v>
      </c>
    </row>
    <row r="416" spans="1:2" x14ac:dyDescent="0.2">
      <c r="A416" s="124">
        <v>5105391000</v>
      </c>
      <c r="B416" s="124" t="s">
        <v>427</v>
      </c>
    </row>
    <row r="417" spans="1:3" x14ac:dyDescent="0.2">
      <c r="A417" s="124">
        <v>5105691000</v>
      </c>
      <c r="B417" s="124" t="s">
        <v>427</v>
      </c>
    </row>
    <row r="418" spans="1:3" x14ac:dyDescent="0.2">
      <c r="A418" s="124">
        <v>5105701000</v>
      </c>
      <c r="B418" s="124" t="s">
        <v>427</v>
      </c>
    </row>
    <row r="421" spans="1:3" x14ac:dyDescent="0.2">
      <c r="A421" s="124">
        <v>5160100000</v>
      </c>
      <c r="B421" s="124" t="s">
        <v>452</v>
      </c>
      <c r="C421" s="124" t="s">
        <v>453</v>
      </c>
    </row>
    <row r="427" spans="1:3" x14ac:dyDescent="0.2">
      <c r="A427" s="125" t="s">
        <v>454</v>
      </c>
    </row>
    <row r="428" spans="1:3" x14ac:dyDescent="0.2">
      <c r="A428" s="124">
        <v>1105050100</v>
      </c>
      <c r="B428" s="124" t="s">
        <v>455</v>
      </c>
      <c r="C428" s="126" t="e">
        <f ca="1">[1]!Consulta(4,"Saldos por cuenta","Saldo Inicial","Periodo","=",Paramet!$B$4,"Cuenta","IN",ctas!A428,"Plan_cuenta","=","NIF")</f>
        <v>#NAME?</v>
      </c>
    </row>
    <row r="429" spans="1:3" x14ac:dyDescent="0.2">
      <c r="A429" s="124">
        <v>1105100200</v>
      </c>
      <c r="B429" s="124" t="s">
        <v>456</v>
      </c>
      <c r="C429" s="126" t="e">
        <f ca="1">[1]!Consulta(4,"Saldos por cuenta","Saldo Inicial","Periodo","=",201908,"Cuenta","IN",ctas!A429,"Plan_cuenta","=","NIF")</f>
        <v>#NAME?</v>
      </c>
    </row>
    <row r="430" spans="1:3" x14ac:dyDescent="0.2">
      <c r="A430" s="124">
        <v>1110050101</v>
      </c>
      <c r="B430" s="124" t="s">
        <v>457</v>
      </c>
      <c r="C430" s="126" t="e">
        <f ca="1">[1]!Consulta(4,"Saldos por cuenta","Saldo Inicial","Periodo","=",201908,"Cuenta","IN",ctas!A430,"Plan_cuenta","=","NIF")</f>
        <v>#NAME?</v>
      </c>
    </row>
    <row r="431" spans="1:3" x14ac:dyDescent="0.2">
      <c r="A431" s="124">
        <v>1110050106</v>
      </c>
      <c r="B431" s="124" t="s">
        <v>458</v>
      </c>
      <c r="C431" s="126" t="e">
        <f ca="1">[1]!Consulta(4,"Saldos por cuenta","Saldo Inicial","Periodo","=",201908,"Cuenta","IN",ctas!A431,"Plan_cuenta","=","NIF")</f>
        <v>#NAME?</v>
      </c>
    </row>
    <row r="432" spans="1:3" x14ac:dyDescent="0.2">
      <c r="A432" s="124">
        <v>1110050108</v>
      </c>
      <c r="B432" s="124" t="s">
        <v>459</v>
      </c>
      <c r="C432" s="126" t="e">
        <f ca="1">[1]!Consulta(4,"Saldos por cuenta","Saldo Inicial","Periodo","=",201908,"Cuenta","IN",ctas!A432,"Plan_cuenta","=","NIF")</f>
        <v>#NAME?</v>
      </c>
    </row>
    <row r="433" spans="1:3" x14ac:dyDescent="0.2">
      <c r="A433" s="124">
        <v>1110050110</v>
      </c>
      <c r="B433" s="124" t="s">
        <v>460</v>
      </c>
      <c r="C433" s="126" t="e">
        <f ca="1">[1]!Consulta(4,"Saldos por cuenta","Saldo Inicial","Periodo","=",201908,"Cuenta","IN",ctas!A433,"Plan_cuenta","=","NIF")</f>
        <v>#NAME?</v>
      </c>
    </row>
    <row r="434" spans="1:3" x14ac:dyDescent="0.2">
      <c r="A434" s="124">
        <v>1110050111</v>
      </c>
      <c r="B434" s="124" t="s">
        <v>461</v>
      </c>
      <c r="C434" s="126" t="e">
        <f ca="1">[1]!Consulta(4,"Saldos por cuenta","Saldo Inicial","Periodo","=",201908,"Cuenta","IN",ctas!A434,"Plan_cuenta","=","NIF")</f>
        <v>#NAME?</v>
      </c>
    </row>
    <row r="435" spans="1:3" x14ac:dyDescent="0.2">
      <c r="A435" s="124">
        <v>1110100101</v>
      </c>
      <c r="B435" s="124" t="s">
        <v>462</v>
      </c>
      <c r="C435" s="126" t="e">
        <f ca="1">[1]!Consulta(4,"Saldos por cuenta","Saldo Inicial","Periodo","=",201908,"Cuenta","IN",ctas!A435,"Plan_cuenta","=","NIF")</f>
        <v>#NAME?</v>
      </c>
    </row>
    <row r="436" spans="1:3" x14ac:dyDescent="0.2">
      <c r="A436" s="124">
        <v>1125100200</v>
      </c>
      <c r="B436" s="124" t="s">
        <v>463</v>
      </c>
      <c r="C436" s="126" t="e">
        <f ca="1">[1]!Consulta(4,"Saldos por cuenta","Saldo Inicial","Periodo","=",201908,"Cuenta","IN",ctas!A436,"Plan_cuenta","=","NIF")</f>
        <v>#NAME?</v>
      </c>
    </row>
    <row r="437" spans="1:3" x14ac:dyDescent="0.2">
      <c r="A437" s="124">
        <v>1130050100</v>
      </c>
      <c r="B437" s="124" t="s">
        <v>464</v>
      </c>
      <c r="C437" s="126" t="e">
        <f ca="1">[1]!Consulta(4,"Saldos por cuenta","Saldo Inicial","Periodo","=",201908,"Cuenta","IN",ctas!A437,"Plan_cuenta","=","NIF")</f>
        <v>#NAME?</v>
      </c>
    </row>
    <row r="438" spans="1:3" x14ac:dyDescent="0.2">
      <c r="A438" s="125"/>
      <c r="C438" s="126" t="e">
        <f ca="1">SUM(C428:C437)</f>
        <v>#NAME?</v>
      </c>
    </row>
    <row r="439" spans="1:3" x14ac:dyDescent="0.2">
      <c r="A439" s="125"/>
    </row>
    <row r="440" spans="1:3" x14ac:dyDescent="0.2">
      <c r="A440" s="124">
        <v>1101</v>
      </c>
      <c r="B440" s="124" t="s">
        <v>465</v>
      </c>
    </row>
    <row r="441" spans="1:3" x14ac:dyDescent="0.2">
      <c r="A441" s="124">
        <v>1102</v>
      </c>
      <c r="B441" s="124" t="s">
        <v>466</v>
      </c>
    </row>
    <row r="442" spans="1:3" x14ac:dyDescent="0.2">
      <c r="A442" s="124">
        <v>1103</v>
      </c>
      <c r="B442" s="124" t="s">
        <v>467</v>
      </c>
    </row>
    <row r="443" spans="1:3" x14ac:dyDescent="0.2">
      <c r="A443" s="124">
        <v>1104</v>
      </c>
      <c r="B443" s="124" t="s">
        <v>468</v>
      </c>
    </row>
    <row r="444" spans="1:3" x14ac:dyDescent="0.2">
      <c r="A444" s="124" t="s">
        <v>469</v>
      </c>
      <c r="B444" s="124" t="s">
        <v>470</v>
      </c>
    </row>
    <row r="445" spans="1:3" x14ac:dyDescent="0.2">
      <c r="A445" s="124">
        <v>1106</v>
      </c>
      <c r="B445" s="124" t="s">
        <v>471</v>
      </c>
    </row>
    <row r="446" spans="1:3" x14ac:dyDescent="0.2">
      <c r="B446" s="124" t="s">
        <v>472</v>
      </c>
    </row>
    <row r="448" spans="1:3" x14ac:dyDescent="0.2">
      <c r="B448" s="124" t="s">
        <v>473</v>
      </c>
    </row>
    <row r="450" spans="1:2" x14ac:dyDescent="0.2">
      <c r="B450" s="124" t="s">
        <v>96</v>
      </c>
    </row>
    <row r="451" spans="1:2" x14ac:dyDescent="0.2">
      <c r="A451" s="124">
        <v>1201</v>
      </c>
      <c r="B451" s="124" t="s">
        <v>474</v>
      </c>
    </row>
    <row r="452" spans="1:2" x14ac:dyDescent="0.2">
      <c r="A452" s="124">
        <v>1202</v>
      </c>
      <c r="B452" s="124" t="s">
        <v>475</v>
      </c>
    </row>
    <row r="453" spans="1:2" x14ac:dyDescent="0.2">
      <c r="A453" s="124">
        <v>1203</v>
      </c>
      <c r="B453" s="124" t="s">
        <v>476</v>
      </c>
    </row>
    <row r="454" spans="1:2" x14ac:dyDescent="0.2">
      <c r="A454" s="124">
        <v>1204</v>
      </c>
      <c r="B454" s="124" t="s">
        <v>477</v>
      </c>
    </row>
    <row r="455" spans="1:2" x14ac:dyDescent="0.2">
      <c r="A455" s="124">
        <v>1205</v>
      </c>
      <c r="B455" s="124" t="s">
        <v>478</v>
      </c>
    </row>
    <row r="456" spans="1:2" x14ac:dyDescent="0.2">
      <c r="A456" s="124">
        <v>1206</v>
      </c>
      <c r="B456" s="124" t="s">
        <v>479</v>
      </c>
    </row>
    <row r="458" spans="1:2" x14ac:dyDescent="0.2">
      <c r="B458" s="124" t="s">
        <v>480</v>
      </c>
    </row>
    <row r="460" spans="1:2" x14ac:dyDescent="0.2">
      <c r="B460" s="124" t="s">
        <v>481</v>
      </c>
    </row>
    <row r="461" spans="1:2" x14ac:dyDescent="0.2">
      <c r="A461" s="124">
        <v>1208</v>
      </c>
      <c r="B461" s="124" t="s">
        <v>482</v>
      </c>
    </row>
    <row r="463" spans="1:2" x14ac:dyDescent="0.2">
      <c r="B463" s="124" t="s">
        <v>97</v>
      </c>
    </row>
    <row r="464" spans="1:2" x14ac:dyDescent="0.2">
      <c r="A464" s="124" t="s">
        <v>483</v>
      </c>
      <c r="B464" s="124" t="s">
        <v>484</v>
      </c>
    </row>
    <row r="465" spans="1:2" x14ac:dyDescent="0.2">
      <c r="A465" s="124">
        <v>1210</v>
      </c>
      <c r="B465" s="124" t="s">
        <v>485</v>
      </c>
    </row>
    <row r="466" spans="1:2" x14ac:dyDescent="0.2">
      <c r="A466" s="124">
        <v>1211</v>
      </c>
      <c r="B466" s="124" t="s">
        <v>486</v>
      </c>
    </row>
    <row r="467" spans="1:2" x14ac:dyDescent="0.2">
      <c r="A467" s="124">
        <v>1212</v>
      </c>
      <c r="B467" s="124" t="s">
        <v>487</v>
      </c>
    </row>
    <row r="468" spans="1:2" x14ac:dyDescent="0.2">
      <c r="B468" s="124" t="s">
        <v>488</v>
      </c>
    </row>
    <row r="470" spans="1:2" x14ac:dyDescent="0.2">
      <c r="B470" s="124" t="s">
        <v>98</v>
      </c>
    </row>
    <row r="471" spans="1:2" x14ac:dyDescent="0.2">
      <c r="A471" s="124">
        <v>1214</v>
      </c>
      <c r="B471" s="124" t="s">
        <v>489</v>
      </c>
    </row>
    <row r="472" spans="1:2" x14ac:dyDescent="0.2">
      <c r="A472" s="124">
        <v>1242</v>
      </c>
      <c r="B472" s="124" t="s">
        <v>490</v>
      </c>
    </row>
    <row r="473" spans="1:2" x14ac:dyDescent="0.2">
      <c r="A473" s="124">
        <v>1243</v>
      </c>
      <c r="B473" s="124" t="s">
        <v>491</v>
      </c>
    </row>
    <row r="474" spans="1:2" x14ac:dyDescent="0.2">
      <c r="A474" s="124">
        <v>1244</v>
      </c>
      <c r="B474" s="124" t="s">
        <v>492</v>
      </c>
    </row>
    <row r="475" spans="1:2" x14ac:dyDescent="0.2">
      <c r="A475" s="124">
        <v>1245</v>
      </c>
      <c r="B475" s="124" t="s">
        <v>493</v>
      </c>
    </row>
    <row r="476" spans="1:2" x14ac:dyDescent="0.2">
      <c r="A476" s="124">
        <v>1246</v>
      </c>
      <c r="B476" s="124" t="s">
        <v>494</v>
      </c>
    </row>
    <row r="477" spans="1:2" x14ac:dyDescent="0.2">
      <c r="A477" s="124">
        <v>1215</v>
      </c>
      <c r="B477" s="124" t="s">
        <v>495</v>
      </c>
    </row>
    <row r="478" spans="1:2" x14ac:dyDescent="0.2">
      <c r="A478" s="124">
        <v>1216</v>
      </c>
      <c r="B478" s="124" t="s">
        <v>496</v>
      </c>
    </row>
    <row r="479" spans="1:2" x14ac:dyDescent="0.2">
      <c r="A479" s="124">
        <v>1217</v>
      </c>
      <c r="B479" s="124" t="s">
        <v>497</v>
      </c>
    </row>
    <row r="480" spans="1:2" x14ac:dyDescent="0.2">
      <c r="A480" s="124">
        <v>1218</v>
      </c>
      <c r="B480" s="124" t="s">
        <v>498</v>
      </c>
    </row>
    <row r="481" spans="1:2" x14ac:dyDescent="0.2">
      <c r="A481" s="124">
        <v>1219</v>
      </c>
      <c r="B481" s="124" t="s">
        <v>499</v>
      </c>
    </row>
    <row r="482" spans="1:2" x14ac:dyDescent="0.2">
      <c r="A482" s="124">
        <v>1220</v>
      </c>
      <c r="B482" s="124" t="s">
        <v>500</v>
      </c>
    </row>
    <row r="483" spans="1:2" x14ac:dyDescent="0.2">
      <c r="A483" s="124">
        <v>1221</v>
      </c>
      <c r="B483" s="124" t="s">
        <v>501</v>
      </c>
    </row>
    <row r="484" spans="1:2" x14ac:dyDescent="0.2">
      <c r="A484" s="124">
        <v>1222</v>
      </c>
      <c r="B484" s="124" t="s">
        <v>502</v>
      </c>
    </row>
    <row r="485" spans="1:2" x14ac:dyDescent="0.2">
      <c r="A485" s="124">
        <v>1223</v>
      </c>
      <c r="B485" s="124" t="s">
        <v>503</v>
      </c>
    </row>
    <row r="486" spans="1:2" x14ac:dyDescent="0.2">
      <c r="A486" s="124">
        <v>1224</v>
      </c>
      <c r="B486" s="124" t="s">
        <v>504</v>
      </c>
    </row>
    <row r="487" spans="1:2" x14ac:dyDescent="0.2">
      <c r="A487" s="124">
        <v>1225</v>
      </c>
      <c r="B487" s="124" t="s">
        <v>505</v>
      </c>
    </row>
    <row r="488" spans="1:2" x14ac:dyDescent="0.2">
      <c r="A488" s="124">
        <v>1226</v>
      </c>
      <c r="B488" s="124" t="s">
        <v>506</v>
      </c>
    </row>
    <row r="489" spans="1:2" x14ac:dyDescent="0.2">
      <c r="A489" s="124">
        <v>1227</v>
      </c>
      <c r="B489" s="124" t="s">
        <v>507</v>
      </c>
    </row>
    <row r="490" spans="1:2" x14ac:dyDescent="0.2">
      <c r="A490" s="124">
        <v>1228</v>
      </c>
      <c r="B490" s="124" t="s">
        <v>508</v>
      </c>
    </row>
    <row r="491" spans="1:2" x14ac:dyDescent="0.2">
      <c r="A491" s="124">
        <v>1229</v>
      </c>
      <c r="B491" s="124" t="s">
        <v>509</v>
      </c>
    </row>
    <row r="492" spans="1:2" x14ac:dyDescent="0.2">
      <c r="A492" s="124">
        <v>1230</v>
      </c>
      <c r="B492" s="124" t="s">
        <v>510</v>
      </c>
    </row>
    <row r="493" spans="1:2" x14ac:dyDescent="0.2">
      <c r="A493" s="124">
        <v>1231</v>
      </c>
      <c r="B493" s="124" t="s">
        <v>511</v>
      </c>
    </row>
    <row r="494" spans="1:2" x14ac:dyDescent="0.2">
      <c r="A494" s="124">
        <v>1232</v>
      </c>
      <c r="B494" s="124" t="s">
        <v>512</v>
      </c>
    </row>
    <row r="495" spans="1:2" x14ac:dyDescent="0.2">
      <c r="A495" s="124">
        <v>1233</v>
      </c>
      <c r="B495" s="124" t="s">
        <v>513</v>
      </c>
    </row>
    <row r="496" spans="1:2" x14ac:dyDescent="0.2">
      <c r="A496" s="124">
        <v>1234</v>
      </c>
      <c r="B496" s="124" t="s">
        <v>514</v>
      </c>
    </row>
    <row r="497" spans="1:2" x14ac:dyDescent="0.2">
      <c r="A497" s="124">
        <v>1235</v>
      </c>
      <c r="B497" s="124" t="s">
        <v>515</v>
      </c>
    </row>
    <row r="498" spans="1:2" x14ac:dyDescent="0.2">
      <c r="A498" s="124">
        <v>1236</v>
      </c>
      <c r="B498" s="124" t="s">
        <v>516</v>
      </c>
    </row>
    <row r="499" spans="1:2" x14ac:dyDescent="0.2">
      <c r="A499" s="124">
        <v>1237</v>
      </c>
      <c r="B499" s="124" t="s">
        <v>517</v>
      </c>
    </row>
    <row r="500" spans="1:2" x14ac:dyDescent="0.2">
      <c r="A500" s="124">
        <v>1238</v>
      </c>
      <c r="B500" s="124" t="s">
        <v>518</v>
      </c>
    </row>
    <row r="501" spans="1:2" x14ac:dyDescent="0.2">
      <c r="A501" s="124">
        <v>1239</v>
      </c>
      <c r="B501" s="124" t="s">
        <v>519</v>
      </c>
    </row>
    <row r="502" spans="1:2" x14ac:dyDescent="0.2">
      <c r="A502" s="124">
        <v>1240</v>
      </c>
      <c r="B502" s="124" t="s">
        <v>520</v>
      </c>
    </row>
    <row r="503" spans="1:2" x14ac:dyDescent="0.2">
      <c r="A503" s="124">
        <v>1241</v>
      </c>
      <c r="B503" s="124" t="s">
        <v>521</v>
      </c>
    </row>
    <row r="504" spans="1:2" x14ac:dyDescent="0.2">
      <c r="B504" s="124" t="s">
        <v>522</v>
      </c>
    </row>
    <row r="506" spans="1:2" x14ac:dyDescent="0.2">
      <c r="B506" s="124" t="s">
        <v>523</v>
      </c>
    </row>
    <row r="508" spans="1:2" x14ac:dyDescent="0.2">
      <c r="B508" s="124" t="s">
        <v>524</v>
      </c>
    </row>
    <row r="510" spans="1:2" x14ac:dyDescent="0.2">
      <c r="B510" s="124" t="s">
        <v>525</v>
      </c>
    </row>
    <row r="512" spans="1:2" x14ac:dyDescent="0.2">
      <c r="B512" s="124" t="s">
        <v>526</v>
      </c>
    </row>
    <row r="513" spans="1:2" x14ac:dyDescent="0.2">
      <c r="A513" s="124">
        <v>2101</v>
      </c>
      <c r="B513" s="124" t="s">
        <v>527</v>
      </c>
    </row>
    <row r="514" spans="1:2" x14ac:dyDescent="0.2">
      <c r="A514" s="124">
        <v>2102</v>
      </c>
      <c r="B514" s="124" t="s">
        <v>528</v>
      </c>
    </row>
    <row r="515" spans="1:2" x14ac:dyDescent="0.2">
      <c r="A515" s="124">
        <v>2103</v>
      </c>
      <c r="B515" s="124" t="s">
        <v>529</v>
      </c>
    </row>
    <row r="516" spans="1:2" x14ac:dyDescent="0.2">
      <c r="A516" s="124">
        <v>1207</v>
      </c>
      <c r="B516" s="124" t="s">
        <v>530</v>
      </c>
    </row>
    <row r="517" spans="1:2" x14ac:dyDescent="0.2">
      <c r="B517" s="124" t="s">
        <v>531</v>
      </c>
    </row>
    <row r="519" spans="1:2" x14ac:dyDescent="0.2">
      <c r="B519" s="124" t="s">
        <v>99</v>
      </c>
    </row>
    <row r="520" spans="1:2" x14ac:dyDescent="0.2">
      <c r="A520" s="124">
        <v>3101</v>
      </c>
      <c r="B520" s="124" t="s">
        <v>532</v>
      </c>
    </row>
    <row r="521" spans="1:2" x14ac:dyDescent="0.2">
      <c r="A521" s="124" t="s">
        <v>533</v>
      </c>
      <c r="B521" s="124" t="s">
        <v>534</v>
      </c>
    </row>
    <row r="522" spans="1:2" x14ac:dyDescent="0.2">
      <c r="A522" s="124">
        <v>3103</v>
      </c>
      <c r="B522" s="124" t="s">
        <v>535</v>
      </c>
    </row>
    <row r="523" spans="1:2" x14ac:dyDescent="0.2">
      <c r="A523" s="124">
        <v>3104</v>
      </c>
      <c r="B523" s="124" t="s">
        <v>536</v>
      </c>
    </row>
    <row r="524" spans="1:2" x14ac:dyDescent="0.2">
      <c r="B524" s="124" t="s">
        <v>537</v>
      </c>
    </row>
    <row r="526" spans="1:2" x14ac:dyDescent="0.2">
      <c r="B526" s="124" t="s">
        <v>538</v>
      </c>
    </row>
    <row r="534" spans="1:12" x14ac:dyDescent="0.2">
      <c r="B534" s="124" t="s">
        <v>539</v>
      </c>
    </row>
    <row r="535" spans="1:12" x14ac:dyDescent="0.2">
      <c r="B535" s="124" t="s">
        <v>540</v>
      </c>
    </row>
    <row r="536" spans="1:12" x14ac:dyDescent="0.2">
      <c r="A536" s="124">
        <v>5101</v>
      </c>
      <c r="B536" s="124" t="s">
        <v>541</v>
      </c>
    </row>
    <row r="537" spans="1:12" x14ac:dyDescent="0.2">
      <c r="A537" s="124">
        <v>5102</v>
      </c>
      <c r="B537" s="124" t="s">
        <v>542</v>
      </c>
    </row>
    <row r="538" spans="1:12" x14ac:dyDescent="0.2">
      <c r="A538" s="124">
        <v>5103</v>
      </c>
      <c r="B538" s="124" t="s">
        <v>543</v>
      </c>
    </row>
    <row r="539" spans="1:12" x14ac:dyDescent="0.2">
      <c r="A539" s="124">
        <v>5104</v>
      </c>
      <c r="B539" s="124" t="s">
        <v>544</v>
      </c>
    </row>
    <row r="540" spans="1:12" x14ac:dyDescent="0.2">
      <c r="A540" s="124">
        <v>5105</v>
      </c>
      <c r="B540" s="124" t="s">
        <v>545</v>
      </c>
      <c r="E540" s="124" t="s">
        <v>546</v>
      </c>
      <c r="F540" s="124" t="s">
        <v>547</v>
      </c>
    </row>
    <row r="541" spans="1:12" x14ac:dyDescent="0.2">
      <c r="B541" s="124" t="s">
        <v>548</v>
      </c>
    </row>
    <row r="542" spans="1:12" x14ac:dyDescent="0.2">
      <c r="E542" s="124" t="s">
        <v>549</v>
      </c>
      <c r="G542" s="124"/>
      <c r="H542" s="124"/>
      <c r="I542" s="124"/>
      <c r="J542" s="124"/>
      <c r="K542" s="124"/>
      <c r="L542" s="124"/>
    </row>
    <row r="543" spans="1:12" x14ac:dyDescent="0.2">
      <c r="B543" s="124" t="s">
        <v>538</v>
      </c>
      <c r="E543" s="124" t="s">
        <v>550</v>
      </c>
      <c r="F543" s="124" t="s">
        <v>551</v>
      </c>
      <c r="G543" s="124" t="s">
        <v>113</v>
      </c>
      <c r="H543" s="124"/>
      <c r="I543" s="124"/>
      <c r="J543" s="124"/>
      <c r="K543" s="124"/>
      <c r="L543" s="124"/>
    </row>
    <row r="544" spans="1:12" x14ac:dyDescent="0.2">
      <c r="A544" s="124">
        <v>6190</v>
      </c>
      <c r="B544" s="124" t="s">
        <v>552</v>
      </c>
      <c r="E544" s="124" t="s">
        <v>553</v>
      </c>
      <c r="F544" s="124" t="s">
        <v>554</v>
      </c>
      <c r="G544" s="135">
        <v>157866000</v>
      </c>
      <c r="H544" s="124"/>
      <c r="I544" s="124"/>
      <c r="J544" s="124"/>
      <c r="K544" s="124"/>
      <c r="L544" s="124"/>
    </row>
    <row r="545" spans="1:12" x14ac:dyDescent="0.2">
      <c r="A545" s="124">
        <v>7101</v>
      </c>
      <c r="B545" s="124" t="s">
        <v>555</v>
      </c>
      <c r="E545" s="124" t="s">
        <v>556</v>
      </c>
      <c r="F545" s="124" t="s">
        <v>557</v>
      </c>
      <c r="G545" s="135">
        <v>487283000</v>
      </c>
      <c r="H545" s="124"/>
      <c r="I545" s="124"/>
      <c r="J545" s="124"/>
      <c r="K545" s="124"/>
      <c r="L545" s="124"/>
    </row>
    <row r="546" spans="1:12" x14ac:dyDescent="0.2">
      <c r="A546" s="124">
        <v>7102</v>
      </c>
      <c r="B546" s="124" t="s">
        <v>557</v>
      </c>
      <c r="E546" s="124" t="s">
        <v>558</v>
      </c>
      <c r="F546" s="124" t="s">
        <v>559</v>
      </c>
      <c r="G546" s="135">
        <v>821000000</v>
      </c>
      <c r="H546" s="124"/>
      <c r="I546" s="124"/>
      <c r="J546" s="124"/>
      <c r="K546" s="124"/>
      <c r="L546" s="124"/>
    </row>
    <row r="547" spans="1:12" x14ac:dyDescent="0.2">
      <c r="A547" s="124">
        <v>7103</v>
      </c>
      <c r="B547" s="124" t="s">
        <v>560</v>
      </c>
      <c r="E547" s="124" t="s">
        <v>344</v>
      </c>
      <c r="G547" s="135">
        <v>1466149000</v>
      </c>
      <c r="H547" s="124"/>
      <c r="I547" s="124"/>
      <c r="J547" s="124"/>
      <c r="K547" s="124"/>
      <c r="L547" s="124"/>
    </row>
    <row r="548" spans="1:12" x14ac:dyDescent="0.2">
      <c r="A548" s="124">
        <v>7105</v>
      </c>
      <c r="B548" s="124" t="s">
        <v>561</v>
      </c>
      <c r="G548" s="124"/>
      <c r="H548" s="124"/>
      <c r="I548" s="124"/>
      <c r="J548" s="124"/>
      <c r="K548" s="124"/>
      <c r="L548" s="124"/>
    </row>
    <row r="549" spans="1:12" x14ac:dyDescent="0.2">
      <c r="A549" s="124" t="s">
        <v>562</v>
      </c>
      <c r="B549" s="124" t="s">
        <v>563</v>
      </c>
      <c r="G549" s="124"/>
      <c r="H549" s="124"/>
      <c r="I549" s="124"/>
      <c r="J549" s="124"/>
      <c r="K549" s="124"/>
      <c r="L549" s="124"/>
    </row>
    <row r="550" spans="1:12" x14ac:dyDescent="0.2">
      <c r="A550" s="124">
        <v>4101</v>
      </c>
      <c r="B550" s="124" t="s">
        <v>564</v>
      </c>
      <c r="G550" s="124"/>
      <c r="H550" s="124"/>
      <c r="I550" s="124"/>
      <c r="J550" s="124"/>
      <c r="K550" s="124"/>
    </row>
    <row r="551" spans="1:12" x14ac:dyDescent="0.2">
      <c r="A551" s="124">
        <v>4102</v>
      </c>
      <c r="B551" s="124" t="s">
        <v>554</v>
      </c>
      <c r="G551" s="124"/>
      <c r="H551" s="124"/>
      <c r="I551" s="124"/>
      <c r="J551" s="124"/>
      <c r="K551" s="124"/>
    </row>
    <row r="552" spans="1:12" x14ac:dyDescent="0.2">
      <c r="A552" s="124">
        <v>7104</v>
      </c>
      <c r="B552" s="124" t="s">
        <v>565</v>
      </c>
      <c r="E552" s="124">
        <v>6190</v>
      </c>
      <c r="F552" s="124" t="s">
        <v>552</v>
      </c>
      <c r="G552" s="124"/>
      <c r="H552" s="124"/>
      <c r="I552" s="124"/>
      <c r="J552" s="124"/>
      <c r="K552" s="124"/>
    </row>
    <row r="553" spans="1:12" x14ac:dyDescent="0.2">
      <c r="G553" s="124"/>
      <c r="H553" s="124"/>
      <c r="I553" s="124"/>
      <c r="J553" s="124"/>
      <c r="K553" s="124"/>
    </row>
    <row r="554" spans="1:12" x14ac:dyDescent="0.2">
      <c r="B554" s="124" t="s">
        <v>566</v>
      </c>
      <c r="G554" s="124"/>
      <c r="H554" s="124"/>
      <c r="I554" s="124"/>
      <c r="J554" s="124"/>
      <c r="K554" s="124"/>
    </row>
    <row r="555" spans="1:12" x14ac:dyDescent="0.2">
      <c r="A555" s="125" t="s">
        <v>567</v>
      </c>
      <c r="G555" s="124"/>
    </row>
    <row r="556" spans="1:12" x14ac:dyDescent="0.2">
      <c r="A556" s="139">
        <v>1110050100</v>
      </c>
      <c r="B556" s="140" t="s">
        <v>568</v>
      </c>
      <c r="G556" s="124"/>
    </row>
    <row r="557" spans="1:12" x14ac:dyDescent="0.2">
      <c r="A557" s="139">
        <v>1110050200</v>
      </c>
      <c r="B557" s="124" t="s">
        <v>569</v>
      </c>
      <c r="G557" s="124"/>
    </row>
    <row r="558" spans="1:12" x14ac:dyDescent="0.2">
      <c r="G558" s="124"/>
    </row>
    <row r="562" spans="1:2" x14ac:dyDescent="0.2">
      <c r="A562" s="124">
        <v>4170250000</v>
      </c>
      <c r="B562" s="124" t="s">
        <v>570</v>
      </c>
    </row>
    <row r="564" spans="1:2" x14ac:dyDescent="0.2">
      <c r="A564" s="124">
        <v>4218050000</v>
      </c>
      <c r="B564" s="124" t="s">
        <v>571</v>
      </c>
    </row>
    <row r="567" spans="1:2" x14ac:dyDescent="0.2">
      <c r="A567" s="124">
        <v>5210350000</v>
      </c>
      <c r="B567" s="124" t="s">
        <v>572</v>
      </c>
    </row>
    <row r="568" spans="1:2" x14ac:dyDescent="0.2">
      <c r="A568" s="124">
        <v>5140950000</v>
      </c>
    </row>
    <row r="570" spans="1:2" x14ac:dyDescent="0.2">
      <c r="A570" s="139">
        <v>5305950000</v>
      </c>
      <c r="B570" s="124" t="s">
        <v>573</v>
      </c>
    </row>
    <row r="571" spans="1:2" x14ac:dyDescent="0.2">
      <c r="A571" s="139">
        <v>5313050000</v>
      </c>
      <c r="B571" s="124" t="s">
        <v>571</v>
      </c>
    </row>
    <row r="572" spans="1:2" x14ac:dyDescent="0.2">
      <c r="A572" s="124">
        <v>5310950000</v>
      </c>
      <c r="B572" s="124" t="s">
        <v>574</v>
      </c>
    </row>
    <row r="576" spans="1:2" x14ac:dyDescent="0.2">
      <c r="A576" s="124">
        <v>1101</v>
      </c>
      <c r="B576" s="124" t="s">
        <v>575</v>
      </c>
    </row>
    <row r="577" spans="1:3" x14ac:dyDescent="0.2">
      <c r="A577" s="124">
        <v>1102</v>
      </c>
      <c r="B577" s="124" t="s">
        <v>576</v>
      </c>
    </row>
    <row r="578" spans="1:3" x14ac:dyDescent="0.2">
      <c r="A578" s="124">
        <v>1103</v>
      </c>
      <c r="B578" s="124" t="s">
        <v>577</v>
      </c>
    </row>
    <row r="579" spans="1:3" x14ac:dyDescent="0.2">
      <c r="A579" s="124">
        <v>1104</v>
      </c>
      <c r="B579" s="124" t="s">
        <v>578</v>
      </c>
    </row>
    <row r="580" spans="1:3" x14ac:dyDescent="0.2">
      <c r="A580" s="124">
        <v>1106</v>
      </c>
      <c r="B580" s="124" t="s">
        <v>579</v>
      </c>
    </row>
    <row r="581" spans="1:3" x14ac:dyDescent="0.2">
      <c r="A581" s="124">
        <v>9999</v>
      </c>
      <c r="B581" s="124" t="s">
        <v>580</v>
      </c>
      <c r="C581" s="124" t="s">
        <v>581</v>
      </c>
    </row>
    <row r="583" spans="1:3" x14ac:dyDescent="0.2">
      <c r="A583" s="124">
        <v>1218</v>
      </c>
      <c r="B583" s="124" t="s">
        <v>582</v>
      </c>
    </row>
    <row r="584" spans="1:3" x14ac:dyDescent="0.2">
      <c r="A584" s="124">
        <v>1223</v>
      </c>
      <c r="B584" s="124" t="s">
        <v>583</v>
      </c>
    </row>
    <row r="585" spans="1:3" x14ac:dyDescent="0.2">
      <c r="A585" s="124">
        <v>1231</v>
      </c>
      <c r="B585" s="124" t="s">
        <v>584</v>
      </c>
    </row>
    <row r="586" spans="1:3" x14ac:dyDescent="0.2">
      <c r="A586" s="124">
        <v>1235</v>
      </c>
      <c r="B586" s="124" t="s">
        <v>585</v>
      </c>
    </row>
    <row r="587" spans="1:3" x14ac:dyDescent="0.2">
      <c r="A587" s="124">
        <v>1201</v>
      </c>
      <c r="B587" s="124" t="s">
        <v>586</v>
      </c>
    </row>
    <row r="590" spans="1:3" x14ac:dyDescent="0.2">
      <c r="A590" s="124">
        <v>5103</v>
      </c>
      <c r="B590" s="124" t="s">
        <v>543</v>
      </c>
      <c r="C590" s="124" t="s">
        <v>587</v>
      </c>
    </row>
    <row r="591" spans="1:3" x14ac:dyDescent="0.2">
      <c r="A591" s="124">
        <v>5104</v>
      </c>
      <c r="B591" s="124" t="s">
        <v>544</v>
      </c>
      <c r="C591" s="124" t="s">
        <v>581</v>
      </c>
    </row>
    <row r="592" spans="1:3" x14ac:dyDescent="0.2">
      <c r="A592" s="124">
        <v>5105</v>
      </c>
      <c r="B592" s="124" t="s">
        <v>588</v>
      </c>
      <c r="C592" s="124" t="s">
        <v>581</v>
      </c>
    </row>
    <row r="593" spans="1:3" x14ac:dyDescent="0.2">
      <c r="A593" s="124">
        <v>5106</v>
      </c>
      <c r="B593" s="124" t="s">
        <v>589</v>
      </c>
      <c r="C593" s="124" t="s">
        <v>587</v>
      </c>
    </row>
    <row r="594" spans="1:3" x14ac:dyDescent="0.2">
      <c r="A594" s="124">
        <v>7101</v>
      </c>
      <c r="B594" s="124" t="s">
        <v>590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576CB-6167-47EC-9D5A-A0D4BD8B4AD3}">
  <sheetPr>
    <tabColor theme="2" tint="-0.749992370372631"/>
  </sheetPr>
  <dimension ref="A1:AG50"/>
  <sheetViews>
    <sheetView showGridLines="0" topLeftCell="A4" zoomScaleNormal="100" workbookViewId="0">
      <selection activeCell="V11" sqref="V11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11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FEBRERO de 2025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FEBRERO de 2025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2025</v>
      </c>
      <c r="E7" s="13" t="str">
        <f>+'COLOMB$ '!F7:F7</f>
        <v>Real 2025</v>
      </c>
      <c r="G7" s="10" t="s">
        <v>24</v>
      </c>
      <c r="H7" s="13" t="str">
        <f>+'COLOMB$ '!I7:I7</f>
        <v>Real 2024</v>
      </c>
      <c r="J7" s="10" t="s">
        <v>25</v>
      </c>
      <c r="K7" s="13" t="str">
        <f>+C7</f>
        <v>Ppto 2025</v>
      </c>
      <c r="M7" s="23" t="str">
        <f>+E7</f>
        <v>Real 2025</v>
      </c>
      <c r="N7" s="23"/>
      <c r="O7" s="10" t="s">
        <v>24</v>
      </c>
      <c r="P7" s="13" t="str">
        <f>+H7</f>
        <v>Real 2024</v>
      </c>
      <c r="R7" s="10" t="s">
        <v>25</v>
      </c>
      <c r="S7" s="24"/>
      <c r="T7" s="15"/>
      <c r="U7" s="15" t="str">
        <f>+C7</f>
        <v>Ppto 2025</v>
      </c>
      <c r="V7" s="15" t="str">
        <f>+M7</f>
        <v>Real 2025</v>
      </c>
      <c r="W7" s="15" t="str">
        <f>+H7</f>
        <v>Real 2024</v>
      </c>
      <c r="X7" s="15" t="str">
        <f>+U7</f>
        <v>Ppto 2025</v>
      </c>
      <c r="Y7" s="15" t="str">
        <f>+V7</f>
        <v>Real 2025</v>
      </c>
      <c r="Z7" s="15" t="s">
        <v>26</v>
      </c>
      <c r="AA7" s="15" t="s">
        <v>24</v>
      </c>
      <c r="AB7" s="15" t="str">
        <f>+W7</f>
        <v>Real 2024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379074</v>
      </c>
      <c r="D10" s="33">
        <f t="shared" ref="D10:D20" si="0">+C10/$C$20</f>
        <v>0.35185061427250752</v>
      </c>
      <c r="E10" s="32">
        <v>433424.95500000002</v>
      </c>
      <c r="F10" s="33">
        <f t="shared" ref="F10:F20" si="1">+E10/$E$20</f>
        <v>0.4348369558236026</v>
      </c>
      <c r="G10" s="33">
        <f t="shared" ref="G10:G20" si="2">IF(C10=0,"",(E10-C10)/ABS(C10)+1)</f>
        <v>1.1433782190284747</v>
      </c>
      <c r="H10" s="32">
        <v>377920.68</v>
      </c>
      <c r="I10" s="33">
        <f t="shared" ref="I10:I19" si="3">+H10/$H$20</f>
        <v>0.37444812633601815</v>
      </c>
      <c r="J10" s="34">
        <f t="shared" ref="J10:J20" si="4">IF(H10=0,"",(E10-H10)/ABS(H10))</f>
        <v>0.14686752521719643</v>
      </c>
      <c r="K10" s="32">
        <v>818098</v>
      </c>
      <c r="L10" s="33">
        <f t="shared" ref="L10:L20" si="5">+K10/$K$20</f>
        <v>0.38135020023148636</v>
      </c>
      <c r="M10" s="32">
        <v>883780.51</v>
      </c>
      <c r="N10" s="33">
        <f t="shared" ref="N10:N20" si="6">+M10/$M$20</f>
        <v>0.44881077966188221</v>
      </c>
      <c r="O10" s="33">
        <f t="shared" ref="O10:O20" si="7">IF(K10=0,"",(M10-K10)/ABS(K10)+1)</f>
        <v>1.0802868482749011</v>
      </c>
      <c r="P10" s="32">
        <v>809032.33700000006</v>
      </c>
      <c r="Q10" s="33">
        <f t="shared" ref="Q10:Q20" si="8">+P10/$P$20</f>
        <v>0.40096351010801762</v>
      </c>
      <c r="R10" s="34">
        <f t="shared" ref="R10:R20" si="9">IF(P10=0,"",(M10-P10)/ABS(P10))</f>
        <v>9.2392070849944219E-2</v>
      </c>
      <c r="S10" s="24"/>
      <c r="T10" s="19" t="s">
        <v>31</v>
      </c>
      <c r="U10" s="35">
        <f>+'COLOMB$ '!U10</f>
        <v>-98088</v>
      </c>
      <c r="V10" s="35">
        <f>+'COLOMB$ '!V10</f>
        <v>-98088.42466000015</v>
      </c>
      <c r="W10" s="35">
        <f>+'COLOMB$ '!W10</f>
        <v>40462.204910000211</v>
      </c>
      <c r="X10" s="35">
        <f>+'COLOMB$ '!X10</f>
        <v>0</v>
      </c>
      <c r="Y10" s="35">
        <f>+'COLOMB$ '!Y10</f>
        <v>125133</v>
      </c>
      <c r="Z10" s="36">
        <f>+Y10-X10</f>
        <v>125133</v>
      </c>
      <c r="AA10" s="37" t="str">
        <f>IF(X10=0,"",(Y10-X10)/ABS(X10)+1)</f>
        <v/>
      </c>
      <c r="AB10" s="35">
        <f>+'COLOMB$ '!AB10</f>
        <v>45751</v>
      </c>
      <c r="AC10" s="34">
        <f>IF(W10=0,"",(Y10-AB10)/ABS(AB10))</f>
        <v>1.7350877576446417</v>
      </c>
    </row>
    <row r="11" spans="1:33" x14ac:dyDescent="0.2">
      <c r="A11" s="38"/>
      <c r="B11" s="19" t="str">
        <f>+'COLOMB$ '!B11</f>
        <v>Instalaciones</v>
      </c>
      <c r="C11" s="32">
        <v>83499</v>
      </c>
      <c r="D11" s="33">
        <f t="shared" si="0"/>
        <v>7.7502478252636967E-2</v>
      </c>
      <c r="E11" s="32">
        <v>30893.745999999999</v>
      </c>
      <c r="F11" s="33">
        <f t="shared" si="1"/>
        <v>3.0994390862029618E-2</v>
      </c>
      <c r="G11" s="33">
        <f t="shared" si="2"/>
        <v>0.36998941304686284</v>
      </c>
      <c r="H11" s="32">
        <v>9109.2340000000004</v>
      </c>
      <c r="I11" s="33">
        <f t="shared" si="3"/>
        <v>9.0255330924371557E-3</v>
      </c>
      <c r="J11" s="34">
        <f t="shared" si="4"/>
        <v>2.3914757267186242</v>
      </c>
      <c r="K11" s="32">
        <v>136634</v>
      </c>
      <c r="L11" s="33">
        <f t="shared" si="5"/>
        <v>6.3690906539838638E-2</v>
      </c>
      <c r="M11" s="32">
        <v>50100.694000000003</v>
      </c>
      <c r="N11" s="33">
        <f t="shared" si="6"/>
        <v>2.5442665097628579E-2</v>
      </c>
      <c r="O11" s="33">
        <f t="shared" si="7"/>
        <v>0.36667808890905629</v>
      </c>
      <c r="P11" s="32">
        <v>50391.58</v>
      </c>
      <c r="Q11" s="33">
        <f t="shared" si="8"/>
        <v>2.4974508276903371E-2</v>
      </c>
      <c r="R11" s="34">
        <f t="shared" si="9"/>
        <v>-5.7725119950594638E-3</v>
      </c>
      <c r="S11" s="24"/>
      <c r="T11" s="19" t="s">
        <v>32</v>
      </c>
      <c r="U11" s="35">
        <f>+'COLOMB$ '!U11</f>
        <v>0</v>
      </c>
      <c r="V11" s="35">
        <f>+'COLOMB$ '!V11</f>
        <v>988897.02539999993</v>
      </c>
      <c r="W11" s="35">
        <f>+'COLOMB$ '!W11</f>
        <v>979326.16278000001</v>
      </c>
      <c r="X11" s="35">
        <f>+'COLOMB$ '!X11</f>
        <v>0</v>
      </c>
      <c r="Y11" s="35">
        <f>+'COLOMB$ '!Y11</f>
        <v>2139830.0336799999</v>
      </c>
      <c r="Z11" s="36">
        <f>+Y11-X11</f>
        <v>2139830.0336799999</v>
      </c>
      <c r="AA11" s="37" t="str">
        <f>IF(X11=0,"",(Y11-X11)/ABS(X11)+1)</f>
        <v/>
      </c>
      <c r="AB11" s="35">
        <f>+'COLOMB$ '!AB11</f>
        <v>2166212.2144299997</v>
      </c>
      <c r="AC11" s="34">
        <f>IF(AB11=0,"",(Y11-AB11)/ABS(AB11))</f>
        <v>-1.2178945614957594E-2</v>
      </c>
    </row>
    <row r="12" spans="1:33" x14ac:dyDescent="0.2">
      <c r="A12" s="38"/>
      <c r="B12" s="19" t="str">
        <f>+'COLOMB$ '!B12</f>
        <v>Voice Experience (Publihold)</v>
      </c>
      <c r="C12" s="32">
        <v>59704</v>
      </c>
      <c r="D12" s="33">
        <f t="shared" si="0"/>
        <v>5.5416327879321166E-2</v>
      </c>
      <c r="E12" s="32">
        <v>76543.201000000001</v>
      </c>
      <c r="F12" s="33">
        <f t="shared" si="1"/>
        <v>7.679256149852777E-2</v>
      </c>
      <c r="G12" s="33">
        <f t="shared" si="2"/>
        <v>1.2820447708696234</v>
      </c>
      <c r="H12" s="32">
        <v>68076.369000000006</v>
      </c>
      <c r="I12" s="33">
        <f t="shared" si="3"/>
        <v>6.7450843970246338E-2</v>
      </c>
      <c r="J12" s="34">
        <f t="shared" si="4"/>
        <v>0.12437255576894816</v>
      </c>
      <c r="K12" s="32">
        <v>142046</v>
      </c>
      <c r="L12" s="33">
        <f t="shared" si="5"/>
        <v>6.6213669440680342E-2</v>
      </c>
      <c r="M12" s="32">
        <v>141246.16699999999</v>
      </c>
      <c r="N12" s="33">
        <f t="shared" si="6"/>
        <v>7.1729124616611448E-2</v>
      </c>
      <c r="O12" s="33">
        <f t="shared" si="7"/>
        <v>0.99436919730228224</v>
      </c>
      <c r="P12" s="32">
        <v>148789.37700000001</v>
      </c>
      <c r="Q12" s="33">
        <f t="shared" si="8"/>
        <v>7.3741318041660855E-2</v>
      </c>
      <c r="R12" s="34">
        <f t="shared" si="9"/>
        <v>-5.0697234924238041E-2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143274</v>
      </c>
      <c r="D13" s="33">
        <f t="shared" si="0"/>
        <v>0.13298470723204242</v>
      </c>
      <c r="E13" s="32">
        <v>72934.085999999996</v>
      </c>
      <c r="F13" s="33">
        <f t="shared" si="1"/>
        <v>7.3171688815234073E-2</v>
      </c>
      <c r="G13" s="33">
        <f t="shared" si="2"/>
        <v>0.50905318480673389</v>
      </c>
      <c r="H13" s="32">
        <v>205217.86</v>
      </c>
      <c r="I13" s="33">
        <f t="shared" si="3"/>
        <v>0.20333219967662866</v>
      </c>
      <c r="J13" s="34">
        <f t="shared" si="4"/>
        <v>-0.64460166381230166</v>
      </c>
      <c r="K13" s="32">
        <v>234637</v>
      </c>
      <c r="L13" s="33">
        <f t="shared" si="5"/>
        <v>0.10937426436895734</v>
      </c>
      <c r="M13" s="32">
        <v>163359.36900000001</v>
      </c>
      <c r="N13" s="33">
        <f t="shared" si="6"/>
        <v>8.2958885081051537E-2</v>
      </c>
      <c r="O13" s="33">
        <f t="shared" si="7"/>
        <v>0.69622169137859768</v>
      </c>
      <c r="P13" s="32">
        <v>304867.13</v>
      </c>
      <c r="Q13" s="33">
        <f t="shared" si="8"/>
        <v>0.15109481904597505</v>
      </c>
      <c r="R13" s="34">
        <f t="shared" si="9"/>
        <v>-0.46416207939504661</v>
      </c>
      <c r="S13" s="24"/>
      <c r="T13" s="19" t="s">
        <v>33</v>
      </c>
      <c r="U13" s="35">
        <f>+'COLOMB$ '!U13</f>
        <v>0</v>
      </c>
      <c r="V13" s="35">
        <f>+'COLOMB$ '!V13</f>
        <v>212296.61199999999</v>
      </c>
      <c r="W13" s="35">
        <f>+'COLOMB$ '!W13</f>
        <v>196876.584</v>
      </c>
      <c r="X13" s="35">
        <f>+'COLOMB$ '!X13</f>
        <v>0</v>
      </c>
      <c r="Y13" s="35">
        <f>+'COLOMB$ '!Y13</f>
        <v>378100.40399999998</v>
      </c>
      <c r="Z13" s="36">
        <f>+X13-Y13</f>
        <v>-378100.40399999998</v>
      </c>
      <c r="AA13" s="37" t="str">
        <f>IF(X13=0,"",(Y13-X13)/ABS(X13)+1)</f>
        <v/>
      </c>
      <c r="AB13" s="35">
        <f>+'COLOMB$ '!AB13</f>
        <v>328141.25900000002</v>
      </c>
      <c r="AC13" s="34">
        <f>IF(AB13=0,"",(Y13-AB13)/ABS(AB13))</f>
        <v>0.15224889778337797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0</v>
      </c>
      <c r="V14" s="35">
        <f>+'COLOMB$ '!V14</f>
        <v>11392.574000000001</v>
      </c>
      <c r="W14" s="35">
        <f>+'COLOMB$ '!W14</f>
        <v>13734.432000000001</v>
      </c>
      <c r="X14" s="35">
        <f>+'COLOMB$ '!X14</f>
        <v>0</v>
      </c>
      <c r="Y14" s="35">
        <f>+'COLOMB$ '!Y14</f>
        <v>30520.026999999998</v>
      </c>
      <c r="Z14" s="36">
        <f>+X14-Y14</f>
        <v>-30520.026999999998</v>
      </c>
      <c r="AA14" s="37" t="str">
        <f>IF(X14=0,"",(Y14-X14)/ABS(X14)+1)</f>
        <v/>
      </c>
      <c r="AB14" s="35">
        <f>+'COLOMB$ '!AB14</f>
        <v>25445.174999999999</v>
      </c>
      <c r="AC14" s="34">
        <f>IF(AB14=0,"",(Y14-AB14)/ABS(AB14))</f>
        <v>0.19944260552344401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128194</v>
      </c>
      <c r="D15" s="33">
        <f t="shared" si="0"/>
        <v>0.11898768484794481</v>
      </c>
      <c r="E15" s="32">
        <v>117248.819</v>
      </c>
      <c r="F15" s="33">
        <f t="shared" si="1"/>
        <v>0.11763078922825884</v>
      </c>
      <c r="G15" s="33">
        <f t="shared" si="2"/>
        <v>0.91462017723138367</v>
      </c>
      <c r="H15" s="32">
        <v>136321.174</v>
      </c>
      <c r="I15" s="33">
        <f t="shared" si="3"/>
        <v>0.13506857625316063</v>
      </c>
      <c r="J15" s="34">
        <f t="shared" si="4"/>
        <v>-0.13990750255715959</v>
      </c>
      <c r="K15" s="32">
        <v>261211</v>
      </c>
      <c r="L15" s="33">
        <f t="shared" si="5"/>
        <v>0.12176153364592845</v>
      </c>
      <c r="M15" s="32">
        <v>256589.85399999999</v>
      </c>
      <c r="N15" s="33">
        <f t="shared" si="6"/>
        <v>0.13030417747848788</v>
      </c>
      <c r="O15" s="33">
        <f t="shared" si="7"/>
        <v>0.98230876188215654</v>
      </c>
      <c r="P15" s="32">
        <v>285702.087</v>
      </c>
      <c r="Q15" s="33">
        <f t="shared" si="8"/>
        <v>0.1415964559259715</v>
      </c>
      <c r="R15" s="34">
        <f t="shared" si="9"/>
        <v>-0.10189716605045314</v>
      </c>
      <c r="S15" s="24"/>
      <c r="T15" s="19" t="s">
        <v>35</v>
      </c>
      <c r="U15" s="35">
        <f>+'COLOMB$ '!U15</f>
        <v>0</v>
      </c>
      <c r="V15" s="35">
        <f>+'COLOMB$ '!V15</f>
        <v>566033.09699999995</v>
      </c>
      <c r="W15" s="35">
        <f>+'COLOMB$ '!W15</f>
        <v>558362.81799999997</v>
      </c>
      <c r="X15" s="35">
        <f>+'COLOMB$ '!X15</f>
        <v>0</v>
      </c>
      <c r="Y15" s="35">
        <f>+'COLOMB$ '!Y15</f>
        <v>1085269.3899999999</v>
      </c>
      <c r="Z15" s="36">
        <f>+X15-Y15</f>
        <v>-1085269.3899999999</v>
      </c>
      <c r="AA15" s="37" t="str">
        <f>IF(X15=0,"",(Y15-X15)/ABS(X15)+1)</f>
        <v/>
      </c>
      <c r="AB15" s="35">
        <f>+'COLOMB$ '!AB15</f>
        <v>985504.11199999996</v>
      </c>
      <c r="AC15" s="34">
        <f>IF(AB15=0,"",(Y15-AB15)/ABS(AB15))</f>
        <v>0.10123273640891713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0</v>
      </c>
      <c r="V16" s="35">
        <f>+'COLOMB$ '!V16</f>
        <v>215101.72186000002</v>
      </c>
      <c r="W16" s="35">
        <f>+'COLOMB$ '!W16</f>
        <v>266894.27461000002</v>
      </c>
      <c r="X16" s="35">
        <f>+'COLOMB$ '!X16</f>
        <v>0</v>
      </c>
      <c r="Y16" s="35">
        <f>+'COLOMB$ '!Y16</f>
        <v>490695.15836</v>
      </c>
      <c r="Z16" s="36">
        <f>+X16-Y16</f>
        <v>-490695.15836</v>
      </c>
      <c r="AA16" s="37" t="str">
        <f>IF(X16=0,"",(Y16-X16)/ABS(X16)+1)</f>
        <v/>
      </c>
      <c r="AB16" s="35">
        <f>+'COLOMB$ '!AB16</f>
        <v>525632.56568999996</v>
      </c>
      <c r="AC16" s="34">
        <f>IF(AB16=0,"",(Y16-AB16)/ABS(AB16))</f>
        <v>-6.6467356877208478E-2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17053</v>
      </c>
      <c r="D17" s="33">
        <f t="shared" si="0"/>
        <v>1.5828330418833976E-2</v>
      </c>
      <c r="E17" s="32">
        <v>25845.366000000002</v>
      </c>
      <c r="F17" s="33">
        <f t="shared" si="1"/>
        <v>2.5929564377729107E-2</v>
      </c>
      <c r="G17" s="33">
        <f t="shared" si="2"/>
        <v>1.5155905705740926</v>
      </c>
      <c r="H17" s="32">
        <v>10843.616</v>
      </c>
      <c r="I17" s="33">
        <f t="shared" si="3"/>
        <v>1.0743978588065802E-2</v>
      </c>
      <c r="J17" s="34">
        <f t="shared" si="4"/>
        <v>1.3834637818233328</v>
      </c>
      <c r="K17" s="32">
        <v>33348</v>
      </c>
      <c r="L17" s="33">
        <f t="shared" si="5"/>
        <v>1.554491818500914E-2</v>
      </c>
      <c r="M17" s="32">
        <v>38694.315999999999</v>
      </c>
      <c r="N17" s="33">
        <f t="shared" si="6"/>
        <v>1.9650157404402641E-2</v>
      </c>
      <c r="O17" s="33">
        <f t="shared" si="7"/>
        <v>1.1603189396665468</v>
      </c>
      <c r="P17" s="32">
        <v>21744.458999999999</v>
      </c>
      <c r="Q17" s="33">
        <f t="shared" si="8"/>
        <v>1.0776744274981771E-2</v>
      </c>
      <c r="R17" s="34">
        <f t="shared" si="9"/>
        <v>0.77950235505974197</v>
      </c>
      <c r="S17" s="24"/>
      <c r="T17" s="19" t="s">
        <v>37</v>
      </c>
      <c r="U17" s="35">
        <f>U13+U14+U15+U16</f>
        <v>0</v>
      </c>
      <c r="V17" s="35">
        <f>V13+V14+V15+V16</f>
        <v>1004824.00486</v>
      </c>
      <c r="W17" s="35">
        <f>W13+W14+W15+W16</f>
        <v>1035868.10861</v>
      </c>
      <c r="X17" s="35">
        <f>X13+X14+X15+X16</f>
        <v>0</v>
      </c>
      <c r="Y17" s="35">
        <f>Y13+Y14+Y15+Y16</f>
        <v>1984584.97936</v>
      </c>
      <c r="Z17" s="36">
        <f>+Y17-X17</f>
        <v>1984584.97936</v>
      </c>
      <c r="AA17" s="37" t="str">
        <f>IF(X17=0,"",(Y17-X17)/ABS(X17)+1)</f>
        <v/>
      </c>
      <c r="AB17" s="35">
        <f>+'COLOMB$ '!AB17</f>
        <v>1864723.1116900002</v>
      </c>
      <c r="AC17" s="34">
        <f>IF(AB17=0,"",(Y17-AB17)/ABS(AB17))</f>
        <v>6.4278641112228682E-2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211852</v>
      </c>
      <c r="D18" s="33">
        <f t="shared" si="0"/>
        <v>0.19663774443739024</v>
      </c>
      <c r="E18" s="32">
        <v>186457.24</v>
      </c>
      <c r="F18" s="33">
        <f t="shared" si="1"/>
        <v>0.18706467566656576</v>
      </c>
      <c r="G18" s="33">
        <f t="shared" si="2"/>
        <v>0.88012971319600475</v>
      </c>
      <c r="H18" s="32">
        <v>145918.41699999999</v>
      </c>
      <c r="I18" s="33">
        <f t="shared" si="3"/>
        <v>0.14457763423681333</v>
      </c>
      <c r="J18" s="41">
        <f t="shared" si="4"/>
        <v>0.27781841273675556</v>
      </c>
      <c r="K18" s="32">
        <v>408056</v>
      </c>
      <c r="L18" s="33">
        <f t="shared" si="5"/>
        <v>0.19021222066996787</v>
      </c>
      <c r="M18" s="32">
        <v>325468.43400000001</v>
      </c>
      <c r="N18" s="33">
        <f t="shared" si="6"/>
        <v>0.16528282754150334</v>
      </c>
      <c r="O18" s="33">
        <f t="shared" si="7"/>
        <v>0.79760727449173641</v>
      </c>
      <c r="P18" s="32">
        <v>281383.28399999999</v>
      </c>
      <c r="Q18" s="33">
        <f t="shared" si="8"/>
        <v>0.13945601934371279</v>
      </c>
      <c r="R18" s="34">
        <f t="shared" si="9"/>
        <v>0.1566729528965197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54722</v>
      </c>
      <c r="D19" s="33">
        <f t="shared" si="0"/>
        <v>5.0792112659322868E-2</v>
      </c>
      <c r="E19" s="32">
        <v>53405.391000000003</v>
      </c>
      <c r="F19" s="33">
        <f t="shared" si="1"/>
        <v>5.3579373728052236E-2</v>
      </c>
      <c r="G19" s="33">
        <f t="shared" si="2"/>
        <v>0.97594004239611132</v>
      </c>
      <c r="H19" s="32">
        <v>55866.440999999999</v>
      </c>
      <c r="I19" s="33">
        <f t="shared" si="3"/>
        <v>5.5353107846629897E-2</v>
      </c>
      <c r="J19" s="34">
        <f t="shared" si="4"/>
        <v>-4.4052385581533564E-2</v>
      </c>
      <c r="K19" s="32">
        <v>111237</v>
      </c>
      <c r="L19" s="33">
        <f t="shared" si="5"/>
        <v>5.1852286918131867E-2</v>
      </c>
      <c r="M19" s="32">
        <v>109921.269</v>
      </c>
      <c r="N19" s="33">
        <f t="shared" si="6"/>
        <v>5.5821383118432294E-2</v>
      </c>
      <c r="O19" s="33">
        <f t="shared" si="7"/>
        <v>0.98817182232530543</v>
      </c>
      <c r="P19" s="32">
        <v>115810.353</v>
      </c>
      <c r="Q19" s="33">
        <f t="shared" si="8"/>
        <v>5.7396624982776909E-2</v>
      </c>
      <c r="R19" s="34">
        <f t="shared" si="9"/>
        <v>-5.0851101369149637E-2</v>
      </c>
      <c r="S19" s="24"/>
      <c r="T19" s="19" t="s">
        <v>38</v>
      </c>
      <c r="U19" s="35">
        <f>U11-U17</f>
        <v>0</v>
      </c>
      <c r="V19" s="35">
        <f>V11-V17</f>
        <v>-15926.97946000006</v>
      </c>
      <c r="W19" s="35">
        <f>W11-W17</f>
        <v>-56541.945829999982</v>
      </c>
      <c r="X19" s="35">
        <f>X11-X17</f>
        <v>0</v>
      </c>
      <c r="Y19" s="35">
        <f>Y11-Y17</f>
        <v>155245.05431999988</v>
      </c>
      <c r="Z19" s="36">
        <f>+Y19-X19</f>
        <v>155245.05431999988</v>
      </c>
      <c r="AA19" s="37" t="str">
        <f>IF(X19=0,"",(Y19-X19)/ABS(X19)+1)</f>
        <v/>
      </c>
      <c r="AB19" s="35">
        <f>AB11-AB17</f>
        <v>301489.10273999954</v>
      </c>
      <c r="AC19" s="34">
        <f>IF(AB19=0,"",(Y19-AB19)/ABS(AB19))</f>
        <v>-0.48507241917170951</v>
      </c>
      <c r="AE19" s="40"/>
    </row>
    <row r="20" spans="1:32" x14ac:dyDescent="0.2">
      <c r="B20" s="42" t="s">
        <v>39</v>
      </c>
      <c r="C20" s="43">
        <f>SUM(C10:C19)</f>
        <v>1077372</v>
      </c>
      <c r="D20" s="44">
        <f t="shared" si="0"/>
        <v>1</v>
      </c>
      <c r="E20" s="43">
        <f>SUM(E10:E19)</f>
        <v>996752.804</v>
      </c>
      <c r="F20" s="44">
        <f t="shared" si="1"/>
        <v>1</v>
      </c>
      <c r="G20" s="44">
        <f t="shared" si="2"/>
        <v>0.92517051120689975</v>
      </c>
      <c r="H20" s="43">
        <f>SUM(H10:H19)</f>
        <v>1009273.791</v>
      </c>
      <c r="I20" s="44">
        <f>+H22/$H$22</f>
        <v>1</v>
      </c>
      <c r="J20" s="45">
        <f t="shared" si="4"/>
        <v>-1.2405936933717488E-2</v>
      </c>
      <c r="K20" s="43">
        <f>SUM(K10:K19)</f>
        <v>2145267</v>
      </c>
      <c r="L20" s="44">
        <f t="shared" si="5"/>
        <v>1</v>
      </c>
      <c r="M20" s="43">
        <f>SUM(M10:M19)</f>
        <v>1969160.6130000001</v>
      </c>
      <c r="N20" s="44">
        <f t="shared" si="6"/>
        <v>1</v>
      </c>
      <c r="O20" s="44">
        <f t="shared" si="7"/>
        <v>0.91790933855785783</v>
      </c>
      <c r="P20" s="43">
        <f>SUM(P10:P19)</f>
        <v>2017720.6070000003</v>
      </c>
      <c r="Q20" s="44">
        <f t="shared" si="8"/>
        <v>1</v>
      </c>
      <c r="R20" s="45">
        <f t="shared" si="9"/>
        <v>-2.4066758217928124E-2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-98088</v>
      </c>
      <c r="V21" s="35">
        <f>+V10+V19</f>
        <v>-114015.40412000021</v>
      </c>
      <c r="W21" s="35">
        <f>+'COLOMB$ '!W21</f>
        <v>-16079.740919999771</v>
      </c>
      <c r="X21" s="35">
        <f>+X10+X19</f>
        <v>0</v>
      </c>
      <c r="Y21" s="35">
        <f>+Y10+Y19</f>
        <v>280378.05431999988</v>
      </c>
      <c r="Z21" s="36">
        <f>+Y21-X21</f>
        <v>280378.05431999988</v>
      </c>
      <c r="AA21" s="37" t="str">
        <f>IF(X21=0,"",(Y21-X21)/ABS(X21)+1)</f>
        <v/>
      </c>
      <c r="AB21" s="35">
        <f>+'COLOMB$ '!AB21</f>
        <v>347240.10273999954</v>
      </c>
      <c r="AC21" s="34">
        <f>IF(AB21=0,"",(Y21-AB21)/ABS(AB21))</f>
        <v>-0.19255278377239587</v>
      </c>
    </row>
    <row r="22" spans="1:32" x14ac:dyDescent="0.2">
      <c r="B22" s="19" t="s">
        <v>41</v>
      </c>
      <c r="C22" s="32">
        <v>157310</v>
      </c>
      <c r="D22" s="33">
        <f>+C22/$C$20</f>
        <v>0.14601270498954863</v>
      </c>
      <c r="E22" s="32">
        <v>108952.01476000001</v>
      </c>
      <c r="F22" s="33">
        <f>+E22/$E$20</f>
        <v>0.10930695586987284</v>
      </c>
      <c r="G22" s="33">
        <f>IF(C22=0,"",(E22-C22)/ABS(C22)+1)</f>
        <v>0.6925943344987604</v>
      </c>
      <c r="H22" s="32">
        <v>160134.28036999999</v>
      </c>
      <c r="I22" s="33">
        <f>+H22/$H$20</f>
        <v>0.15866287403672411</v>
      </c>
      <c r="J22" s="34">
        <f>IF(H22=0,"",(E22-H22)/ABS(H22))</f>
        <v>-0.31962091746839122</v>
      </c>
      <c r="K22" s="32">
        <v>268537</v>
      </c>
      <c r="L22" s="33">
        <f>+K22/$K$20</f>
        <v>0.12517649318243371</v>
      </c>
      <c r="M22" s="32">
        <v>187725.6446</v>
      </c>
      <c r="N22" s="33">
        <f>+M22/$M$20</f>
        <v>9.5332825245778963E-2</v>
      </c>
      <c r="O22" s="33">
        <f>IF(K22=0,"",(M22-K22)/ABS(K22)+1)</f>
        <v>0.69906807851432018</v>
      </c>
      <c r="P22" s="32">
        <v>267357.84068999998</v>
      </c>
      <c r="Q22" s="33">
        <f>+P22/$P$20</f>
        <v>0.13250488683243147</v>
      </c>
      <c r="R22" s="34">
        <f>IF(P22=0,"",(M22-P22)/ABS(P22))</f>
        <v>-0.29784874041653076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0</v>
      </c>
      <c r="V23" s="35">
        <f>+'COLOMB$ '!V23</f>
        <v>5724.9309999999996</v>
      </c>
      <c r="W23" s="35">
        <f>+'COLOMB$ '!W23</f>
        <v>62554.208399999996</v>
      </c>
      <c r="X23" s="35">
        <f>+'COLOMB$ '!X23</f>
        <v>0</v>
      </c>
      <c r="Y23" s="35">
        <f>+'COLOMB$ '!Y23</f>
        <v>5724.9309999999996</v>
      </c>
      <c r="Z23" s="36">
        <f>+Y23-X23</f>
        <v>5724.9309999999996</v>
      </c>
      <c r="AA23" s="37" t="str">
        <f>IF(X23=0,"",(Y23-X23)/ABS(X23)+1)</f>
        <v/>
      </c>
      <c r="AB23" s="35">
        <f>+'COLOMB$ '!AB23</f>
        <v>97292.011150000006</v>
      </c>
      <c r="AC23" s="34">
        <f>IF(AB23=0,"",(Y23-AB23)/ABS(AB23))</f>
        <v>-0.94115723447042754</v>
      </c>
    </row>
    <row r="24" spans="1:32" x14ac:dyDescent="0.2">
      <c r="B24" s="46" t="s">
        <v>43</v>
      </c>
      <c r="C24" s="35">
        <f>+C20-C22</f>
        <v>920062</v>
      </c>
      <c r="D24" s="33">
        <f>+C24/$C$20</f>
        <v>0.85398729501045134</v>
      </c>
      <c r="E24" s="35">
        <f>+E20-E22</f>
        <v>887800.78923999995</v>
      </c>
      <c r="F24" s="33">
        <f>+E24/$E$20</f>
        <v>0.89069304413012718</v>
      </c>
      <c r="G24" s="33">
        <f>IF(C24=0,"",(E24-C24)/ABS(C24)+1)</f>
        <v>0.96493582958539748</v>
      </c>
      <c r="H24" s="35">
        <f>+H20-H22</f>
        <v>849139.51062999992</v>
      </c>
      <c r="I24" s="33">
        <f>+H24/$H$20</f>
        <v>0.84133712596327581</v>
      </c>
      <c r="J24" s="34">
        <f>IF(H24=0,"",(E24-H24)/ABS(H24))</f>
        <v>4.5529948996621501E-2</v>
      </c>
      <c r="K24" s="35">
        <f>+K20-K22</f>
        <v>1876730</v>
      </c>
      <c r="L24" s="33">
        <f>+K24/$K$20</f>
        <v>0.87482350681756627</v>
      </c>
      <c r="M24" s="35">
        <f>+M20-M22</f>
        <v>1781434.9684000001</v>
      </c>
      <c r="N24" s="33">
        <f>+M24/$M$20</f>
        <v>0.90466717475422098</v>
      </c>
      <c r="O24" s="33">
        <f>IF(K24=0,"",(M24-K24)/ABS(K24)+1)</f>
        <v>0.94922283354558201</v>
      </c>
      <c r="P24" s="35">
        <f>+P20-P22</f>
        <v>1750362.7663100003</v>
      </c>
      <c r="Q24" s="33">
        <f>+P24/$P$20</f>
        <v>0.86749511316756855</v>
      </c>
      <c r="R24" s="34">
        <f>IF(P24=0,"",(M24-P24)/ABS(P24))</f>
        <v>1.7751864178135013E-2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0</v>
      </c>
      <c r="V25" s="35">
        <f>+'COLOMB$ '!V25</f>
        <v>56865.603320000002</v>
      </c>
      <c r="W25" s="35">
        <f>+'COLOMB$ '!W25</f>
        <v>57259.08988</v>
      </c>
      <c r="X25" s="35">
        <f>+'COLOMB$ '!X25</f>
        <v>0</v>
      </c>
      <c r="Y25" s="35">
        <f>+'COLOMB$ '!Y25</f>
        <v>361759.14467000001</v>
      </c>
      <c r="Z25" s="36">
        <f>+Y25-X25</f>
        <v>361759.14467000001</v>
      </c>
      <c r="AA25" s="37" t="str">
        <f>IF(X25=0,"",(Y25-X25)/ABS(X25)+1)</f>
        <v/>
      </c>
      <c r="AB25" s="35">
        <f>+'COLOMB$ '!AB25</f>
        <v>375796.86304000003</v>
      </c>
      <c r="AC25" s="34">
        <f>IF(AB25=0,"",(Y25-AB25)/ABS(AB25))</f>
        <v>-3.7354538450486835E-2</v>
      </c>
    </row>
    <row r="26" spans="1:32" x14ac:dyDescent="0.2">
      <c r="B26" s="19" t="s">
        <v>45</v>
      </c>
      <c r="C26" s="32">
        <v>238178</v>
      </c>
      <c r="D26" s="33">
        <f>+C26/$C$20</f>
        <v>0.22107312980103436</v>
      </c>
      <c r="E26" s="32">
        <v>196100.70852000001</v>
      </c>
      <c r="F26" s="33">
        <f>+E26/$E$20</f>
        <v>0.19673956043368201</v>
      </c>
      <c r="G26" s="33">
        <f>IF(C26=0,"",(E26-C26)/ABS(C26)+1)</f>
        <v>0.82333678391791021</v>
      </c>
      <c r="H26" s="32">
        <v>243152.29340999998</v>
      </c>
      <c r="I26" s="33">
        <f>+H26/$H$20</f>
        <v>0.24091806958454942</v>
      </c>
      <c r="J26" s="34">
        <f>IF(H26=0,"",(E26-H26)/ABS(H26))</f>
        <v>-0.19350664651417557</v>
      </c>
      <c r="K26" s="32">
        <v>444970</v>
      </c>
      <c r="L26" s="33">
        <f>+K26/$K$20</f>
        <v>0.20741940280627075</v>
      </c>
      <c r="M26" s="32">
        <v>392270.56754000002</v>
      </c>
      <c r="N26" s="33">
        <f>+M26/$M$20</f>
        <v>0.19920699456931501</v>
      </c>
      <c r="O26" s="33">
        <f>IF(K26=0,"",(M26-K26)/ABS(K26)+1)</f>
        <v>0.88156632478594066</v>
      </c>
      <c r="P26" s="32">
        <v>403927.15299999999</v>
      </c>
      <c r="Q26" s="33">
        <f>+P26/$P$20</f>
        <v>0.20018983381478639</v>
      </c>
      <c r="R26" s="34">
        <f>IF(P26=0,"",(M26-P26)/ABS(P26))</f>
        <v>-2.8858137843483806E-2</v>
      </c>
      <c r="S26" s="24"/>
      <c r="AC26" s="34"/>
    </row>
    <row r="27" spans="1:32" x14ac:dyDescent="0.2">
      <c r="B27" s="19" t="s">
        <v>46</v>
      </c>
      <c r="C27" s="32">
        <v>360919</v>
      </c>
      <c r="D27" s="33">
        <f>+C27/$C$20</f>
        <v>0.33499942452560488</v>
      </c>
      <c r="E27" s="32">
        <v>353795.81933999999</v>
      </c>
      <c r="F27" s="33">
        <f>+E27/$E$20</f>
        <v>0.35494840638542108</v>
      </c>
      <c r="G27" s="33">
        <f>IF(C27=0,"",(E27-C27)/ABS(C27)+1)</f>
        <v>0.98026376926678838</v>
      </c>
      <c r="H27" s="32">
        <v>345558.40841999999</v>
      </c>
      <c r="I27" s="33">
        <f>+H27/$H$20</f>
        <v>0.34238321801422861</v>
      </c>
      <c r="J27" s="34">
        <f>IF(H27=0,"",(E27-H27)/ABS(H27))</f>
        <v>2.3837969846151299E-2</v>
      </c>
      <c r="K27" s="32">
        <v>715345</v>
      </c>
      <c r="L27" s="33">
        <f>+K27/$K$20</f>
        <v>0.33345266579870941</v>
      </c>
      <c r="M27" s="32">
        <v>693543.63847999997</v>
      </c>
      <c r="N27" s="33">
        <f>+M27/$M$20</f>
        <v>0.35220267656247295</v>
      </c>
      <c r="O27" s="33">
        <f>IF(K27=0,"",(M27-K27)/ABS(K27)+1)</f>
        <v>0.96952329083169653</v>
      </c>
      <c r="P27" s="32">
        <v>662413.69783000008</v>
      </c>
      <c r="Q27" s="33">
        <f>+P27/$P$20</f>
        <v>0.32829802874189506</v>
      </c>
      <c r="R27" s="34">
        <f>IF(P27=0,"",(M27-P27)/ABS(P27))</f>
        <v>4.6994711540504684E-2</v>
      </c>
      <c r="S27" s="24"/>
      <c r="T27" s="19" t="s">
        <v>47</v>
      </c>
      <c r="U27" s="35">
        <f>+'COLOMB$ '!U27</f>
        <v>0</v>
      </c>
      <c r="V27" s="35">
        <f>+'COLOMB$ '!V27</f>
        <v>-91631.27029</v>
      </c>
      <c r="W27" s="35">
        <f>+'COLOMB$ '!W27</f>
        <v>-194827</v>
      </c>
      <c r="X27" s="35">
        <f>+'COLOMB$ '!X27</f>
        <v>0</v>
      </c>
      <c r="Y27" s="35">
        <f>+'COLOMB$ '!Y27</f>
        <v>-2131</v>
      </c>
      <c r="Z27" s="36">
        <f>+Y27-X27</f>
        <v>-2131</v>
      </c>
      <c r="AA27" s="37" t="str">
        <f>IF(X27=0,"",(Y27-X27)/ABS(X27)+1)</f>
        <v/>
      </c>
      <c r="AB27" s="35">
        <f>+'COLOMB$ '!AB27</f>
        <v>-184783</v>
      </c>
      <c r="AC27" s="34">
        <f>IF(AB27=0,"",(Y27-AB27)/ABS(AB27))</f>
        <v>0.98846755383341545</v>
      </c>
    </row>
    <row r="28" spans="1:32" x14ac:dyDescent="0.2">
      <c r="B28" s="19" t="s">
        <v>48</v>
      </c>
      <c r="C28" s="35">
        <f>SUM(C26:C27)</f>
        <v>599097</v>
      </c>
      <c r="D28" s="33">
        <f>+C28/$C$20</f>
        <v>0.55607255432663927</v>
      </c>
      <c r="E28" s="35">
        <f>SUM(E26:E27)</f>
        <v>549896.52786000003</v>
      </c>
      <c r="F28" s="33">
        <f>+E28/$E$20</f>
        <v>0.55168796681910315</v>
      </c>
      <c r="G28" s="33">
        <f>IF(C28=0,"",(E28-C28)/ABS(C28)+1)</f>
        <v>0.91787561590193245</v>
      </c>
      <c r="H28" s="35">
        <f>SUM(H26:H27)</f>
        <v>588710.70182999992</v>
      </c>
      <c r="I28" s="33">
        <f>+H28/$H$20</f>
        <v>0.58330128759877797</v>
      </c>
      <c r="J28" s="34">
        <f>IF(H28=0,"",(E28-H28)/ABS(H28))</f>
        <v>-6.5930810921810162E-2</v>
      </c>
      <c r="K28" s="35">
        <f>SUM(K26:K27)</f>
        <v>1160315</v>
      </c>
      <c r="L28" s="33">
        <f>+K28/$K$20</f>
        <v>0.54087206860498016</v>
      </c>
      <c r="M28" s="35">
        <f>SUM(M26:M27)</f>
        <v>1085814.2060199999</v>
      </c>
      <c r="N28" s="33">
        <f>+M28/$M$20</f>
        <v>0.55140967113178785</v>
      </c>
      <c r="O28" s="33">
        <f>IF(K28=0,"",(M28-K28)/ABS(K28)+1)</f>
        <v>0.93579261323002805</v>
      </c>
      <c r="P28" s="35">
        <f>SUM(P26:P27)</f>
        <v>1066340.8508300001</v>
      </c>
      <c r="Q28" s="33">
        <f>+P28/$P$20</f>
        <v>0.52848786255668145</v>
      </c>
      <c r="R28" s="34">
        <f>IF(P28=0,"",(M28-P28)/ABS(P28))</f>
        <v>1.826184861514258E-2</v>
      </c>
      <c r="S28" s="24"/>
      <c r="T28" s="19" t="s">
        <v>49</v>
      </c>
      <c r="U28" s="35">
        <f>+'COLOMB$ '!U28</f>
        <v>0</v>
      </c>
      <c r="V28" s="35">
        <f>+'COLOMB$ '!V28</f>
        <v>0</v>
      </c>
      <c r="W28" s="35">
        <f>+'COLOMB$ '!W28</f>
        <v>0</v>
      </c>
      <c r="X28" s="35">
        <f>+'COLOMB$ '!X28</f>
        <v>0</v>
      </c>
      <c r="Y28" s="35">
        <f>+'COLOMB$ '!Y28</f>
        <v>0</v>
      </c>
      <c r="Z28" s="36">
        <f>+Y28-X28</f>
        <v>0</v>
      </c>
      <c r="AA28" s="37" t="str">
        <f>IF(X28=0,"",(Y28-X28)/ABS(X28)+1)</f>
        <v/>
      </c>
      <c r="AB28" s="35">
        <f>+'COLOMB$ '!AB28</f>
        <v>0</v>
      </c>
      <c r="AC28" s="34" t="str">
        <f>IF(AB28=0,"",(Y28-AB28)/ABS(AB28))</f>
        <v/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62057</v>
      </c>
      <c r="D30" s="33">
        <f>+C30/$C$20</f>
        <v>5.7600346027184668E-2</v>
      </c>
      <c r="E30" s="35">
        <v>62213.435440000001</v>
      </c>
      <c r="F30" s="33">
        <f>+E30/$E$20</f>
        <v>6.2416112791793057E-2</v>
      </c>
      <c r="G30" s="33">
        <f>IF(C30=0,"",(E30-C30)/ABS(C30)+1)</f>
        <v>1.0025208347164705</v>
      </c>
      <c r="H30" s="35">
        <v>57078.203000000001</v>
      </c>
      <c r="I30" s="33">
        <f>+H30/$H$20</f>
        <v>5.6553735476917784E-2</v>
      </c>
      <c r="J30" s="34">
        <f>IF(H30=0,"",(E30-H30)/ABS(H30))</f>
        <v>8.9968362178465919E-2</v>
      </c>
      <c r="K30" s="35">
        <v>117601</v>
      </c>
      <c r="L30" s="33">
        <f>+K30/$K$20</f>
        <v>5.4818817424590972E-2</v>
      </c>
      <c r="M30" s="35">
        <v>116653.05892</v>
      </c>
      <c r="N30" s="33">
        <f>+M30/$M$20</f>
        <v>5.9239991979262684E-2</v>
      </c>
      <c r="O30" s="33">
        <f>IF(K30=0,"",(M30-K30)/ABS(K30)+1)</f>
        <v>0.99193934507359627</v>
      </c>
      <c r="P30" s="35">
        <v>111298.28978000001</v>
      </c>
      <c r="Q30" s="33">
        <f>+P30/$P$20</f>
        <v>5.5160406943298858E-2</v>
      </c>
      <c r="R30" s="34">
        <f>IF(P30=0,"",(M30-P30)/ABS(P30))</f>
        <v>4.8111872613537915E-2</v>
      </c>
      <c r="S30" s="24"/>
      <c r="T30" s="42" t="s">
        <v>51</v>
      </c>
      <c r="U30" s="43">
        <f>U21-U23-U25-U27-U28</f>
        <v>-98088</v>
      </c>
      <c r="V30" s="43">
        <f>V21-V23-V25-V27-V28</f>
        <v>-84974.668150000201</v>
      </c>
      <c r="W30" s="43">
        <f>W21-W23-W25-W27-W28</f>
        <v>58933.960800000234</v>
      </c>
      <c r="X30" s="43">
        <f>X21-X23-X25-X27-X28</f>
        <v>0</v>
      </c>
      <c r="Y30" s="43">
        <f>Y21-Y23-Y25-Y27-Y28</f>
        <v>-84975.021350000112</v>
      </c>
      <c r="Z30" s="47">
        <f>+Y30-X30</f>
        <v>-84975.021350000112</v>
      </c>
      <c r="AA30" s="48">
        <f>IF(U30=0,"",(V30-U30)/ABS(U30)+1)</f>
        <v>1.1336894609942072</v>
      </c>
      <c r="AB30" s="43">
        <f>AB21-AB23-AB25-AB27-AB28</f>
        <v>58934.228549999505</v>
      </c>
      <c r="AC30" s="34">
        <f>IF(AB30=0,"",(Y30-AB30)/ABS(AB30))</f>
        <v>-2.4418619440807259</v>
      </c>
    </row>
    <row r="31" spans="1:32" x14ac:dyDescent="0.2">
      <c r="B31" s="19" t="s">
        <v>52</v>
      </c>
      <c r="C31" s="35">
        <v>212003</v>
      </c>
      <c r="D31" s="33">
        <f>+C31/$C$20</f>
        <v>0.19677790029813286</v>
      </c>
      <c r="E31" s="35">
        <v>204038.55641999998</v>
      </c>
      <c r="F31" s="33">
        <f>+E31/$E$20</f>
        <v>0.20470326805320929</v>
      </c>
      <c r="G31" s="33">
        <f>IF(C31=0,"",(E31-C31)/ABS(C31)+1)</f>
        <v>0.96243240152261988</v>
      </c>
      <c r="H31" s="35">
        <v>187879.82569999999</v>
      </c>
      <c r="I31" s="33">
        <f>+H31/$H$20</f>
        <v>0.18615347725798617</v>
      </c>
      <c r="J31" s="34">
        <f>IF(H31=0,"",(E31-H31)/ABS(H31))</f>
        <v>8.6005672295021693E-2</v>
      </c>
      <c r="K31" s="35">
        <v>424847</v>
      </c>
      <c r="L31" s="33">
        <f>+K31/$K$20</f>
        <v>0.19803921842828889</v>
      </c>
      <c r="M31" s="35">
        <v>393756.50839999999</v>
      </c>
      <c r="N31" s="33">
        <f>+M31/$M$20</f>
        <v>0.19996160079604433</v>
      </c>
      <c r="O31" s="33">
        <f>IF(K31=0,"",(M31-K31)/ABS(K31)+1)</f>
        <v>0.92681955715822406</v>
      </c>
      <c r="P31" s="35">
        <v>390810.99306999997</v>
      </c>
      <c r="Q31" s="33">
        <f>+P31/$P$20</f>
        <v>0.19368935010832247</v>
      </c>
      <c r="R31" s="34">
        <f>IF(P31=0,"",(M31-P31)/ABS(P31))</f>
        <v>7.5369305936397726E-3</v>
      </c>
      <c r="S31" s="24"/>
    </row>
    <row r="32" spans="1:32" x14ac:dyDescent="0.2">
      <c r="B32" s="19" t="s">
        <v>53</v>
      </c>
      <c r="C32" s="35">
        <f>SUM(C30:C31)</f>
        <v>274060</v>
      </c>
      <c r="D32" s="33">
        <f>+C32/$C$20</f>
        <v>0.25437824632531753</v>
      </c>
      <c r="E32" s="35">
        <f>SUM(E30:E31)</f>
        <v>266251.99185999995</v>
      </c>
      <c r="F32" s="33">
        <f>+E32/$E$20</f>
        <v>0.26711938084500231</v>
      </c>
      <c r="G32" s="33">
        <f>IF(C32=0,"",(E32-C32)/ABS(C32)+1)</f>
        <v>0.97150985864409234</v>
      </c>
      <c r="H32" s="35">
        <f>SUM(H30:H31)</f>
        <v>244958.0287</v>
      </c>
      <c r="I32" s="33">
        <f>+H32/$H$20</f>
        <v>0.24270721273490398</v>
      </c>
      <c r="J32" s="34">
        <f>IF(H32=0,"",(E32-H32)/ABS(H32))</f>
        <v>8.6929027282786731E-2</v>
      </c>
      <c r="K32" s="35">
        <f>SUM(K30:K31)</f>
        <v>542448</v>
      </c>
      <c r="L32" s="33">
        <f>+K32/$K$20</f>
        <v>0.25285803585287986</v>
      </c>
      <c r="M32" s="35">
        <f>SUM(M30:M31)</f>
        <v>510409.56731999997</v>
      </c>
      <c r="N32" s="33">
        <f>+M32/$M$20</f>
        <v>0.25920159277530702</v>
      </c>
      <c r="O32" s="33">
        <f>IF(K32=0,"",(M32-K32)/ABS(K32)+1)</f>
        <v>0.94093731992744001</v>
      </c>
      <c r="P32" s="35">
        <f t="shared" ref="P32" si="10">SUM(P30:P31)</f>
        <v>502109.28284999996</v>
      </c>
      <c r="Q32" s="33">
        <f>+P32/$P$20</f>
        <v>0.24884975705162132</v>
      </c>
      <c r="R32" s="34">
        <f>IF(P32=0,"",(M32-P32)/ABS(P32))</f>
        <v>1.6530832536867553E-2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873157</v>
      </c>
      <c r="D34" s="33">
        <f>+C34/$C$20</f>
        <v>0.81045080065195685</v>
      </c>
      <c r="E34" s="35">
        <f>E28+E32</f>
        <v>816148.51971999998</v>
      </c>
      <c r="F34" s="33">
        <f>+E34/$E$20</f>
        <v>0.81880734766410546</v>
      </c>
      <c r="G34" s="33">
        <f>IF(C34=0,"",(E34-C34)/ABS(C34)+1)</f>
        <v>0.93470993157015292</v>
      </c>
      <c r="H34" s="35">
        <f>H28+H32</f>
        <v>833668.73052999994</v>
      </c>
      <c r="I34" s="33">
        <f>+H34/$H$20</f>
        <v>0.82600850033368201</v>
      </c>
      <c r="J34" s="34">
        <f>IF(H34=0,"",(E34-H34)/ABS(H34))</f>
        <v>-2.1015794605684191E-2</v>
      </c>
      <c r="K34" s="35">
        <f>K28+K32</f>
        <v>1702763</v>
      </c>
      <c r="L34" s="33">
        <f>+K34/$K$20</f>
        <v>0.79373010445786008</v>
      </c>
      <c r="M34" s="35">
        <f>M28+M32</f>
        <v>1596223.7733399998</v>
      </c>
      <c r="N34" s="33">
        <f>+M34/$M$20</f>
        <v>0.81061126390709493</v>
      </c>
      <c r="O34" s="33">
        <f>IF(K34=0,"",(M34-K34)/ABS(K34)+1)</f>
        <v>0.93743155879003703</v>
      </c>
      <c r="P34" s="35">
        <f>P28+P32</f>
        <v>1568450.13368</v>
      </c>
      <c r="Q34" s="33">
        <f>+P34/$P$20</f>
        <v>0.77733761960830272</v>
      </c>
      <c r="R34" s="34">
        <f>IF(P34=0,"",(M34-P34)/ABS(P34))</f>
        <v>1.7707696957400581E-2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46905</v>
      </c>
      <c r="D36" s="44">
        <f>+C36/$C$20</f>
        <v>4.3536494358494562E-2</v>
      </c>
      <c r="E36" s="43">
        <f>E24-E34</f>
        <v>71652.269519999973</v>
      </c>
      <c r="F36" s="44">
        <f>+E36/$E$20</f>
        <v>7.1885696466021651E-2</v>
      </c>
      <c r="G36" s="44">
        <f>IF(C36=0,"",(E36-C36)/ABS(C36)+1)</f>
        <v>1.5276040831467854</v>
      </c>
      <c r="H36" s="43">
        <f>H24-H34</f>
        <v>15470.780099999974</v>
      </c>
      <c r="I36" s="44">
        <f>+H36/$H$20</f>
        <v>1.5328625629593877E-2</v>
      </c>
      <c r="J36" s="45">
        <f>IF(H36=0,"",(E36-H36)/ABS(H36))</f>
        <v>3.6314580814189252</v>
      </c>
      <c r="K36" s="43">
        <f>K24-K34</f>
        <v>173967</v>
      </c>
      <c r="L36" s="44">
        <f>+K36/$K$20</f>
        <v>8.1093402359706274E-2</v>
      </c>
      <c r="M36" s="43">
        <f>+M24-M34</f>
        <v>185211.19506000029</v>
      </c>
      <c r="N36" s="44">
        <f>+M36/$M$20</f>
        <v>9.4055910847126153E-2</v>
      </c>
      <c r="O36" s="44">
        <f>IF(K36=0,"",(M36-K36)/ABS(K36)+1)</f>
        <v>1.0646340688751332</v>
      </c>
      <c r="P36" s="43">
        <f>P24-P34</f>
        <v>181912.63263000036</v>
      </c>
      <c r="Q36" s="44">
        <f>+P36/$P$20</f>
        <v>9.0157493559265778E-2</v>
      </c>
      <c r="R36" s="45">
        <f>IF(P36=0,"",(M36-P36)/ABS(P36))</f>
        <v>1.8132673813308037E-2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1459</v>
      </c>
      <c r="D38" s="33">
        <f>+C38/$C$20</f>
        <v>1.3542211975065251E-3</v>
      </c>
      <c r="E38" s="32">
        <v>300.34672999999998</v>
      </c>
      <c r="F38" s="33">
        <f>+E38/$E$20</f>
        <v>3.0132519195802529E-4</v>
      </c>
      <c r="G38" s="33">
        <f>IF(C38=0,"",(E38-C38)/ABS(C38)+1)</f>
        <v>0.20585793694311172</v>
      </c>
      <c r="H38" s="32">
        <v>463.77338000000003</v>
      </c>
      <c r="I38" s="33">
        <f>+H38/$H$20</f>
        <v>4.5951196210147109E-4</v>
      </c>
      <c r="J38" s="34">
        <f>IF(H38=0,"",(E38-H38)/ABS(H38))</f>
        <v>-0.35238471427575263</v>
      </c>
      <c r="K38" s="32">
        <v>2918</v>
      </c>
      <c r="L38" s="33">
        <f>+K38/$K$20</f>
        <v>1.3602036483104435E-3</v>
      </c>
      <c r="M38" s="32">
        <v>815.28359999999998</v>
      </c>
      <c r="N38" s="33">
        <f>+M38/$M$20</f>
        <v>4.1402595330094588E-4</v>
      </c>
      <c r="O38" s="33">
        <f>IF(K38=0,"",(M38-K38)/ABS(K38)+1)</f>
        <v>0.2793980808773131</v>
      </c>
      <c r="P38" s="32">
        <v>1245.3661100000002</v>
      </c>
      <c r="Q38" s="33">
        <f>+P38/$P$20</f>
        <v>6.1721434854731594E-4</v>
      </c>
      <c r="R38" s="34">
        <f>IF(P38=0,"",(M38-P38)/ABS(P38))</f>
        <v>-0.3453462452097722</v>
      </c>
      <c r="S38" s="24"/>
    </row>
    <row r="39" spans="2:20" x14ac:dyDescent="0.2">
      <c r="B39" s="19" t="s">
        <v>57</v>
      </c>
      <c r="C39" s="32">
        <v>35525</v>
      </c>
      <c r="D39" s="33">
        <f>+C39/$C$20</f>
        <v>3.2973754654845311E-2</v>
      </c>
      <c r="E39" s="32">
        <v>37436.977460000002</v>
      </c>
      <c r="F39" s="33">
        <f>+E39/$E$20</f>
        <v>3.7558938695496265E-2</v>
      </c>
      <c r="G39" s="33">
        <f>IF(C39=0,"",(E39-C39)/ABS(C39)+1)</f>
        <v>1.053820618156228</v>
      </c>
      <c r="H39" s="32">
        <v>26086.062620000001</v>
      </c>
      <c r="I39" s="33">
        <f>+H39/$H$20</f>
        <v>2.5846368797661567E-2</v>
      </c>
      <c r="J39" s="34">
        <f>IF(H39=0,"",(E39-H39)/ABS(H39))</f>
        <v>0.43513331257962001</v>
      </c>
      <c r="K39" s="32">
        <v>71944</v>
      </c>
      <c r="L39" s="33">
        <f>+K39/$K$20</f>
        <v>3.3536151910228421E-2</v>
      </c>
      <c r="M39" s="32">
        <v>71147.123240000001</v>
      </c>
      <c r="N39" s="33">
        <f>+M39/$M$20</f>
        <v>3.6130685719743268E-2</v>
      </c>
      <c r="O39" s="33">
        <f>IF(K39=0,"",(M39-K39)/ABS(K39)+1)</f>
        <v>0.9889236522851107</v>
      </c>
      <c r="P39" s="32">
        <v>58136.271639999999</v>
      </c>
      <c r="Q39" s="33">
        <f>+P39/$P$20</f>
        <v>2.8812845266242549E-2</v>
      </c>
      <c r="R39" s="34">
        <f>IF(P39=0,"",(M39-P39)/ABS(P39))</f>
        <v>0.22379920887544555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12839</v>
      </c>
      <c r="D41" s="33">
        <f>+C41/$C$20</f>
        <v>1.1916960901155776E-2</v>
      </c>
      <c r="E41" s="35">
        <f>E36+E38-E39</f>
        <v>34515.638789999975</v>
      </c>
      <c r="F41" s="33">
        <f>+E41/$E$20</f>
        <v>3.4628082962483417E-2</v>
      </c>
      <c r="G41" s="33">
        <f>IF(C41=0,"",(E41-C41)/ABS(C41)+1)</f>
        <v>2.688343234675596</v>
      </c>
      <c r="H41" s="35">
        <f>H36+H38-H39</f>
        <v>-10151.509140000026</v>
      </c>
      <c r="I41" s="33">
        <f>+H41/$H$20</f>
        <v>-1.0058231205966217E-2</v>
      </c>
      <c r="J41" s="34">
        <f>IF(H41=0,"",(E41-H41)/ABS(H41))</f>
        <v>4.4000500136475162</v>
      </c>
      <c r="K41" s="35">
        <f>K36+K38-K39</f>
        <v>104941</v>
      </c>
      <c r="L41" s="33">
        <f>+K41/$K$20</f>
        <v>4.8917454097788297E-2</v>
      </c>
      <c r="M41" s="35">
        <f>M36+M38-M39</f>
        <v>114879.35542000028</v>
      </c>
      <c r="N41" s="33">
        <f>+M41/$M$20</f>
        <v>5.8339251080683829E-2</v>
      </c>
      <c r="O41" s="33">
        <f>IF(K41=0,"",(M41-K41)/ABS(K41)+1)</f>
        <v>1.0947042187514917</v>
      </c>
      <c r="P41" s="35">
        <f>P36+P38-P39</f>
        <v>125021.72710000037</v>
      </c>
      <c r="Q41" s="33">
        <f>+P41/$P$20</f>
        <v>6.1961862641570546E-2</v>
      </c>
      <c r="R41" s="34">
        <f>IF(P41=0,"",(M41-P41)/ABS(P41))</f>
        <v>-8.1124872574249163E-2</v>
      </c>
    </row>
    <row r="42" spans="2:20" x14ac:dyDescent="0.2">
      <c r="B42" s="19" t="s">
        <v>44</v>
      </c>
      <c r="C42" s="32">
        <v>5931.66</v>
      </c>
      <c r="D42" s="33">
        <f>+C42/$C$20</f>
        <v>5.5056749200833137E-3</v>
      </c>
      <c r="E42" s="32">
        <v>18535.879000000001</v>
      </c>
      <c r="F42" s="33">
        <f>+E42/$E$20</f>
        <v>1.8596264716402043E-2</v>
      </c>
      <c r="G42" s="33">
        <f>IF(C42=0,"",(E42-C42)/ABS(C42)+1)</f>
        <v>3.1249058442324746</v>
      </c>
      <c r="H42" s="32">
        <v>-3966.2060000000001</v>
      </c>
      <c r="I42" s="33">
        <f>+H42/$H$20</f>
        <v>-3.9297622066161433E-3</v>
      </c>
      <c r="J42" s="34">
        <f>IF(H42=0,"",(E42-H42)/ABS(H42))</f>
        <v>5.6734534212292553</v>
      </c>
      <c r="K42" s="32">
        <v>40671.660000000003</v>
      </c>
      <c r="L42" s="33">
        <f>+K42/$K$20</f>
        <v>1.8958786948198057E-2</v>
      </c>
      <c r="M42" s="32">
        <v>42205.341999999997</v>
      </c>
      <c r="N42" s="33">
        <f>+M42/$M$20</f>
        <v>2.1433163816790193E-2</v>
      </c>
      <c r="O42" s="33">
        <f>IF(K42=0,"",(M42-K42)/ABS(K42)+1)</f>
        <v>1.0377088616496104</v>
      </c>
      <c r="P42" s="32">
        <v>46182.517</v>
      </c>
      <c r="Q42" s="33">
        <f>+P42/$P$20</f>
        <v>2.2888459799528624E-2</v>
      </c>
      <c r="R42" s="34">
        <f>IF(P42=0,"",(M42-P42)/ABS(P42))</f>
        <v>-8.6118627964777303E-2</v>
      </c>
    </row>
    <row r="43" spans="2:20" x14ac:dyDescent="0.2">
      <c r="B43" s="42" t="s">
        <v>59</v>
      </c>
      <c r="C43" s="43">
        <f>C41-C42</f>
        <v>6907.34</v>
      </c>
      <c r="D43" s="44">
        <f>+C43/$C$20</f>
        <v>6.4112859810724621E-3</v>
      </c>
      <c r="E43" s="43">
        <f>E41-E42</f>
        <v>15979.759789999975</v>
      </c>
      <c r="F43" s="44">
        <f>+E43/$E$20</f>
        <v>1.6031818246081377E-2</v>
      </c>
      <c r="G43" s="44">
        <f>IF(C43=0,"",(E43-C43)/ABS(C43)+1)</f>
        <v>2.3134462455880227</v>
      </c>
      <c r="H43" s="43">
        <f>H41-H42</f>
        <v>-6185.3031400000255</v>
      </c>
      <c r="I43" s="44">
        <f>+H43/$H$20</f>
        <v>-6.1284689993500738E-3</v>
      </c>
      <c r="J43" s="45">
        <f>IF(H43=0,"",(E43-H43)/ABS(H43))</f>
        <v>3.5835047091968248</v>
      </c>
      <c r="K43" s="43">
        <f>+K41-K42</f>
        <v>64269.34</v>
      </c>
      <c r="L43" s="44">
        <f>+K43/$K$20</f>
        <v>2.9958667149590237E-2</v>
      </c>
      <c r="M43" s="43">
        <f>+M41-M42</f>
        <v>72674.013420000294</v>
      </c>
      <c r="N43" s="44">
        <f>+M43/$M$20</f>
        <v>3.690608726389364E-2</v>
      </c>
      <c r="O43" s="44">
        <f>IF(K43=0,"",(M43-K43)/ABS(K43)+1)</f>
        <v>1.1307726735641022</v>
      </c>
      <c r="P43" s="43">
        <f>+P41-P42</f>
        <v>78839.210100000375</v>
      </c>
      <c r="Q43" s="44">
        <f>+P43/$P$20</f>
        <v>3.9073402842041929E-2</v>
      </c>
      <c r="R43" s="45">
        <f>IF(P43=0,"",(M43-P43)/ABS(P43))</f>
        <v>-7.8199625188787272E-2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95063</v>
      </c>
      <c r="D45" s="33">
        <f>+C45/$C$20</f>
        <v>8.8236003905800414E-2</v>
      </c>
      <c r="E45" s="32">
        <v>120289.44172999998</v>
      </c>
      <c r="F45" s="33">
        <f>+E45/$E$20</f>
        <v>0.1206813176218564</v>
      </c>
      <c r="G45" s="33">
        <f>IF(C45=0,"",(E45-C45)/ABS(C45)+1)</f>
        <v>1.2653655126600252</v>
      </c>
      <c r="H45" s="32">
        <v>64126.238369999977</v>
      </c>
      <c r="I45" s="33">
        <f>+H45/$H$20</f>
        <v>6.3537009423838275E-2</v>
      </c>
      <c r="J45" s="34">
        <f>IF(H45=0,"",(E45-H45)/ABS(H45))</f>
        <v>0.87582251489547369</v>
      </c>
      <c r="K45" s="32">
        <v>270774</v>
      </c>
      <c r="L45" s="33">
        <f>+K45/$K$20</f>
        <v>0.12621925382714599</v>
      </c>
      <c r="M45" s="32">
        <v>282355.27267000027</v>
      </c>
      <c r="N45" s="33">
        <f>+M45/$M$20</f>
        <v>0.14338864529685788</v>
      </c>
      <c r="O45" s="33">
        <f>IF(K45=0,"",(M45-K45)/ABS(K45)+1)</f>
        <v>1.0427709923035455</v>
      </c>
      <c r="P45" s="32">
        <v>278328.54746000038</v>
      </c>
      <c r="Q45" s="33">
        <f>+P45/$P$20</f>
        <v>0.13794206516720198</v>
      </c>
      <c r="R45" s="34">
        <f>IF(P45=0,"",(M45-P45)/ABS(P45))</f>
        <v>1.4467524969132329E-2</v>
      </c>
      <c r="T45" s="40"/>
    </row>
    <row r="46" spans="2:20" x14ac:dyDescent="0.2">
      <c r="B46" s="19" t="s">
        <v>35</v>
      </c>
      <c r="C46" s="32">
        <v>445880</v>
      </c>
      <c r="D46" s="34">
        <f t="shared" ref="D46" si="11">+C46/$C$20</f>
        <v>0.4138589085292731</v>
      </c>
      <c r="E46" s="32">
        <v>452720.18199999997</v>
      </c>
      <c r="F46" s="34">
        <f>+E46/$E$20</f>
        <v>0.45419504232465641</v>
      </c>
      <c r="G46" s="34">
        <f>IF(C46=0,"",(E46-C46)/ABS(C46)+1)</f>
        <v>1.0153408585269579</v>
      </c>
      <c r="H46" s="32">
        <v>426267.60499999998</v>
      </c>
      <c r="I46" s="34">
        <f t="shared" ref="I46" si="12">+H46/$H$20</f>
        <v>0.42235081184229423</v>
      </c>
      <c r="J46" s="34">
        <f>IF(H46=0,"",(E46-H46)/ABS(H46))</f>
        <v>6.2056268620271977E-2</v>
      </c>
      <c r="K46" s="32">
        <v>908345</v>
      </c>
      <c r="L46" s="34">
        <f t="shared" ref="L46" si="13">+K46/$K$20</f>
        <v>0.42341815727366339</v>
      </c>
      <c r="M46" s="32">
        <v>889755.41799999995</v>
      </c>
      <c r="N46" s="34">
        <f>+M46/$M$20</f>
        <v>0.45184502072914451</v>
      </c>
      <c r="O46" s="34">
        <f>IF(K46=0,"",(M46-K46)/ABS(K46)+1)</f>
        <v>0.97953466799508992</v>
      </c>
      <c r="P46" s="32">
        <v>822835.63500000001</v>
      </c>
      <c r="Q46" s="34">
        <f t="shared" ref="Q46" si="14">+P46/$P$20</f>
        <v>0.4078045454585576</v>
      </c>
      <c r="R46" s="34">
        <f>IF(P46=0,"",(M46-P46)/ABS(P46))</f>
        <v>8.132825093312826E-2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22DDF-C436-4C34-A98E-A0160ADF2B1C}">
  <sheetPr>
    <tabColor theme="2" tint="-0.499984740745262"/>
  </sheetPr>
  <dimension ref="A1:AI56"/>
  <sheetViews>
    <sheetView showGridLines="0" tabSelected="1" topLeftCell="D1" zoomScale="95" zoomScaleNormal="95" workbookViewId="0">
      <selection activeCell="T18" sqref="T18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2" width="9.7109375" style="2" bestFit="1" customWidth="1"/>
    <col min="23" max="23" width="14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FEBRERO de 2025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FEBRERO de 2025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2025</v>
      </c>
      <c r="F7" s="61" t="str">
        <f>"Real "&amp;Paramet!F3</f>
        <v>Real 2025</v>
      </c>
      <c r="G7" s="62" t="s">
        <v>24</v>
      </c>
      <c r="I7" s="61" t="str">
        <f>"Real "&amp;Paramet!F4</f>
        <v>Real 2024</v>
      </c>
      <c r="J7" s="62" t="s">
        <v>25</v>
      </c>
      <c r="K7" s="62"/>
      <c r="L7" s="61" t="str">
        <f>+D7</f>
        <v>Ppto 2025</v>
      </c>
      <c r="M7" s="62"/>
      <c r="N7" s="61" t="str">
        <f>+F7</f>
        <v>Real 2025</v>
      </c>
      <c r="O7" s="62" t="s">
        <v>24</v>
      </c>
      <c r="P7" s="62" t="str">
        <f>+I7</f>
        <v>Real 2024</v>
      </c>
      <c r="Q7" s="62"/>
      <c r="R7" s="62" t="s">
        <v>25</v>
      </c>
      <c r="S7" s="63"/>
      <c r="U7" s="61" t="str">
        <f>+D7</f>
        <v>Ppto 2025</v>
      </c>
      <c r="V7" s="61" t="str">
        <f>+N7</f>
        <v>Real 2025</v>
      </c>
      <c r="W7" s="61" t="str">
        <f>+I7</f>
        <v>Real 2024</v>
      </c>
      <c r="X7" s="61" t="str">
        <f>+U7</f>
        <v>Ppto 2025</v>
      </c>
      <c r="Y7" s="61" t="str">
        <f>+V7</f>
        <v>Real 2025</v>
      </c>
      <c r="Z7" s="61" t="s">
        <v>26</v>
      </c>
      <c r="AA7" s="61" t="s">
        <v>24</v>
      </c>
      <c r="AB7" s="61" t="str">
        <f>+W7</f>
        <v>Real 2024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379074</v>
      </c>
      <c r="D10" s="34">
        <f t="shared" ref="D10:D15" si="0">+C10/$C$20</f>
        <v>0.35185061427250752</v>
      </c>
      <c r="E10" s="32">
        <v>429014.33600000001</v>
      </c>
      <c r="F10" s="34">
        <f t="shared" ref="F10:F20" si="1">+E10/$E$20</f>
        <v>0.43533462685160357</v>
      </c>
      <c r="G10" s="34">
        <f t="shared" ref="G10:G20" si="2">IF(C10=0,"",(E10-C10)/ABS(C10)+1)</f>
        <v>1.1317429736674107</v>
      </c>
      <c r="H10" s="32">
        <v>366782.875</v>
      </c>
      <c r="I10" s="34">
        <f t="shared" ref="I10:I18" si="3">+H10/$H$20</f>
        <v>0.3708232081890338</v>
      </c>
      <c r="J10" s="34">
        <f t="shared" ref="J10:J20" si="4">IF(H10=0,"",(E10-H10)/ABS(H10))</f>
        <v>0.16966839305133866</v>
      </c>
      <c r="K10" s="32">
        <v>818098</v>
      </c>
      <c r="L10" s="34">
        <f t="shared" ref="L10:L46" si="5">+K10/$K$20</f>
        <v>0.38153480808253221</v>
      </c>
      <c r="M10" s="32">
        <v>865859.50600000005</v>
      </c>
      <c r="N10" s="34">
        <f t="shared" ref="N10:N20" si="6">+M10/$M$20</f>
        <v>0.4484424144854629</v>
      </c>
      <c r="O10" s="34">
        <f t="shared" ref="O10:O19" si="7">IF(K10=0,"",(M10-K10)/ABS(K10)+1)</f>
        <v>1.0583811548249722</v>
      </c>
      <c r="P10" s="32">
        <v>779698.44700000004</v>
      </c>
      <c r="Q10" s="34">
        <f t="shared" ref="Q10:Q46" si="8">+P10/$P$20</f>
        <v>0.39628882617520589</v>
      </c>
      <c r="R10" s="34">
        <f t="shared" ref="R10:R18" si="9">IF(P10=0,"",(M10-P10)/ABS(P10))</f>
        <v>0.11050561833426353</v>
      </c>
      <c r="S10" s="67"/>
      <c r="T10" s="3" t="s">
        <v>31</v>
      </c>
      <c r="U10" s="32">
        <v>-98088</v>
      </c>
      <c r="V10" s="32">
        <v>-98088.42466000015</v>
      </c>
      <c r="W10" s="32">
        <v>40462.204910000211</v>
      </c>
      <c r="X10" s="32">
        <v>0</v>
      </c>
      <c r="Y10" s="32">
        <v>125133</v>
      </c>
      <c r="Z10" s="63">
        <f>+Y10-X10</f>
        <v>125133</v>
      </c>
      <c r="AA10" s="68" t="str">
        <f>IF(X10=0,"",(Y10-X10)/ABS(X10)+1)</f>
        <v/>
      </c>
      <c r="AB10" s="32">
        <v>45751</v>
      </c>
      <c r="AC10" s="34">
        <f>IF(W10=0,"",(Y10-AB10)/ABS(AB10))</f>
        <v>1.7350877576446417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83499</v>
      </c>
      <c r="D11" s="34">
        <f t="shared" si="0"/>
        <v>7.7502478252636967E-2</v>
      </c>
      <c r="E11" s="32">
        <v>30893.745999999999</v>
      </c>
      <c r="F11" s="34">
        <f t="shared" si="1"/>
        <v>3.1348876385702454E-2</v>
      </c>
      <c r="G11" s="34">
        <f t="shared" si="2"/>
        <v>0.36998941304686284</v>
      </c>
      <c r="H11" s="32">
        <v>9109.2340000000004</v>
      </c>
      <c r="I11" s="34">
        <f t="shared" si="3"/>
        <v>9.209577671870927E-3</v>
      </c>
      <c r="J11" s="34">
        <f t="shared" si="4"/>
        <v>2.3914757267186242</v>
      </c>
      <c r="K11" s="32">
        <v>136634</v>
      </c>
      <c r="L11" s="34">
        <f t="shared" si="5"/>
        <v>6.3721738676232806E-2</v>
      </c>
      <c r="M11" s="32">
        <v>50100.694000000003</v>
      </c>
      <c r="N11" s="34">
        <f t="shared" si="6"/>
        <v>2.5947946553764974E-2</v>
      </c>
      <c r="O11" s="34">
        <f t="shared" si="7"/>
        <v>0.36667808890905629</v>
      </c>
      <c r="P11" s="32">
        <v>50275.608</v>
      </c>
      <c r="Q11" s="34">
        <f t="shared" si="8"/>
        <v>2.5553034966561618E-2</v>
      </c>
      <c r="R11" s="34">
        <f t="shared" si="9"/>
        <v>-3.4791026296488951E-3</v>
      </c>
      <c r="S11" s="67"/>
      <c r="T11" s="3" t="s">
        <v>32</v>
      </c>
      <c r="U11" s="32">
        <v>0</v>
      </c>
      <c r="V11" s="32">
        <v>988897.02539999993</v>
      </c>
      <c r="W11" s="32">
        <v>979326.16278000001</v>
      </c>
      <c r="X11" s="32">
        <v>0</v>
      </c>
      <c r="Y11" s="32">
        <v>2139830.0336799999</v>
      </c>
      <c r="Z11" s="63">
        <f>+Y11-X11</f>
        <v>2139830.0336799999</v>
      </c>
      <c r="AA11" s="68" t="str">
        <f>IF(X11=0,"",(Y11-X11)/ABS(X11)+1)</f>
        <v/>
      </c>
      <c r="AB11" s="32">
        <v>2166212.2144299997</v>
      </c>
      <c r="AC11" s="34">
        <f>IF(AB11=0,"",(Y11-AB11)/ABS(AB11))</f>
        <v>-1.2178945614957594E-2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59704</v>
      </c>
      <c r="D12" s="34">
        <f t="shared" si="0"/>
        <v>5.5416327879321166E-2</v>
      </c>
      <c r="E12" s="32">
        <v>76290.531000000003</v>
      </c>
      <c r="F12" s="34">
        <f t="shared" si="1"/>
        <v>7.741445228812982E-2</v>
      </c>
      <c r="G12" s="34">
        <f t="shared" si="2"/>
        <v>1.2778127261155032</v>
      </c>
      <c r="H12" s="32">
        <v>67595.017000000007</v>
      </c>
      <c r="I12" s="34">
        <f t="shared" si="3"/>
        <v>6.8339616623410468E-2</v>
      </c>
      <c r="J12" s="34">
        <f t="shared" si="4"/>
        <v>0.12864134644717959</v>
      </c>
      <c r="K12" s="32">
        <v>142046</v>
      </c>
      <c r="L12" s="34">
        <f t="shared" si="5"/>
        <v>6.6245722821582961E-2</v>
      </c>
      <c r="M12" s="32">
        <v>140740.82699999999</v>
      </c>
      <c r="N12" s="34">
        <f t="shared" si="6"/>
        <v>7.2891913571669922E-2</v>
      </c>
      <c r="O12" s="34">
        <f t="shared" si="7"/>
        <v>0.9908116173633893</v>
      </c>
      <c r="P12" s="32">
        <v>147826.67300000001</v>
      </c>
      <c r="Q12" s="34">
        <f t="shared" si="8"/>
        <v>7.5134250870908817E-2</v>
      </c>
      <c r="R12" s="34">
        <f t="shared" si="9"/>
        <v>-4.7933474089618587E-2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143274</v>
      </c>
      <c r="D13" s="34">
        <f t="shared" si="0"/>
        <v>0.13298470723204242</v>
      </c>
      <c r="E13" s="32">
        <v>72646.7</v>
      </c>
      <c r="F13" s="34">
        <f t="shared" si="1"/>
        <v>7.3716939931117789E-2</v>
      </c>
      <c r="G13" s="34">
        <f t="shared" si="2"/>
        <v>0.50704733587391981</v>
      </c>
      <c r="H13" s="32">
        <v>204839.70499999999</v>
      </c>
      <c r="I13" s="34">
        <f t="shared" si="3"/>
        <v>0.20709613711543992</v>
      </c>
      <c r="J13" s="34">
        <f t="shared" si="4"/>
        <v>-0.64534854216861914</v>
      </c>
      <c r="K13" s="32">
        <v>233599</v>
      </c>
      <c r="L13" s="34">
        <f t="shared" si="5"/>
        <v>0.10894312128042294</v>
      </c>
      <c r="M13" s="32">
        <v>157668.58300000001</v>
      </c>
      <c r="N13" s="34">
        <f t="shared" si="6"/>
        <v>8.165906773450797E-2</v>
      </c>
      <c r="O13" s="34">
        <f t="shared" si="7"/>
        <v>0.67495401521410625</v>
      </c>
      <c r="P13" s="32">
        <v>302138.054</v>
      </c>
      <c r="Q13" s="34">
        <f t="shared" si="8"/>
        <v>0.15356441355400183</v>
      </c>
      <c r="R13" s="34">
        <f t="shared" si="9"/>
        <v>-0.47815715063816489</v>
      </c>
      <c r="S13" s="67"/>
      <c r="T13" s="3" t="s">
        <v>33</v>
      </c>
      <c r="U13" s="32">
        <v>0</v>
      </c>
      <c r="V13" s="32">
        <v>212296.61199999999</v>
      </c>
      <c r="W13" s="32">
        <v>196876.584</v>
      </c>
      <c r="X13" s="32">
        <v>0</v>
      </c>
      <c r="Y13" s="32">
        <v>378100.40399999998</v>
      </c>
      <c r="Z13" s="63">
        <f>+X13-Y13</f>
        <v>-378100.40399999998</v>
      </c>
      <c r="AA13" s="68" t="str">
        <f>IF(X13=0,"",(Y13-X13)/ABS(X13)+1)</f>
        <v/>
      </c>
      <c r="AB13" s="32">
        <v>328141.25900000002</v>
      </c>
      <c r="AC13" s="34">
        <f>IF(AB13=0,"",(Y13-AB13)/ABS(AB13))</f>
        <v>0.15224889778337797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0</v>
      </c>
      <c r="V14" s="32">
        <v>11392.574000000001</v>
      </c>
      <c r="W14" s="32">
        <v>13734.432000000001</v>
      </c>
      <c r="X14" s="32">
        <v>0</v>
      </c>
      <c r="Y14" s="32">
        <v>30520.026999999998</v>
      </c>
      <c r="Z14" s="63">
        <f>+X14-Y14</f>
        <v>-30520.026999999998</v>
      </c>
      <c r="AA14" s="68" t="str">
        <f>IF(X14=0,"",(Y14-X14)/ABS(X14)+1)</f>
        <v/>
      </c>
      <c r="AB14" s="32">
        <v>25445.174999999999</v>
      </c>
      <c r="AC14" s="34">
        <f>IF(AB14=0,"",(Y14-AB14)/ABS(AB14))</f>
        <v>0.19944260552344401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128194</v>
      </c>
      <c r="D15" s="34">
        <f t="shared" si="0"/>
        <v>0.11898768484794481</v>
      </c>
      <c r="E15" s="32">
        <v>115787.625</v>
      </c>
      <c r="F15" s="34">
        <f t="shared" si="1"/>
        <v>0.11749342223241789</v>
      </c>
      <c r="G15" s="34">
        <f t="shared" si="2"/>
        <v>0.90322187465872039</v>
      </c>
      <c r="H15" s="32">
        <v>133993.74600000001</v>
      </c>
      <c r="I15" s="34">
        <f t="shared" si="3"/>
        <v>0.13546976741753966</v>
      </c>
      <c r="J15" s="34">
        <f t="shared" si="4"/>
        <v>-0.13587291603893223</v>
      </c>
      <c r="K15" s="32">
        <v>261211</v>
      </c>
      <c r="L15" s="34">
        <f t="shared" si="5"/>
        <v>0.12182047719716504</v>
      </c>
      <c r="M15" s="32">
        <v>253877.65700000001</v>
      </c>
      <c r="N15" s="34">
        <f t="shared" si="6"/>
        <v>0.13148727790140144</v>
      </c>
      <c r="O15" s="34">
        <f t="shared" si="7"/>
        <v>0.97192559654838429</v>
      </c>
      <c r="P15" s="32">
        <v>281062.44500000001</v>
      </c>
      <c r="Q15" s="34">
        <f t="shared" si="8"/>
        <v>0.14285254362060229</v>
      </c>
      <c r="R15" s="34">
        <f t="shared" si="9"/>
        <v>-9.6721523930384939E-2</v>
      </c>
      <c r="S15" s="67"/>
      <c r="T15" s="3" t="s">
        <v>35</v>
      </c>
      <c r="U15" s="32">
        <v>0</v>
      </c>
      <c r="V15" s="32">
        <v>566033.09699999995</v>
      </c>
      <c r="W15" s="32">
        <v>558362.81799999997</v>
      </c>
      <c r="X15" s="32">
        <v>0</v>
      </c>
      <c r="Y15" s="32">
        <v>1085269.3899999999</v>
      </c>
      <c r="Z15" s="63">
        <f>+X15-Y15</f>
        <v>-1085269.3899999999</v>
      </c>
      <c r="AA15" s="68" t="str">
        <f>IF(X15=0,"",(Y15-X15)/ABS(X15)+1)</f>
        <v/>
      </c>
      <c r="AB15" s="32">
        <v>985504.11199999996</v>
      </c>
      <c r="AC15" s="34">
        <f>IF(AB15=0,"",(Y15-AB15)/ABS(AB15))</f>
        <v>0.10123273640891713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0</v>
      </c>
      <c r="V16" s="32">
        <v>215101.72186000002</v>
      </c>
      <c r="W16" s="32">
        <v>266894.27461000002</v>
      </c>
      <c r="X16" s="32">
        <v>0</v>
      </c>
      <c r="Y16" s="32">
        <v>490695.15836</v>
      </c>
      <c r="Z16" s="63">
        <f>+X16-Y16</f>
        <v>-490695.15836</v>
      </c>
      <c r="AA16" s="68" t="str">
        <f>IF(X16=0,"",(Y16-X16)/ABS(X16)+1)</f>
        <v/>
      </c>
      <c r="AB16" s="32">
        <v>525632.56568999996</v>
      </c>
      <c r="AC16" s="34">
        <f>IF(AB16=0,"",(Y16-AB16)/ABS(AB16))</f>
        <v>-6.6467356877208478E-2</v>
      </c>
      <c r="AD16" s="53"/>
      <c r="AE16" s="53"/>
      <c r="AF16" s="53"/>
      <c r="AG16" s="53"/>
      <c r="AH16" s="53"/>
      <c r="AI16" s="55"/>
    </row>
    <row r="17" spans="1:35" x14ac:dyDescent="0.2">
      <c r="A17" s="38" t="s">
        <v>76</v>
      </c>
      <c r="B17" s="3" t="s">
        <v>77</v>
      </c>
      <c r="C17" s="32">
        <v>17053</v>
      </c>
      <c r="D17" s="34">
        <f>+C17/$C$20</f>
        <v>1.5828330418833976E-2</v>
      </c>
      <c r="E17" s="32">
        <v>25845.366000000002</v>
      </c>
      <c r="F17" s="34">
        <f t="shared" si="1"/>
        <v>2.6226123043713676E-2</v>
      </c>
      <c r="G17" s="34">
        <f t="shared" si="2"/>
        <v>1.5155905705740926</v>
      </c>
      <c r="H17" s="32">
        <v>10843.616</v>
      </c>
      <c r="I17" s="34">
        <f t="shared" si="3"/>
        <v>1.0963064929053567E-2</v>
      </c>
      <c r="J17" s="34">
        <f t="shared" si="4"/>
        <v>1.3834637818233328</v>
      </c>
      <c r="K17" s="32">
        <v>33348</v>
      </c>
      <c r="L17" s="34">
        <f t="shared" si="5"/>
        <v>1.5552443325782834E-2</v>
      </c>
      <c r="M17" s="32">
        <v>38694.315999999999</v>
      </c>
      <c r="N17" s="34">
        <f t="shared" si="6"/>
        <v>2.0040401905460487E-2</v>
      </c>
      <c r="O17" s="34">
        <f t="shared" si="7"/>
        <v>1.1603189396665468</v>
      </c>
      <c r="P17" s="32">
        <v>21744.458999999999</v>
      </c>
      <c r="Q17" s="34">
        <f t="shared" si="8"/>
        <v>1.1051819028344031E-2</v>
      </c>
      <c r="R17" s="34">
        <f t="shared" si="9"/>
        <v>0.77950235505974197</v>
      </c>
      <c r="S17" s="67"/>
      <c r="T17" s="3" t="s">
        <v>37</v>
      </c>
      <c r="U17" s="32">
        <f t="shared" ref="U17:AB17" si="10">SUM(U13:U16)</f>
        <v>0</v>
      </c>
      <c r="V17" s="32">
        <f>SUM(V13:V16)</f>
        <v>1004824.00486</v>
      </c>
      <c r="W17" s="32">
        <f t="shared" si="10"/>
        <v>1035868.10861</v>
      </c>
      <c r="X17" s="32">
        <f t="shared" si="10"/>
        <v>0</v>
      </c>
      <c r="Y17" s="32">
        <f>SUM(Y13:Y16)</f>
        <v>1984584.97936</v>
      </c>
      <c r="Z17" s="63">
        <f>+Y17-X17</f>
        <v>1984584.97936</v>
      </c>
      <c r="AA17" s="68" t="str">
        <f>IF(X17=0,"",(Y17-X17)/ABS(X17)+1)</f>
        <v/>
      </c>
      <c r="AB17" s="32">
        <f t="shared" si="10"/>
        <v>1864723.1116900002</v>
      </c>
      <c r="AC17" s="34">
        <f>IF(AB17=0,"",(Y17-AB17)/ABS(AB17))</f>
        <v>6.4278641112228682E-2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78</v>
      </c>
      <c r="B18" s="3" t="s">
        <v>79</v>
      </c>
      <c r="C18" s="32">
        <v>211852</v>
      </c>
      <c r="D18" s="41">
        <f t="shared" ref="D18:D46" si="11">+C18/$C$20</f>
        <v>0.19663774443739024</v>
      </c>
      <c r="E18" s="32">
        <v>181598.06899999999</v>
      </c>
      <c r="F18" s="34">
        <f t="shared" si="1"/>
        <v>0.18427339361705328</v>
      </c>
      <c r="G18" s="34">
        <f t="shared" si="2"/>
        <v>0.85719308290693497</v>
      </c>
      <c r="H18" s="32">
        <v>140073.788</v>
      </c>
      <c r="I18" s="34">
        <f t="shared" si="3"/>
        <v>0.1416167847240703</v>
      </c>
      <c r="J18" s="41">
        <f t="shared" si="4"/>
        <v>0.29644576328584754</v>
      </c>
      <c r="K18" s="32">
        <v>408056</v>
      </c>
      <c r="L18" s="34">
        <f t="shared" si="5"/>
        <v>0.19030430052014033</v>
      </c>
      <c r="M18" s="32">
        <v>313952.51699999999</v>
      </c>
      <c r="N18" s="34">
        <f t="shared" si="6"/>
        <v>0.16260100372134545</v>
      </c>
      <c r="O18" s="34">
        <f t="shared" si="7"/>
        <v>0.76938586125433761</v>
      </c>
      <c r="P18" s="32">
        <v>268944.41899999999</v>
      </c>
      <c r="Q18" s="34">
        <f t="shared" si="8"/>
        <v>0.13669344670617606</v>
      </c>
      <c r="R18" s="41">
        <f t="shared" si="9"/>
        <v>0.16735092762791259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80</v>
      </c>
      <c r="B19" s="3" t="s">
        <v>81</v>
      </c>
      <c r="C19" s="32">
        <v>54722</v>
      </c>
      <c r="D19" s="34">
        <f t="shared" si="11"/>
        <v>5.0792112659322868E-2</v>
      </c>
      <c r="E19" s="32">
        <v>53405.391000000003</v>
      </c>
      <c r="F19" s="34">
        <f t="shared" si="1"/>
        <v>5.4192165650261595E-2</v>
      </c>
      <c r="G19" s="34">
        <f t="shared" si="2"/>
        <v>0.97594004239611132</v>
      </c>
      <c r="H19" s="32">
        <v>55866.440999999999</v>
      </c>
      <c r="I19" s="34"/>
      <c r="J19" s="34">
        <f t="shared" si="4"/>
        <v>-4.4052385581533564E-2</v>
      </c>
      <c r="K19" s="32">
        <v>111237</v>
      </c>
      <c r="L19" s="34">
        <f t="shared" si="5"/>
        <v>5.1877388096140849E-2</v>
      </c>
      <c r="M19" s="32">
        <v>109921.269</v>
      </c>
      <c r="N19" s="34">
        <f t="shared" si="6"/>
        <v>5.6929974126386805E-2</v>
      </c>
      <c r="O19" s="34">
        <f t="shared" si="7"/>
        <v>0.98817182232530543</v>
      </c>
      <c r="P19" s="32">
        <v>115810.353</v>
      </c>
      <c r="Q19" s="34">
        <f t="shared" si="8"/>
        <v>5.8861665078199434E-2</v>
      </c>
      <c r="R19" s="34"/>
      <c r="S19" s="67"/>
      <c r="T19" s="3" t="s">
        <v>38</v>
      </c>
      <c r="U19" s="32">
        <f>U11-U17</f>
        <v>0</v>
      </c>
      <c r="V19" s="32">
        <f>V11-V17</f>
        <v>-15926.97946000006</v>
      </c>
      <c r="W19" s="32">
        <f>W11-W17</f>
        <v>-56541.945829999982</v>
      </c>
      <c r="X19" s="32">
        <f>X11-X17</f>
        <v>0</v>
      </c>
      <c r="Y19" s="32">
        <f>Y11-Y17</f>
        <v>155245.05431999988</v>
      </c>
      <c r="Z19" s="32">
        <f>+Y19-X19</f>
        <v>155245.05431999988</v>
      </c>
      <c r="AA19" s="68" t="str">
        <f>IF(X19=0,"",(Y19-X19)/ABS(X19)+1)</f>
        <v/>
      </c>
      <c r="AB19" s="32">
        <f>AB11-AB17</f>
        <v>301489.10273999954</v>
      </c>
      <c r="AC19" s="34">
        <f>IF(AB19=0,"",(Y19-AB19)/ABS(AB19))</f>
        <v>-0.48507241917170951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1077372</v>
      </c>
      <c r="D20" s="45">
        <f t="shared" si="11"/>
        <v>1</v>
      </c>
      <c r="E20" s="69">
        <f>SUM(E10:E19)</f>
        <v>985481.76399999997</v>
      </c>
      <c r="F20" s="45">
        <f t="shared" si="1"/>
        <v>1</v>
      </c>
      <c r="G20" s="45">
        <f t="shared" si="2"/>
        <v>0.9147089064872671</v>
      </c>
      <c r="H20" s="69">
        <f>SUM(H10:H19)</f>
        <v>989104.42200000014</v>
      </c>
      <c r="I20" s="45">
        <f>+H22/$H$22</f>
        <v>1</v>
      </c>
      <c r="J20" s="45">
        <f t="shared" si="4"/>
        <v>-3.662563749007453E-3</v>
      </c>
      <c r="K20" s="69">
        <f>SUM(K10:K19)</f>
        <v>2144229</v>
      </c>
      <c r="L20" s="45">
        <f t="shared" si="5"/>
        <v>1</v>
      </c>
      <c r="M20" s="69">
        <f>SUM(M10:M19)</f>
        <v>1930815.3690000002</v>
      </c>
      <c r="N20" s="45">
        <f t="shared" si="6"/>
        <v>1</v>
      </c>
      <c r="O20" s="45">
        <f>IF(K20=0,"",(M20-K20)/ABS(K20)+1)</f>
        <v>0.90047069086370912</v>
      </c>
      <c r="P20" s="69">
        <f>SUM(P10:P19)</f>
        <v>1967500.4580000001</v>
      </c>
      <c r="Q20" s="45">
        <f t="shared" si="8"/>
        <v>1</v>
      </c>
      <c r="R20" s="45">
        <f>IF(P20=0,"",(M20-P20)/ABS(P20))</f>
        <v>-1.8645530094204388E-2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-98088</v>
      </c>
      <c r="V21" s="32">
        <f>+V10+V19</f>
        <v>-114015.40412000021</v>
      </c>
      <c r="W21" s="32">
        <f>+W10+W19</f>
        <v>-16079.740919999771</v>
      </c>
      <c r="X21" s="32">
        <f>+X10+X19</f>
        <v>0</v>
      </c>
      <c r="Y21" s="32">
        <f>+Y10+Y19</f>
        <v>280378.05431999988</v>
      </c>
      <c r="Z21" s="63">
        <f>+Y21-X21</f>
        <v>280378.05431999988</v>
      </c>
      <c r="AA21" s="68" t="str">
        <f>IF(X21=0,"",(Y21-X21)/ABS(X21)+1)</f>
        <v/>
      </c>
      <c r="AB21" s="32">
        <f>+AB10+AB19</f>
        <v>347240.10273999954</v>
      </c>
      <c r="AC21" s="34">
        <f>IF(AB21=0,"",(Y21-AB21)/ABS(AB21))</f>
        <v>-0.19255278377239587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157310</v>
      </c>
      <c r="D22" s="34">
        <f t="shared" si="11"/>
        <v>0.14601270498954863</v>
      </c>
      <c r="E22" s="32">
        <v>108224.19121999999</v>
      </c>
      <c r="F22" s="34">
        <f>+E22/$E$20</f>
        <v>0.10981856303532776</v>
      </c>
      <c r="G22" s="34">
        <f>IF(C22=0,"",(E22-C22)/ABS(C22)+1)</f>
        <v>0.68796765126183956</v>
      </c>
      <c r="H22" s="32">
        <v>160353.25436000002</v>
      </c>
      <c r="I22" s="34">
        <f t="shared" ref="I22:I46" si="12">+H22/$H$20</f>
        <v>0.16211964155994846</v>
      </c>
      <c r="J22" s="34">
        <f>IF(H22=0,"",(E22-H22)/ABS(H22))</f>
        <v>-0.32508890042835065</v>
      </c>
      <c r="K22" s="32">
        <v>268537</v>
      </c>
      <c r="L22" s="34">
        <f t="shared" si="5"/>
        <v>0.12523708988172438</v>
      </c>
      <c r="M22" s="32">
        <v>186201.18700000001</v>
      </c>
      <c r="N22" s="34">
        <f>+M22/$M$20</f>
        <v>9.6436557316423546E-2</v>
      </c>
      <c r="O22" s="34">
        <f>IF(K22=0,"",(M22-K22)/ABS(K22)+1)</f>
        <v>0.6933911788692062</v>
      </c>
      <c r="P22" s="32">
        <v>265608.71409999998</v>
      </c>
      <c r="Q22" s="34">
        <f t="shared" si="8"/>
        <v>0.13499804435623666</v>
      </c>
      <c r="R22" s="34">
        <f>IF(P22=0,"",(M22-P22)/ABS(P22))</f>
        <v>-0.29896431436396154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0</v>
      </c>
      <c r="V23" s="32">
        <v>5724.9309999999996</v>
      </c>
      <c r="W23" s="32">
        <v>62554.208399999996</v>
      </c>
      <c r="X23" s="32">
        <v>0</v>
      </c>
      <c r="Y23" s="32">
        <v>5724.9309999999996</v>
      </c>
      <c r="Z23" s="63">
        <f>+Y23-X23</f>
        <v>5724.9309999999996</v>
      </c>
      <c r="AA23" s="68" t="str">
        <f>IF(X23=0,"",(Y23-X23)/ABS(X23)+1)</f>
        <v/>
      </c>
      <c r="AB23" s="32">
        <v>97292.011150000006</v>
      </c>
      <c r="AC23" s="34">
        <f>IF(AB23=0,"",(Y23-AB23)/ABS(AB23))</f>
        <v>-0.94115723447042754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920062</v>
      </c>
      <c r="D24" s="34">
        <f t="shared" si="11"/>
        <v>0.85398729501045134</v>
      </c>
      <c r="E24" s="32">
        <f>+E20-E22</f>
        <v>877257.57277999993</v>
      </c>
      <c r="F24" s="34">
        <f>+E24/$E$20</f>
        <v>0.89018143696467222</v>
      </c>
      <c r="G24" s="34">
        <f>IF(C24=0,"",(E24-C24)/ABS(C24)+1)</f>
        <v>0.95347658394760348</v>
      </c>
      <c r="H24" s="32">
        <f>+H20-H22</f>
        <v>828751.16764000012</v>
      </c>
      <c r="I24" s="34">
        <f t="shared" si="12"/>
        <v>0.83788035844005149</v>
      </c>
      <c r="J24" s="34">
        <f>IF(H24=0,"",(E24-H24)/ABS(H24))</f>
        <v>5.852951649905902E-2</v>
      </c>
      <c r="K24" s="32">
        <f>+K20-K22</f>
        <v>1875692</v>
      </c>
      <c r="L24" s="34">
        <f t="shared" si="5"/>
        <v>0.87476291011827556</v>
      </c>
      <c r="M24" s="32">
        <f>+M20-M22</f>
        <v>1744614.1820000003</v>
      </c>
      <c r="N24" s="34">
        <f>+M24/$M$20</f>
        <v>0.90356344268357647</v>
      </c>
      <c r="O24" s="34">
        <f>IF(K24=0,"",(M24-K24)/ABS(K24)+1)</f>
        <v>0.93011762165643419</v>
      </c>
      <c r="P24" s="32">
        <f>+P20-P22</f>
        <v>1701891.7439000001</v>
      </c>
      <c r="Q24" s="34">
        <f t="shared" si="8"/>
        <v>0.86500195564376336</v>
      </c>
      <c r="R24" s="34">
        <f>IF(P24=0,"",(M24-P24)/ABS(P24))</f>
        <v>2.5102911658821957E-2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0</v>
      </c>
      <c r="V25" s="32">
        <v>56865.603320000002</v>
      </c>
      <c r="W25" s="32">
        <v>57259.08988</v>
      </c>
      <c r="X25" s="32">
        <v>0</v>
      </c>
      <c r="Y25" s="32">
        <v>361759.14467000001</v>
      </c>
      <c r="Z25" s="63">
        <f>+Y25-X25</f>
        <v>361759.14467000001</v>
      </c>
      <c r="AA25" s="68" t="str">
        <f>IF(X25=0,"",(Y25-X25)/ABS(X25)+1)</f>
        <v/>
      </c>
      <c r="AB25" s="32">
        <v>375796.86304000003</v>
      </c>
      <c r="AC25" s="34">
        <f>IF(AB25=0,"",(Y25-AB25)/ABS(AB25))</f>
        <v>-3.7354538450486835E-2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238176</v>
      </c>
      <c r="D26" s="34">
        <f t="shared" si="11"/>
        <v>0.22107127343201791</v>
      </c>
      <c r="E26" s="32">
        <v>195811.23452</v>
      </c>
      <c r="F26" s="34">
        <f>+E26/$E$20</f>
        <v>0.19869594920276984</v>
      </c>
      <c r="G26" s="34">
        <f>IF(C26=0,"",(E26-C26)/ABS(C26)+1)</f>
        <v>0.82212831905817541</v>
      </c>
      <c r="H26" s="32">
        <v>242804.75141</v>
      </c>
      <c r="I26" s="34">
        <f t="shared" si="12"/>
        <v>0.24547939126491941</v>
      </c>
      <c r="J26" s="34">
        <f>IF(H26=0,"",(E26-H26)/ABS(H26))</f>
        <v>-0.19354446985531501</v>
      </c>
      <c r="K26" s="32">
        <v>444966</v>
      </c>
      <c r="L26" s="34">
        <f t="shared" si="5"/>
        <v>0.207517947010324</v>
      </c>
      <c r="M26" s="32">
        <v>391691.60975</v>
      </c>
      <c r="N26" s="34">
        <f>+M26/$M$20</f>
        <v>0.20286331673072566</v>
      </c>
      <c r="O26" s="34">
        <f>IF(K26=0,"",(M26-K26)/ABS(K26)+1)</f>
        <v>0.88027312142950254</v>
      </c>
      <c r="P26" s="32">
        <v>403290.12663999997</v>
      </c>
      <c r="Q26" s="34">
        <f t="shared" si="8"/>
        <v>0.20497587433852579</v>
      </c>
      <c r="R26" s="34">
        <f>IF(P26=0,"",(M26-P26)/ABS(P26))</f>
        <v>-2.8759734305009343E-2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360919</v>
      </c>
      <c r="D27" s="34">
        <f t="shared" si="11"/>
        <v>0.33499942452560488</v>
      </c>
      <c r="E27" s="32">
        <v>353795.81933999999</v>
      </c>
      <c r="F27" s="34">
        <f>+E27/$E$20</f>
        <v>0.35900798194780192</v>
      </c>
      <c r="G27" s="34">
        <f>IF(C27=0,"",(E27-C27)/ABS(C27)+1)</f>
        <v>0.98026376926678838</v>
      </c>
      <c r="H27" s="32">
        <v>345558.40841999999</v>
      </c>
      <c r="I27" s="34">
        <f t="shared" si="12"/>
        <v>0.3493649413893733</v>
      </c>
      <c r="J27" s="34">
        <f>IF(H27=0,"",(E27-H27)/ABS(H27))</f>
        <v>2.3837969846151299E-2</v>
      </c>
      <c r="K27" s="32">
        <v>715345</v>
      </c>
      <c r="L27" s="34">
        <f t="shared" si="5"/>
        <v>0.3336140869282152</v>
      </c>
      <c r="M27" s="32">
        <v>693543.63847999997</v>
      </c>
      <c r="N27" s="34">
        <f>+M27/$M$20</f>
        <v>0.35919728505123572</v>
      </c>
      <c r="O27" s="34">
        <f>IF(K27=0,"",(M27-K27)/ABS(K27)+1)</f>
        <v>0.96952329083169653</v>
      </c>
      <c r="P27" s="32">
        <v>662413.69783000008</v>
      </c>
      <c r="Q27" s="34">
        <f t="shared" si="8"/>
        <v>0.33667778583561581</v>
      </c>
      <c r="R27" s="34">
        <f>IF(P27=0,"",(M27-P27)/ABS(P27))</f>
        <v>4.6994711540504684E-2</v>
      </c>
      <c r="S27" s="67"/>
      <c r="T27" s="3" t="s">
        <v>47</v>
      </c>
      <c r="U27" s="32">
        <v>0</v>
      </c>
      <c r="V27" s="32">
        <v>-91631.27029</v>
      </c>
      <c r="W27" s="32">
        <v>-194827</v>
      </c>
      <c r="X27" s="32"/>
      <c r="Y27" s="32">
        <v>-2131</v>
      </c>
      <c r="Z27" s="63">
        <f>+Y27-X27</f>
        <v>-2131</v>
      </c>
      <c r="AA27" s="68" t="str">
        <f>IF(X27=0,"",(Y27-X27)/ABS(X27)+1)</f>
        <v/>
      </c>
      <c r="AB27" s="32">
        <v>-184783</v>
      </c>
      <c r="AC27" s="34">
        <f>IF(AB27=0,"",(Y27-AB27)/ABS(AB27))</f>
        <v>0.98846755383341545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599095</v>
      </c>
      <c r="D28" s="34">
        <f t="shared" si="11"/>
        <v>0.55607069795762276</v>
      </c>
      <c r="E28" s="32">
        <f>SUM(E26:E27)</f>
        <v>549607.05385999999</v>
      </c>
      <c r="F28" s="34">
        <f>+E28/$E$20</f>
        <v>0.55770393115057171</v>
      </c>
      <c r="G28" s="34">
        <f>IF(C28=0,"",(E28-C28)/ABS(C28)+1)</f>
        <v>0.91739549463774528</v>
      </c>
      <c r="H28" s="32">
        <f>SUM(H26:H27)</f>
        <v>588363.15983000002</v>
      </c>
      <c r="I28" s="34">
        <f t="shared" si="12"/>
        <v>0.59484433265429271</v>
      </c>
      <c r="J28" s="34">
        <f>IF(H28=0,"",(E28-H28)/ABS(H28))</f>
        <v>-6.5871061643625189E-2</v>
      </c>
      <c r="K28" s="32">
        <f>SUM(K26:K27)</f>
        <v>1160311</v>
      </c>
      <c r="L28" s="34">
        <f t="shared" si="5"/>
        <v>0.54113203393853926</v>
      </c>
      <c r="M28" s="32">
        <f>SUM(M26:M27)</f>
        <v>1085235.24823</v>
      </c>
      <c r="N28" s="34">
        <f>+M28/$M$20</f>
        <v>0.56206060178196149</v>
      </c>
      <c r="O28" s="34">
        <f>IF(K28=0,"",(M28-K28)/ABS(K28)+1)</f>
        <v>0.9352968714680806</v>
      </c>
      <c r="P28" s="32">
        <f>SUM(P26:P27)</f>
        <v>1065703.8244700001</v>
      </c>
      <c r="Q28" s="34">
        <f t="shared" si="8"/>
        <v>0.54165366017414163</v>
      </c>
      <c r="R28" s="34">
        <f>IF(P28=0,"",(M28-P28)/ABS(P28))</f>
        <v>1.8327253136877275E-2</v>
      </c>
      <c r="S28" s="67"/>
      <c r="T28" s="3" t="s">
        <v>49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0</v>
      </c>
      <c r="AC28" s="34" t="str">
        <f>IF(AB28=0,"",(Y28-AB28)/ABS(AB28))</f>
        <v/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62057</v>
      </c>
      <c r="D30" s="34">
        <f t="shared" si="11"/>
        <v>5.7600346027184668E-2</v>
      </c>
      <c r="E30" s="32">
        <v>62209.229439999996</v>
      </c>
      <c r="F30" s="34">
        <f>+E30/$E$20</f>
        <v>6.3125703298148497E-2</v>
      </c>
      <c r="G30" s="34">
        <f>IF(C30=0,"",(E30-C30)/ABS(C30)+1)</f>
        <v>1.0024530583173534</v>
      </c>
      <c r="H30" s="32">
        <v>57074</v>
      </c>
      <c r="I30" s="34">
        <f t="shared" si="12"/>
        <v>5.7702704315682446E-2</v>
      </c>
      <c r="J30" s="34">
        <f>IF(H30=0,"",(E30-H30)/ABS(H30))</f>
        <v>8.9974934996670905E-2</v>
      </c>
      <c r="K30" s="32">
        <v>117601</v>
      </c>
      <c r="L30" s="34">
        <f t="shared" si="5"/>
        <v>5.4845354670606541E-2</v>
      </c>
      <c r="M30" s="32">
        <v>116644.64839</v>
      </c>
      <c r="N30" s="34">
        <f>+M30/$M$20</f>
        <v>6.0412119285342188E-2</v>
      </c>
      <c r="O30" s="34">
        <f>IF(K30=0,"",(M30-K30)/ABS(K30)+1)</f>
        <v>0.99186782756949343</v>
      </c>
      <c r="P30" s="32">
        <v>111289.88234</v>
      </c>
      <c r="Q30" s="34">
        <f t="shared" si="8"/>
        <v>5.6564094756617327E-2</v>
      </c>
      <c r="R30" s="34">
        <f>IF(P30=0,"",(M30-P30)/ABS(P30))</f>
        <v>4.8115479479443987E-2</v>
      </c>
      <c r="S30" s="67"/>
      <c r="T30" s="20" t="s">
        <v>51</v>
      </c>
      <c r="U30" s="69">
        <f>U21-U23-U25-U27-U28</f>
        <v>-98088</v>
      </c>
      <c r="V30" s="69">
        <f>V21-V23-V25-V27-V28</f>
        <v>-84974.668150000201</v>
      </c>
      <c r="W30" s="69">
        <f>W21-W23-W25-W27-W28</f>
        <v>58933.960800000234</v>
      </c>
      <c r="X30" s="69">
        <f>X21-X23-X25-X27-X28</f>
        <v>0</v>
      </c>
      <c r="Y30" s="69">
        <f>Y21-Y23-Y25-Y27-Y28</f>
        <v>-84975.021350000112</v>
      </c>
      <c r="Z30" s="71">
        <f>+Y30-X30</f>
        <v>-84975.021350000112</v>
      </c>
      <c r="AA30" s="72">
        <f>IF(U30=0,"",(V30-U30)/ABS(U30)+1)</f>
        <v>1.1336894609942072</v>
      </c>
      <c r="AB30" s="69">
        <f>AB21-AB23-AB25-AB27-AB28</f>
        <v>58934.228549999505</v>
      </c>
      <c r="AC30" s="34">
        <f>IF(AB30=0,"",(Y30-AB30)/ABS(AB30))</f>
        <v>-2.4418619440807259</v>
      </c>
      <c r="AD30" s="54"/>
      <c r="AE30" s="54"/>
    </row>
    <row r="31" spans="1:35" x14ac:dyDescent="0.2">
      <c r="B31" s="3" t="s">
        <v>52</v>
      </c>
      <c r="C31" s="32">
        <v>212003</v>
      </c>
      <c r="D31" s="34">
        <f t="shared" si="11"/>
        <v>0.19677790029813286</v>
      </c>
      <c r="E31" s="32">
        <v>204038.55641999998</v>
      </c>
      <c r="F31" s="34">
        <f>+E31/$E$20</f>
        <v>0.2070444769995764</v>
      </c>
      <c r="G31" s="34">
        <f>IF(C31=0,"",(E31-C31)/ABS(C31)+1)</f>
        <v>0.96243240152261988</v>
      </c>
      <c r="H31" s="32">
        <v>187879.82569999999</v>
      </c>
      <c r="I31" s="34">
        <f t="shared" si="12"/>
        <v>0.18994943458052799</v>
      </c>
      <c r="J31" s="34">
        <f>IF(H31=0,"",(E31-H31)/ABS(H31))</f>
        <v>8.6005672295021693E-2</v>
      </c>
      <c r="K31" s="32">
        <v>424847</v>
      </c>
      <c r="L31" s="34">
        <f t="shared" si="5"/>
        <v>0.19813508725047557</v>
      </c>
      <c r="M31" s="32">
        <v>393756.50839999999</v>
      </c>
      <c r="N31" s="34">
        <f>+M31/$M$20</f>
        <v>0.20393276059529852</v>
      </c>
      <c r="O31" s="34">
        <f>IF(K31=0,"",(M31-K31)/ABS(K31)+1)</f>
        <v>0.92681955715822406</v>
      </c>
      <c r="P31" s="32">
        <v>390810.99306999997</v>
      </c>
      <c r="Q31" s="34">
        <f t="shared" si="8"/>
        <v>0.19863324121777662</v>
      </c>
      <c r="R31" s="34">
        <f>IF(P31=0,"",(M31-P31)/ABS(P31))</f>
        <v>7.5369305936397726E-3</v>
      </c>
      <c r="S31" s="67"/>
      <c r="T31" s="54"/>
      <c r="U31" s="58"/>
      <c r="V31" s="58"/>
      <c r="W31" s="54"/>
      <c r="X31" s="58"/>
      <c r="Y31" s="58"/>
      <c r="Z31" s="58"/>
      <c r="AA31" s="58"/>
      <c r="AB31" s="73"/>
      <c r="AC31" s="54"/>
      <c r="AD31" s="54"/>
      <c r="AE31" s="54"/>
    </row>
    <row r="32" spans="1:35" x14ac:dyDescent="0.2">
      <c r="B32" s="3" t="s">
        <v>53</v>
      </c>
      <c r="C32" s="32">
        <f>SUM(C30:C31)</f>
        <v>274060</v>
      </c>
      <c r="D32" s="34">
        <f t="shared" si="11"/>
        <v>0.25437824632531753</v>
      </c>
      <c r="E32" s="32">
        <f>SUM(E30:E31)</f>
        <v>266247.78585999995</v>
      </c>
      <c r="F32" s="34">
        <f>+E32/$E$20</f>
        <v>0.27017018029772488</v>
      </c>
      <c r="G32" s="34">
        <f>IF(C32=0,"",(E32-C32)/ABS(C32)+1)</f>
        <v>0.97149451163978673</v>
      </c>
      <c r="H32" s="32">
        <f>SUM(H30:H31)</f>
        <v>244953.82569999999</v>
      </c>
      <c r="I32" s="34">
        <f t="shared" si="12"/>
        <v>0.24765213889621046</v>
      </c>
      <c r="J32" s="34">
        <f>IF(H32=0,"",(E32-H32)/ABS(H32))</f>
        <v>8.6930506593022608E-2</v>
      </c>
      <c r="K32" s="32">
        <f>SUM(K30:K31)</f>
        <v>542448</v>
      </c>
      <c r="L32" s="34">
        <f t="shared" si="5"/>
        <v>0.2529804419210821</v>
      </c>
      <c r="M32" s="32">
        <f>SUM(M30:M31)</f>
        <v>510401.15678999998</v>
      </c>
      <c r="N32" s="34">
        <f>+M32/$M$20</f>
        <v>0.2643448798806407</v>
      </c>
      <c r="O32" s="34">
        <f>IF(K32=0,"",(M32-K32)/ABS(K32)+1)</f>
        <v>0.94092181516016282</v>
      </c>
      <c r="P32" s="32">
        <f>SUM(P30:P31)</f>
        <v>502100.87540999998</v>
      </c>
      <c r="Q32" s="34">
        <f t="shared" si="8"/>
        <v>0.25519733597439392</v>
      </c>
      <c r="R32" s="34">
        <f>IF(P32=0,"",(M32-P32)/ABS(P32))</f>
        <v>1.6531103183642627E-2</v>
      </c>
      <c r="S32" s="67"/>
      <c r="T32" s="54" t="s">
        <v>82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873155</v>
      </c>
      <c r="D34" s="34">
        <f t="shared" si="11"/>
        <v>0.81044894428294034</v>
      </c>
      <c r="E34" s="32">
        <f>E28+E32</f>
        <v>815854.83971999993</v>
      </c>
      <c r="F34" s="34">
        <f>+E34/$E$20</f>
        <v>0.82787411144829659</v>
      </c>
      <c r="G34" s="34">
        <f>IF(C34=0,"",(E34-C34)/ABS(C34)+1)</f>
        <v>0.93437572907444832</v>
      </c>
      <c r="H34" s="32">
        <f>H28+H32</f>
        <v>833316.98552999995</v>
      </c>
      <c r="I34" s="34">
        <f t="shared" si="12"/>
        <v>0.84249647155050311</v>
      </c>
      <c r="J34" s="34">
        <f>IF(H34=0,"",(E34-H34)/ABS(H34))</f>
        <v>-2.0954986053589048E-2</v>
      </c>
      <c r="K34" s="32">
        <f>K28+K32</f>
        <v>1702759</v>
      </c>
      <c r="L34" s="34">
        <f t="shared" si="5"/>
        <v>0.7941124758596213</v>
      </c>
      <c r="M34" s="32">
        <f>M28+M32</f>
        <v>1595636.4050199999</v>
      </c>
      <c r="N34" s="34">
        <f>+M34/$M$20</f>
        <v>0.82640548166260208</v>
      </c>
      <c r="O34" s="34">
        <f>IF(K34=0,"",(M34-K34)/ABS(K34)+1)</f>
        <v>0.9370888099960123</v>
      </c>
      <c r="P34" s="32">
        <f>P28+P32</f>
        <v>1567804.6998800002</v>
      </c>
      <c r="Q34" s="34">
        <f t="shared" si="8"/>
        <v>0.79685099614853561</v>
      </c>
      <c r="R34" s="34">
        <f>IF(P34=0,"",(M34-P34)/ABS(P34))</f>
        <v>1.7752023030757583E-2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46907</v>
      </c>
      <c r="D36" s="45">
        <f t="shared" si="11"/>
        <v>4.353835072751102E-2</v>
      </c>
      <c r="E36" s="69">
        <f>E24-E34</f>
        <v>61402.733059999999</v>
      </c>
      <c r="F36" s="45">
        <f>+E36/$E$20</f>
        <v>6.2307325516375564E-2</v>
      </c>
      <c r="G36" s="45">
        <f>IF(C36=0,"",(E36-C36)/ABS(C36)+1)</f>
        <v>1.3090313398853048</v>
      </c>
      <c r="H36" s="69">
        <f>H24-H34</f>
        <v>-4565.8178899998311</v>
      </c>
      <c r="I36" s="45">
        <f t="shared" si="12"/>
        <v>-4.6161131104515783E-3</v>
      </c>
      <c r="J36" s="45">
        <f>IF(H36=0,"",(E36-H36)/ABS(H36))</f>
        <v>14.448353512847239</v>
      </c>
      <c r="K36" s="69">
        <f>K24-K34</f>
        <v>172933</v>
      </c>
      <c r="L36" s="45">
        <f t="shared" si="5"/>
        <v>8.0650434258654272E-2</v>
      </c>
      <c r="M36" s="69">
        <f>+M24-M34</f>
        <v>148977.77698000032</v>
      </c>
      <c r="N36" s="45">
        <f>+M36/$M$20</f>
        <v>7.71579610209744E-2</v>
      </c>
      <c r="O36" s="45">
        <f>IF(K36=0,"",(M36-K36)/ABS(K36)+1)</f>
        <v>0.86147685508260607</v>
      </c>
      <c r="P36" s="69">
        <f>P24-P34</f>
        <v>134087.04401999991</v>
      </c>
      <c r="Q36" s="45">
        <f t="shared" si="8"/>
        <v>6.8150959495227675E-2</v>
      </c>
      <c r="R36" s="45">
        <f>IF(P36=0,"",(M36-P36)/ABS(P36))</f>
        <v>0.11105273495162855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1459</v>
      </c>
      <c r="D38" s="34">
        <f t="shared" si="11"/>
        <v>1.3542211975065251E-3</v>
      </c>
      <c r="E38" s="32">
        <v>300.33572999999996</v>
      </c>
      <c r="F38" s="34">
        <f>+E38/$E$20</f>
        <v>3.0476031213500968E-4</v>
      </c>
      <c r="G38" s="34">
        <f>IF(C38=0,"",(E38-C38)/ABS(C38)+1)</f>
        <v>0.20585039753255652</v>
      </c>
      <c r="H38" s="32">
        <v>463.77338000000003</v>
      </c>
      <c r="I38" s="34">
        <f t="shared" si="12"/>
        <v>4.6888212173011595E-4</v>
      </c>
      <c r="J38" s="34">
        <f>IF(H38=0,"",(E38-H38)/ABS(H38))</f>
        <v>-0.35240843275653311</v>
      </c>
      <c r="K38" s="32">
        <v>2918</v>
      </c>
      <c r="L38" s="34">
        <f t="shared" si="5"/>
        <v>1.3608621094108886E-3</v>
      </c>
      <c r="M38" s="32">
        <v>815.27260000000001</v>
      </c>
      <c r="N38" s="34">
        <f>+M38/$M$20</f>
        <v>4.2224265100098232E-4</v>
      </c>
      <c r="O38" s="34">
        <f>IF(K38=0,"",(M38-K38)/ABS(K38)+1)</f>
        <v>0.27939431117203573</v>
      </c>
      <c r="P38" s="32">
        <v>1245.3661100000002</v>
      </c>
      <c r="Q38" s="34">
        <f t="shared" si="8"/>
        <v>6.3296865062279959E-4</v>
      </c>
      <c r="R38" s="34">
        <f>IF(P38=0,"",(M38-P38)/ABS(P38))</f>
        <v>-0.34535507795374332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35525</v>
      </c>
      <c r="D39" s="34">
        <f t="shared" si="11"/>
        <v>3.2973754654845311E-2</v>
      </c>
      <c r="E39" s="32">
        <v>37436.977460000002</v>
      </c>
      <c r="F39" s="34">
        <f>+E39/$E$20</f>
        <v>3.7988503519381212E-2</v>
      </c>
      <c r="G39" s="34">
        <f>IF(C39=0,"",(E39-C39)/ABS(C39)+1)</f>
        <v>1.053820618156228</v>
      </c>
      <c r="H39" s="32">
        <v>25479.211620000002</v>
      </c>
      <c r="I39" s="34">
        <f t="shared" si="12"/>
        <v>2.5759880406236824E-2</v>
      </c>
      <c r="J39" s="34">
        <f>IF(H39=0,"",(E39-H39)/ABS(H39))</f>
        <v>0.4693145933374841</v>
      </c>
      <c r="K39" s="32">
        <v>71944</v>
      </c>
      <c r="L39" s="34">
        <f t="shared" si="5"/>
        <v>3.3552386428874904E-2</v>
      </c>
      <c r="M39" s="32">
        <v>71147.122239999997</v>
      </c>
      <c r="N39" s="34">
        <f>+M39/$M$20</f>
        <v>3.6848226600168517E-2</v>
      </c>
      <c r="O39" s="34">
        <f>IF(K39=0,"",(M39-K39)/ABS(K39)+1)</f>
        <v>0.98892363838541086</v>
      </c>
      <c r="P39" s="32">
        <v>55692.773639999999</v>
      </c>
      <c r="Q39" s="34">
        <f t="shared" si="8"/>
        <v>2.8306358666169113E-2</v>
      </c>
      <c r="R39" s="34">
        <f>IF(P39=0,"",(M39-P39)/ABS(P39))</f>
        <v>0.27749288803422573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12841</v>
      </c>
      <c r="D41" s="34">
        <f t="shared" si="11"/>
        <v>1.1918817270172233E-2</v>
      </c>
      <c r="E41" s="32">
        <f>E36+E38-E39</f>
        <v>24266.091329999996</v>
      </c>
      <c r="F41" s="34">
        <f>+E41/$E$20</f>
        <v>2.4623582309129362E-2</v>
      </c>
      <c r="G41" s="34">
        <f>IF(C41=0,"",(E41-C41)/ABS(C41)+1)</f>
        <v>1.8897353266879522</v>
      </c>
      <c r="H41" s="32">
        <f>H36+H38-H39</f>
        <v>-29581.256129999834</v>
      </c>
      <c r="I41" s="34">
        <f t="shared" si="12"/>
        <v>-2.9907111394958288E-2</v>
      </c>
      <c r="J41" s="34">
        <f>IF(H41=0,"",(E41-H41)/ABS(H41))</f>
        <v>1.8203198411642343</v>
      </c>
      <c r="K41" s="32">
        <f>K36+K38-K39</f>
        <v>103907</v>
      </c>
      <c r="L41" s="34">
        <f t="shared" si="5"/>
        <v>4.8458909939190262E-2</v>
      </c>
      <c r="M41" s="32">
        <f>M36+M38-M39</f>
        <v>78645.927340000315</v>
      </c>
      <c r="N41" s="34">
        <f>+M41/$M$20</f>
        <v>4.0731977071806862E-2</v>
      </c>
      <c r="O41" s="34">
        <f>IF(K41=0,"",(M41-K41)/ABS(K41)+1)</f>
        <v>0.75688767205289653</v>
      </c>
      <c r="P41" s="32">
        <f>P36+P38-P39</f>
        <v>79639.636489999917</v>
      </c>
      <c r="Q41" s="34">
        <f t="shared" si="8"/>
        <v>4.0477569479681369E-2</v>
      </c>
      <c r="R41" s="34">
        <f>IF(P41=0,"",(M41-P41)/ABS(P41))</f>
        <v>-1.2477570137131138E-2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5737.66</v>
      </c>
      <c r="D42" s="34">
        <f t="shared" si="11"/>
        <v>5.3256071254868323E-3</v>
      </c>
      <c r="E42" s="32">
        <v>18535.879000000001</v>
      </c>
      <c r="F42" s="34">
        <f>+E42/$E$20</f>
        <v>1.8808951801161895E-2</v>
      </c>
      <c r="G42" s="34">
        <f>IF(C42=0,"",(E42-C42)/ABS(C42)+1)</f>
        <v>3.2305642021311827</v>
      </c>
      <c r="H42" s="32">
        <v>-3966.2060000000001</v>
      </c>
      <c r="I42" s="34">
        <f t="shared" si="12"/>
        <v>-4.0098961361230267E-3</v>
      </c>
      <c r="J42" s="34">
        <f>IF(H42=0,"",(E42-H42)/ABS(H42))</f>
        <v>5.6734534212292553</v>
      </c>
      <c r="K42" s="32">
        <v>40283.660000000003</v>
      </c>
      <c r="L42" s="34">
        <f t="shared" si="5"/>
        <v>1.8787013887042851E-2</v>
      </c>
      <c r="M42" s="32">
        <v>42205.341999999997</v>
      </c>
      <c r="N42" s="34">
        <f>+M42/$M$20</f>
        <v>2.18588181333251E-2</v>
      </c>
      <c r="O42" s="34">
        <f>IF(K42=0,"",(M42-K42)/ABS(K42)+1)</f>
        <v>1.0477037587945086</v>
      </c>
      <c r="P42" s="32">
        <v>46182.517</v>
      </c>
      <c r="Q42" s="34">
        <f t="shared" si="8"/>
        <v>2.3472684243715687E-2</v>
      </c>
      <c r="R42" s="34">
        <f>IF(P42=0,"",(M42-P42)/ABS(P42))</f>
        <v>-8.6118627964777303E-2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7103.34</v>
      </c>
      <c r="D43" s="45">
        <f t="shared" si="11"/>
        <v>6.5932101446854012E-3</v>
      </c>
      <c r="E43" s="69">
        <f>E41-E42</f>
        <v>5730.2123299999948</v>
      </c>
      <c r="F43" s="45">
        <f>+E43/$E$20</f>
        <v>5.814630507967467E-3</v>
      </c>
      <c r="G43" s="45">
        <f>IF(C43=0,"",(E43-C43)/ABS(C43)+1)</f>
        <v>0.80669267274268086</v>
      </c>
      <c r="H43" s="69">
        <f>+H41-H42</f>
        <v>-25615.050129999836</v>
      </c>
      <c r="I43" s="45">
        <f t="shared" si="12"/>
        <v>-2.5897215258835263E-2</v>
      </c>
      <c r="J43" s="45">
        <f>IF(H43=0,"",(E43-H43)/ABS(H43))</f>
        <v>1.2237049039888033</v>
      </c>
      <c r="K43" s="69">
        <f>+K41-K42</f>
        <v>63623.34</v>
      </c>
      <c r="L43" s="45">
        <f t="shared" si="5"/>
        <v>2.9671896052147415E-2</v>
      </c>
      <c r="M43" s="69">
        <f>+M41-M42</f>
        <v>36440.585340000318</v>
      </c>
      <c r="N43" s="45">
        <f>+M43/$M$20</f>
        <v>1.8873158938481762E-2</v>
      </c>
      <c r="O43" s="45">
        <f>IF(K43=0,"",(M43-K43)/ABS(K43)+1)</f>
        <v>0.57275498802798341</v>
      </c>
      <c r="P43" s="69">
        <f>P41-P42</f>
        <v>33457.119489999917</v>
      </c>
      <c r="Q43" s="45">
        <f t="shared" si="8"/>
        <v>1.7004885235965682E-2</v>
      </c>
      <c r="R43" s="45">
        <f>IF(P43=0,"",(M43-P43)/ABS(P43))</f>
        <v>8.9172824662689096E-2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83</v>
      </c>
      <c r="B45" s="3" t="s">
        <v>84</v>
      </c>
      <c r="C45" s="32">
        <v>95065</v>
      </c>
      <c r="D45" s="34">
        <f t="shared" si="11"/>
        <v>8.8237860274816865E-2</v>
      </c>
      <c r="E45" s="32">
        <v>109746.22527</v>
      </c>
      <c r="F45" s="34">
        <f>+E45/$E$20</f>
        <v>0.11136301987420642</v>
      </c>
      <c r="G45" s="34">
        <f>IF(C45=0,"",(E45-C45)/ABS(C45)+1)</f>
        <v>1.1544335483090515</v>
      </c>
      <c r="H45" s="32">
        <v>22746.711140000167</v>
      </c>
      <c r="I45" s="34">
        <f t="shared" si="12"/>
        <v>2.2997279795803162E-2</v>
      </c>
      <c r="J45" s="34">
        <f>IF(H45=0,"",(E45-H45)/ABS(H45))</f>
        <v>3.8247073871268751</v>
      </c>
      <c r="K45" s="32">
        <v>269740</v>
      </c>
      <c r="L45" s="34">
        <f t="shared" si="5"/>
        <v>0.12579813070339035</v>
      </c>
      <c r="M45" s="32">
        <v>245534.48627000034</v>
      </c>
      <c r="N45" s="34">
        <f>+M45/$M$20</f>
        <v>0.12716621703563843</v>
      </c>
      <c r="O45" s="34">
        <f>IF(K45=0,"",(M45-K45)/ABS(K45)+1)</f>
        <v>0.91026353625713774</v>
      </c>
      <c r="P45" s="32">
        <v>229915.57304999992</v>
      </c>
      <c r="Q45" s="34">
        <f t="shared" si="8"/>
        <v>0.11685668082827959</v>
      </c>
      <c r="R45" s="34">
        <f>IF(P45=0,"",(M45-P45)/ABS(P45))</f>
        <v>6.7933254858746642E-2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445880</v>
      </c>
      <c r="D46" s="34">
        <f t="shared" si="11"/>
        <v>0.4138589085292731</v>
      </c>
      <c r="E46" s="32">
        <v>452720.18199999997</v>
      </c>
      <c r="F46" s="34">
        <f>+E46/$E$20</f>
        <v>0.45938971022907732</v>
      </c>
      <c r="G46" s="34">
        <f>IF(C46=0,"",(E46-C46)/ABS(C46)+1)</f>
        <v>1.0153408585269579</v>
      </c>
      <c r="H46" s="32">
        <v>426267.60499999998</v>
      </c>
      <c r="I46" s="34">
        <f t="shared" si="12"/>
        <v>0.43096319814046885</v>
      </c>
      <c r="J46" s="34">
        <f>IF(H46=0,"",(E46-H46)/ABS(H46))</f>
        <v>6.2056268620271977E-2</v>
      </c>
      <c r="K46" s="32">
        <v>908345</v>
      </c>
      <c r="L46" s="34">
        <f t="shared" si="5"/>
        <v>0.42362312980563177</v>
      </c>
      <c r="M46" s="32">
        <v>889755.41799999995</v>
      </c>
      <c r="N46" s="34">
        <f>+M46/$M$20</f>
        <v>0.46081848750811338</v>
      </c>
      <c r="O46" s="34">
        <f>IF(K46=0,"",(M46-K46)/ABS(K46)+1)</f>
        <v>0.97953466799508992</v>
      </c>
      <c r="P46" s="32">
        <v>822835.63500000001</v>
      </c>
      <c r="Q46" s="34">
        <f t="shared" si="8"/>
        <v>0.41821369426080202</v>
      </c>
      <c r="R46" s="34">
        <f>IF(P46=0,"",(M46-P46)/ABS(P46))</f>
        <v>8.132825093312826E-2</v>
      </c>
      <c r="S46" s="67"/>
      <c r="X46" s="73"/>
      <c r="Y46" s="73"/>
      <c r="Z46" s="73"/>
      <c r="AA46" s="73"/>
    </row>
    <row r="47" spans="1:29" x14ac:dyDescent="0.2">
      <c r="B47" s="3" t="s">
        <v>82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85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333F3-80DB-4413-934C-FED8634E09F3}">
  <sheetPr>
    <tabColor theme="2" tint="-0.249977111117893"/>
  </sheetPr>
  <dimension ref="A1:V48"/>
  <sheetViews>
    <sheetView showGridLines="0" zoomScale="93" zoomScaleNormal="93" workbookViewId="0">
      <selection activeCell="C18" sqref="C18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86</v>
      </c>
      <c r="T3" s="18"/>
    </row>
    <row r="4" spans="1:22" x14ac:dyDescent="0.2">
      <c r="B4" s="3" t="s">
        <v>87</v>
      </c>
    </row>
    <row r="5" spans="1:22" x14ac:dyDescent="0.2">
      <c r="A5" s="78" t="str">
        <f>+Paramet!A3</f>
        <v>202401</v>
      </c>
      <c r="B5" s="3" t="s">
        <v>22</v>
      </c>
    </row>
    <row r="6" spans="1:22" ht="13.5" thickBot="1" x14ac:dyDescent="0.25">
      <c r="A6" s="78" t="str">
        <f>+Paramet!A4</f>
        <v>202402</v>
      </c>
      <c r="B6" s="79" t="str">
        <f>+'COLOMB$ '!B6</f>
        <v>FEBRERO de 2025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202501</v>
      </c>
      <c r="B7" s="3"/>
      <c r="C7" s="54" t="str">
        <f>+'COLOMB$ '!D7:D7</f>
        <v>Ppto 2025</v>
      </c>
      <c r="D7" s="54"/>
      <c r="E7" s="54" t="str">
        <f>+'COLOMB$ '!F7:F7</f>
        <v>Real 2025</v>
      </c>
      <c r="F7" s="54"/>
      <c r="G7" s="51" t="s">
        <v>24</v>
      </c>
      <c r="H7" s="54" t="str">
        <f>+'COLOMB$ '!I7:I7</f>
        <v>Real 2024</v>
      </c>
      <c r="I7" s="54"/>
      <c r="J7" s="51" t="s">
        <v>25</v>
      </c>
      <c r="K7" s="54" t="str">
        <f>+C7</f>
        <v>Ppto 2025</v>
      </c>
      <c r="L7" s="54"/>
      <c r="M7" s="54" t="str">
        <f>+E7</f>
        <v>Real 2025</v>
      </c>
      <c r="N7" s="54"/>
      <c r="O7" s="51" t="s">
        <v>24</v>
      </c>
      <c r="P7" s="2" t="str">
        <f>+H7</f>
        <v>Real 2024</v>
      </c>
      <c r="R7" s="51" t="s">
        <v>25</v>
      </c>
    </row>
    <row r="8" spans="1:22" ht="13.5" thickBot="1" x14ac:dyDescent="0.25">
      <c r="A8" s="78" t="str">
        <f>+Paramet!B4</f>
        <v>202502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88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>
        <f t="shared" ref="I10:I16" si="3">+H10/$H$20</f>
        <v>0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>
        <f t="shared" si="3"/>
        <v>0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>
        <f t="shared" si="3"/>
        <v>0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519</v>
      </c>
      <c r="D13" s="68">
        <f t="shared" si="0"/>
        <v>1</v>
      </c>
      <c r="E13" s="32">
        <v>287.38600000000002</v>
      </c>
      <c r="F13" s="68">
        <f t="shared" si="1"/>
        <v>1</v>
      </c>
      <c r="G13" s="68">
        <f t="shared" si="2"/>
        <v>0.55373025048169566</v>
      </c>
      <c r="H13" s="32">
        <v>378.15499999999997</v>
      </c>
      <c r="I13" s="68">
        <f t="shared" si="3"/>
        <v>1</v>
      </c>
      <c r="J13" s="68">
        <f t="shared" si="4"/>
        <v>-0.24003120413587009</v>
      </c>
      <c r="K13" s="32">
        <v>1038</v>
      </c>
      <c r="L13" s="68">
        <f t="shared" si="5"/>
        <v>1</v>
      </c>
      <c r="M13" s="32">
        <v>651.38599999999997</v>
      </c>
      <c r="N13" s="68">
        <f t="shared" si="6"/>
        <v>1</v>
      </c>
      <c r="O13" s="68">
        <f t="shared" si="7"/>
        <v>0.62753949903660877</v>
      </c>
      <c r="P13" s="32">
        <v>2729.076</v>
      </c>
      <c r="Q13" s="68">
        <f t="shared" si="8"/>
        <v>1</v>
      </c>
      <c r="R13" s="34">
        <f t="shared" si="9"/>
        <v>-0.76131628433946141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>
        <f t="shared" si="3"/>
        <v>0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>
        <f t="shared" si="3"/>
        <v>0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0</v>
      </c>
      <c r="D18" s="68">
        <f t="shared" si="0"/>
        <v>0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0</v>
      </c>
      <c r="L18" s="68">
        <f t="shared" si="5"/>
        <v>0</v>
      </c>
      <c r="M18" s="32">
        <v>3742.7869999999998</v>
      </c>
      <c r="N18" s="68">
        <f t="shared" si="6"/>
        <v>5.7458818580687945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519</v>
      </c>
      <c r="D20" s="72">
        <f>+C20/$C$20</f>
        <v>1</v>
      </c>
      <c r="E20" s="69">
        <f>SUM(E10:E17)</f>
        <v>287.38600000000002</v>
      </c>
      <c r="F20" s="72">
        <f t="shared" si="1"/>
        <v>1</v>
      </c>
      <c r="G20" s="72">
        <f>IF(C20=0,"",(E20-C20)/ABS(C20)+1)</f>
        <v>0.55373025048169566</v>
      </c>
      <c r="H20" s="69">
        <f>SUM(H10:H19)</f>
        <v>378.15499999999997</v>
      </c>
      <c r="I20" s="72">
        <f>+H22/$H$22</f>
        <v>1</v>
      </c>
      <c r="J20" s="68">
        <f t="shared" si="4"/>
        <v>-0.24003120413587009</v>
      </c>
      <c r="K20" s="69">
        <f>SUM(K10:K19)</f>
        <v>1038</v>
      </c>
      <c r="L20" s="72">
        <f t="shared" si="5"/>
        <v>1</v>
      </c>
      <c r="M20" s="69">
        <f>SUM(M10:M17)</f>
        <v>651.38599999999997</v>
      </c>
      <c r="N20" s="68">
        <f t="shared" si="6"/>
        <v>1</v>
      </c>
      <c r="O20" s="72">
        <f>IF(K20=0,"",(M20-K20)/ABS(K20)+1)</f>
        <v>0.62753949903660877</v>
      </c>
      <c r="P20" s="69">
        <f>SUM(P10:P17)</f>
        <v>2729.076</v>
      </c>
      <c r="Q20" s="72">
        <f>+P20/$P$20</f>
        <v>1</v>
      </c>
      <c r="R20" s="34">
        <f t="shared" si="9"/>
        <v>-0.76131628433946141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0</v>
      </c>
      <c r="D22" s="68">
        <f>+C22/$C$20</f>
        <v>0</v>
      </c>
      <c r="E22" s="32">
        <v>727.82354000000009</v>
      </c>
      <c r="F22" s="68">
        <f>IF($E$20=0,0,E22/$E$20)</f>
        <v>2.5325643559533173</v>
      </c>
      <c r="G22" s="68" t="str">
        <f>IF(C22=0,"",(E22-C22)/ABS(C22)+1)</f>
        <v/>
      </c>
      <c r="H22" s="32">
        <v>-218.97398999999999</v>
      </c>
      <c r="I22" s="68">
        <f>+H22/$H$20</f>
        <v>-0.57905882508495199</v>
      </c>
      <c r="J22" s="68" t="str">
        <f t="shared" si="4"/>
        <v/>
      </c>
      <c r="K22" s="32">
        <v>0</v>
      </c>
      <c r="L22" s="68">
        <f>+K22/$K$20</f>
        <v>0</v>
      </c>
      <c r="M22" s="32">
        <v>1524.4576000000002</v>
      </c>
      <c r="N22" s="68">
        <f>IF($M$20=0,0,M22/$M$20)</f>
        <v>2.3403290829093661</v>
      </c>
      <c r="O22" s="68" t="str">
        <f>IF(K22=0,"",(M22-K22)/ABS(K22)+1)</f>
        <v/>
      </c>
      <c r="P22" s="63">
        <v>1749.1265900000001</v>
      </c>
      <c r="Q22" s="68"/>
      <c r="R22" s="34">
        <f t="shared" si="9"/>
        <v>-0.12844638649052834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519</v>
      </c>
      <c r="D24" s="68">
        <f>+C24/$C$20</f>
        <v>1</v>
      </c>
      <c r="E24" s="32">
        <f>+E20-E22</f>
        <v>-440.43754000000007</v>
      </c>
      <c r="F24" s="68">
        <f>IF($E$20=0,0,E24/$E$20)</f>
        <v>-1.5325643559533173</v>
      </c>
      <c r="G24" s="68">
        <f>IF(C24=0,"",(E24-C24)/ABS(C24)+1)</f>
        <v>-0.84862724470134898</v>
      </c>
      <c r="H24" s="32">
        <f>+H20-H22</f>
        <v>597.12898999999993</v>
      </c>
      <c r="I24" s="68">
        <f>+H24/$H$20</f>
        <v>1.5790588250849518</v>
      </c>
      <c r="J24" s="68">
        <f t="shared" si="4"/>
        <v>-1.7375919564715827</v>
      </c>
      <c r="K24" s="32">
        <f>+K20-K22</f>
        <v>1038</v>
      </c>
      <c r="L24" s="68">
        <f>+K24/$K$20</f>
        <v>1</v>
      </c>
      <c r="M24" s="32">
        <f>+M20-M22</f>
        <v>-873.07160000000022</v>
      </c>
      <c r="N24" s="68">
        <f>IF($M$20=0,0,M24/$M$20)</f>
        <v>-1.3403290829093659</v>
      </c>
      <c r="O24" s="68">
        <f>IF(K24=0,"",(M24-K24)/ABS(K24)+1)</f>
        <v>-0.8411094412331408</v>
      </c>
      <c r="P24" s="32">
        <f>+P20-P22</f>
        <v>979.94940999999994</v>
      </c>
      <c r="Q24" s="68">
        <f>+P24/$P$20</f>
        <v>0.35907736171510063</v>
      </c>
      <c r="R24" s="34">
        <f t="shared" si="9"/>
        <v>-1.8909353800213016</v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2</v>
      </c>
      <c r="D26" s="68">
        <f>+C26/$C$20</f>
        <v>3.8535645472061657E-3</v>
      </c>
      <c r="E26" s="32">
        <v>289.47399999999999</v>
      </c>
      <c r="F26" s="68">
        <f>IF($E$20=0,0,E26/$E$20)</f>
        <v>1.007265489620232</v>
      </c>
      <c r="G26" s="68">
        <f>IF(C26=0,"",(E26-C26)/ABS(C26)+1)</f>
        <v>144.73699999999999</v>
      </c>
      <c r="H26" s="32">
        <v>347.54199999999997</v>
      </c>
      <c r="I26" s="68">
        <f>+H26/$H$20</f>
        <v>0.91904642276315263</v>
      </c>
      <c r="J26" s="68">
        <f t="shared" si="4"/>
        <v>-0.16708196419425561</v>
      </c>
      <c r="K26" s="32">
        <v>4</v>
      </c>
      <c r="L26" s="68">
        <f>+K26/$K$20</f>
        <v>3.8535645472061657E-3</v>
      </c>
      <c r="M26" s="32">
        <v>578.95779000000005</v>
      </c>
      <c r="N26" s="68">
        <f>IF($M$20=0,0,M26/$M$20)</f>
        <v>0.88880907787394892</v>
      </c>
      <c r="O26" s="68">
        <f>IF(K26=0,"",(M26-K26)/ABS(K26)+1)</f>
        <v>144.73944750000001</v>
      </c>
      <c r="P26" s="32">
        <v>637.02635999999995</v>
      </c>
      <c r="Q26" s="68">
        <f>+P26/$P$20</f>
        <v>0.23342199337797845</v>
      </c>
      <c r="R26" s="34">
        <f t="shared" si="9"/>
        <v>-9.1155678392963069E-2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>
        <f>+H27/$H$20</f>
        <v>0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2</v>
      </c>
      <c r="D28" s="68">
        <f>+C28/$C$20</f>
        <v>3.8535645472061657E-3</v>
      </c>
      <c r="E28" s="32">
        <f>SUM(E26:E27)</f>
        <v>289.47399999999999</v>
      </c>
      <c r="F28" s="68">
        <f>IF($E$20=0,0,E28/$E$20)</f>
        <v>1.007265489620232</v>
      </c>
      <c r="G28" s="68">
        <f>IF(C28=0,"",(E28-C28)/ABS(C28)+1)</f>
        <v>144.73699999999999</v>
      </c>
      <c r="H28" s="32">
        <f>SUM(H26:H27)</f>
        <v>347.54199999999997</v>
      </c>
      <c r="I28" s="68">
        <f>+H28/$H$20</f>
        <v>0.91904642276315263</v>
      </c>
      <c r="J28" s="68">
        <f t="shared" si="4"/>
        <v>-0.16708196419425561</v>
      </c>
      <c r="K28" s="32">
        <f>SUM(K26:K27)</f>
        <v>4</v>
      </c>
      <c r="L28" s="68">
        <f>+K28/$K$20</f>
        <v>3.8535645472061657E-3</v>
      </c>
      <c r="M28" s="32">
        <f>SUM(M26:M27)</f>
        <v>578.95779000000005</v>
      </c>
      <c r="N28" s="68">
        <f>IF($M$20=0,0,M28/$M$20)</f>
        <v>0.88880907787394892</v>
      </c>
      <c r="O28" s="68">
        <f>IF(K28=0,"",(M28-K28)/ABS(K28)+1)</f>
        <v>144.73944750000001</v>
      </c>
      <c r="P28" s="32">
        <f>SUM(P26:P27)</f>
        <v>637.02635999999995</v>
      </c>
      <c r="Q28" s="68">
        <f>+P28/$P$20</f>
        <v>0.23342199337797845</v>
      </c>
      <c r="R28" s="34">
        <f t="shared" si="9"/>
        <v>-9.1155678392963069E-2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4.2060000000000004</v>
      </c>
      <c r="F30" s="68">
        <f>IF($E$20=0,0,E30/$E$20)</f>
        <v>1.463536845914554E-2</v>
      </c>
      <c r="G30" s="68" t="str">
        <f>IF(C30=0,"",(E30-C30)/ABS(C30)+1)</f>
        <v/>
      </c>
      <c r="H30" s="32">
        <v>4.2030000000000003</v>
      </c>
      <c r="I30" s="68"/>
      <c r="J30" s="68">
        <f t="shared" si="4"/>
        <v>7.1377587437547311E-4</v>
      </c>
      <c r="K30" s="32">
        <v>0</v>
      </c>
      <c r="L30" s="68">
        <f>+K30/$K$20</f>
        <v>0</v>
      </c>
      <c r="M30" s="32">
        <v>8.4105300000000014</v>
      </c>
      <c r="N30" s="68">
        <f>IF($M$20=0,0,M30/$M$20)</f>
        <v>1.2911745109658484E-2</v>
      </c>
      <c r="O30" s="68" t="str">
        <f>IF(K30=0,"",(M30-K30)/ABS(K30)+1)</f>
        <v/>
      </c>
      <c r="P30" s="32">
        <v>8.4074400000000011</v>
      </c>
      <c r="Q30" s="68">
        <f>+P30/$P$20</f>
        <v>3.0806910470796713E-3</v>
      </c>
      <c r="R30" s="34">
        <f t="shared" si="9"/>
        <v>3.6753161485544454E-4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0.89535725644870279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4.2060000000000004</v>
      </c>
      <c r="F32" s="68">
        <f>IF($E$20=0,0,E32/$E$20)</f>
        <v>1.463536845914554E-2</v>
      </c>
      <c r="G32" s="68" t="str">
        <f>IF(C32=0,"",(E32-C32)/ABS(C32)+1)</f>
        <v/>
      </c>
      <c r="H32" s="32">
        <f>SUM(H30:H31)</f>
        <v>4.2030000000000003</v>
      </c>
      <c r="I32" s="68">
        <f>+H32/$H$20</f>
        <v>1.1114490090042445E-2</v>
      </c>
      <c r="J32" s="68">
        <f>IF(H32&lt;=0,"",(E32-H32)/ABS(H32))</f>
        <v>7.1377587437547311E-4</v>
      </c>
      <c r="K32" s="32">
        <f>SUM(K30:K31)</f>
        <v>0</v>
      </c>
      <c r="L32" s="68">
        <f>+K32/$K$20</f>
        <v>0</v>
      </c>
      <c r="M32" s="32">
        <f>SUM(M30:M31)</f>
        <v>8.4105300000000014</v>
      </c>
      <c r="N32" s="68">
        <f>IF($M$20=0,0,M32/$M$20)</f>
        <v>1.2911745109658484E-2</v>
      </c>
      <c r="O32" s="68" t="str">
        <f>IF(K32=0,"",(M32-K32)/ABS(K32)+1)</f>
        <v/>
      </c>
      <c r="P32" s="32">
        <f>+P30+P31</f>
        <v>8.4074400000000011</v>
      </c>
      <c r="Q32" s="68">
        <f>+P32/$P$20</f>
        <v>3.0806910470796713E-3</v>
      </c>
      <c r="R32" s="34">
        <f>IF(P32&lt;=0,"",(M32-P32)/ABS(P32))</f>
        <v>3.6753161485544454E-4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2</v>
      </c>
      <c r="D34" s="68">
        <f>+C34/$C$20</f>
        <v>3.8535645472061657E-3</v>
      </c>
      <c r="E34" s="32">
        <f>E28+E32</f>
        <v>293.68</v>
      </c>
      <c r="F34" s="68">
        <f>IF($E$20=0,0,E34/$E$20)</f>
        <v>1.0219008580793776</v>
      </c>
      <c r="G34" s="68">
        <f>IF(C34=0,"",(E34-C34)/ABS(C34)+1)</f>
        <v>146.84</v>
      </c>
      <c r="H34" s="32">
        <f>+H32+H28</f>
        <v>351.74499999999995</v>
      </c>
      <c r="I34" s="68">
        <f>+H34/$H$20</f>
        <v>0.93016091285319502</v>
      </c>
      <c r="J34" s="68">
        <f>IF(H34&lt;=0,"",(E34-H34)/ABS(H34))</f>
        <v>-0.16507697337559865</v>
      </c>
      <c r="K34" s="32">
        <f>K28+K32</f>
        <v>4</v>
      </c>
      <c r="L34" s="68">
        <f>+K34/$K$20</f>
        <v>3.8535645472061657E-3</v>
      </c>
      <c r="M34" s="32">
        <f>M28+M32</f>
        <v>587.36832000000004</v>
      </c>
      <c r="N34" s="68">
        <f>IF($M$20=0,0,M34/$M$20)</f>
        <v>0.90172082298360734</v>
      </c>
      <c r="O34" s="68">
        <f>IF(K34=0,"",(M34-K34)/ABS(K34)+1)</f>
        <v>146.84208000000001</v>
      </c>
      <c r="P34" s="32">
        <f>P28+P32</f>
        <v>645.43379999999991</v>
      </c>
      <c r="Q34" s="68">
        <f>+P34/$P$20</f>
        <v>0.23650268442505812</v>
      </c>
      <c r="R34" s="34">
        <f>IF(P34&lt;=0,"",(M34-P34)/ABS(P34))</f>
        <v>-8.996349431963413E-2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517</v>
      </c>
      <c r="D36" s="72">
        <f>+C36/$C$20</f>
        <v>0.9961464354527938</v>
      </c>
      <c r="E36" s="69">
        <f>E24-E34</f>
        <v>-734.11754000000008</v>
      </c>
      <c r="F36" s="72">
        <f>IF($E$20=0,0,E36/$E$20)</f>
        <v>-2.5544652140326947</v>
      </c>
      <c r="G36" s="72">
        <f>IF(C36=0,"",(E36-C36)/ABS(C36)+1)</f>
        <v>-1.4199565570599617</v>
      </c>
      <c r="H36" s="69">
        <f>+H24-H34</f>
        <v>245.38398999999998</v>
      </c>
      <c r="I36" s="72">
        <f>+H36/$H$20</f>
        <v>0.64889791223175686</v>
      </c>
      <c r="J36" s="72">
        <f t="shared" si="4"/>
        <v>-3.9917091983058883</v>
      </c>
      <c r="K36" s="69">
        <f>K24-K34</f>
        <v>1034</v>
      </c>
      <c r="L36" s="72">
        <f>+K36/$K$20</f>
        <v>0.9961464354527938</v>
      </c>
      <c r="M36" s="69">
        <f>M24-M34</f>
        <v>-1460.4399200000003</v>
      </c>
      <c r="N36" s="72">
        <f>IF($M$20=0,0,M36/$M$20)</f>
        <v>-2.2420499058929733</v>
      </c>
      <c r="O36" s="72">
        <f>IF(K36=0,"",(M36-K36)/ABS(K36)+1)</f>
        <v>-1.4124177176015476</v>
      </c>
      <c r="P36" s="69">
        <f>P24-P34</f>
        <v>334.51561000000004</v>
      </c>
      <c r="Q36" s="72">
        <f>+P36/$P$20</f>
        <v>0.1225746772900425</v>
      </c>
      <c r="R36" s="45">
        <f t="shared" si="9"/>
        <v>-5.3658348858518146</v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1.0999999999999999E-2</v>
      </c>
      <c r="F38" s="68">
        <f>IF($E$20=0,0,E38/$E$20)</f>
        <v>3.8276046849881339E-5</v>
      </c>
      <c r="G38" s="68" t="str">
        <f>IF(C38=0,"",(E38-C38)/ABS(C38)+1)</f>
        <v/>
      </c>
      <c r="H38" s="32">
        <v>0</v>
      </c>
      <c r="I38" s="68">
        <f>+H38/$H$20</f>
        <v>0</v>
      </c>
      <c r="J38" s="68" t="str">
        <f t="shared" si="4"/>
        <v/>
      </c>
      <c r="K38" s="32"/>
      <c r="L38" s="68">
        <f>+K38/$K$20</f>
        <v>0</v>
      </c>
      <c r="M38" s="32">
        <v>1.0999999999999999E-2</v>
      </c>
      <c r="N38" s="68">
        <f>IF($M$20=0,0,M38/$M$20)</f>
        <v>1.6887068497020199E-5</v>
      </c>
      <c r="O38" s="68" t="str">
        <f>IF(K38=0,"",(M38-K38)/ABS(K38)+1)</f>
        <v/>
      </c>
      <c r="P38" s="32">
        <v>0</v>
      </c>
      <c r="Q38" s="68">
        <f>+P38/$P$20</f>
        <v>0</v>
      </c>
      <c r="R38" s="34" t="str">
        <f t="shared" si="9"/>
        <v/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606.851</v>
      </c>
      <c r="I39" s="68"/>
      <c r="J39" s="68">
        <f t="shared" si="4"/>
        <v>-1</v>
      </c>
      <c r="K39" s="32">
        <v>0</v>
      </c>
      <c r="L39" s="68">
        <f>+K39/$K$20</f>
        <v>0</v>
      </c>
      <c r="M39" s="32">
        <v>1E-3</v>
      </c>
      <c r="N39" s="68">
        <f>IF($M$20=0,0,M39/$M$20)</f>
        <v>1.5351880451836546E-6</v>
      </c>
      <c r="O39" s="68" t="str">
        <f>IF(K39=0,"",(M39-K39)/ABS(K39)+1)</f>
        <v/>
      </c>
      <c r="P39" s="32">
        <v>2443.498</v>
      </c>
      <c r="Q39" s="68">
        <f>+P39/$P$20</f>
        <v>0.89535725644870279</v>
      </c>
      <c r="R39" s="34">
        <f t="shared" si="9"/>
        <v>-0.99999959075063694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517</v>
      </c>
      <c r="D41" s="68">
        <f>+C41/$C$20</f>
        <v>0.9961464354527938</v>
      </c>
      <c r="E41" s="32">
        <f>+E36-E39</f>
        <v>-734.11754000000008</v>
      </c>
      <c r="F41" s="68">
        <f>IF($E$20=0,0,E41/$E$20)</f>
        <v>-2.5544652140326947</v>
      </c>
      <c r="G41" s="68">
        <f>IF(C41=0,"",(E41-C41)/ABS(C41)+1)</f>
        <v>-1.4199565570599617</v>
      </c>
      <c r="H41" s="32">
        <f>+H36+H38-H39</f>
        <v>-361.46701000000002</v>
      </c>
      <c r="I41" s="68">
        <f>+H41/$H$20</f>
        <v>-0.95586997395247997</v>
      </c>
      <c r="J41" s="68" t="str">
        <f t="shared" si="4"/>
        <v/>
      </c>
      <c r="K41" s="32">
        <f>K36+K38-K39</f>
        <v>1034</v>
      </c>
      <c r="L41" s="68">
        <f>+K41/$K$20</f>
        <v>0.9961464354527938</v>
      </c>
      <c r="M41" s="32">
        <f>M36+M38-M39</f>
        <v>-1460.4299200000003</v>
      </c>
      <c r="N41" s="68">
        <f>IF($M$20=0,0,M41/$M$20)</f>
        <v>-2.2420345540125215</v>
      </c>
      <c r="O41" s="68">
        <f>IF(K41=0,"",(M41-K41)/ABS(K41)+1)</f>
        <v>-1.412408046421664</v>
      </c>
      <c r="P41" s="32">
        <f>+P36-P39</f>
        <v>-2108.9823900000001</v>
      </c>
      <c r="Q41" s="68">
        <f>+P41/$P$20</f>
        <v>-0.77278257915866033</v>
      </c>
      <c r="R41" s="34" t="str">
        <f t="shared" si="9"/>
        <v/>
      </c>
    </row>
    <row r="42" spans="1:21" x14ac:dyDescent="0.2">
      <c r="B42" s="3" t="s">
        <v>44</v>
      </c>
      <c r="C42" s="32">
        <v>194</v>
      </c>
      <c r="D42" s="68">
        <f>+C42/$C$20</f>
        <v>0.37379576107899809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>
        <f>+I41*33%</f>
        <v>-0.31543709140431841</v>
      </c>
      <c r="J42" s="68" t="str">
        <f t="shared" si="4"/>
        <v/>
      </c>
      <c r="K42" s="32">
        <v>388</v>
      </c>
      <c r="L42" s="68">
        <f>+K42/$K$20</f>
        <v>0.37379576107899809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517</v>
      </c>
      <c r="D43" s="72">
        <f>+C43/$C$20</f>
        <v>0.9961464354527938</v>
      </c>
      <c r="E43" s="69">
        <f>E41-E42</f>
        <v>-734.11754000000008</v>
      </c>
      <c r="F43" s="72">
        <f>IF($E$20=0,0,E43/$E$20)</f>
        <v>-2.5544652140326947</v>
      </c>
      <c r="G43" s="72">
        <f>IF(C43=0,"",(E43-C43)/ABS(C43)+1)</f>
        <v>-1.4199565570599617</v>
      </c>
      <c r="H43" s="69">
        <f>+H41-H42</f>
        <v>-361.46701000000002</v>
      </c>
      <c r="I43" s="72">
        <f>+H43/$H$20</f>
        <v>-0.95586997395247997</v>
      </c>
      <c r="J43" s="68" t="str">
        <f t="shared" si="4"/>
        <v/>
      </c>
      <c r="K43" s="69">
        <f>K41-K42</f>
        <v>646</v>
      </c>
      <c r="L43" s="72">
        <f>+K43/$K$20</f>
        <v>0.62235067437379576</v>
      </c>
      <c r="M43" s="69">
        <f>+M41-M42</f>
        <v>-1460.4299200000003</v>
      </c>
      <c r="N43" s="72">
        <f>IF($M$20=0,0,M43/$M$20)</f>
        <v>-2.2420345540125215</v>
      </c>
      <c r="O43" s="72">
        <f>IF(K43=0,"",(M43-K43)/ABS(K43)+1)</f>
        <v>-2.260727430340558</v>
      </c>
      <c r="P43" s="69">
        <f>P41-P42</f>
        <v>-2108.9823900000001</v>
      </c>
      <c r="Q43" s="72">
        <f>+P43/$P$20</f>
        <v>-0.77278257915866033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517</v>
      </c>
      <c r="D45" s="68">
        <f>+C45/$C$20</f>
        <v>0.9961464354527938</v>
      </c>
      <c r="E45" s="32">
        <v>-440.43754000000007</v>
      </c>
      <c r="F45" s="68">
        <f>IF($E$20=0,0,E45/$E$20)</f>
        <v>-1.5325643559533173</v>
      </c>
      <c r="G45" s="68">
        <f>IF(C45=0,"",(E45-C45)/ABS(C45)+1)</f>
        <v>-0.85191013539651861</v>
      </c>
      <c r="H45" s="32">
        <v>-67.770010000000013</v>
      </c>
      <c r="I45" s="68">
        <f>+H45/$H$20</f>
        <v>-0.17921225423437484</v>
      </c>
      <c r="J45" s="68" t="str">
        <f t="shared" si="4"/>
        <v/>
      </c>
      <c r="K45" s="32">
        <v>1034</v>
      </c>
      <c r="L45" s="68">
        <f>+K45/$K$20</f>
        <v>0.9961464354527938</v>
      </c>
      <c r="M45" s="32">
        <v>-873.07160000000033</v>
      </c>
      <c r="N45" s="68">
        <f>IF($M$20=0,0,M45/$M$20)</f>
        <v>-1.3403290829093661</v>
      </c>
      <c r="O45" s="68">
        <f>IF(K45=0,"",(M45-K45)/ABS(K45)+1)</f>
        <v>-0.84436324951644126</v>
      </c>
      <c r="P45" s="32">
        <v>921.90141000000006</v>
      </c>
      <c r="Q45" s="68">
        <f>+P45/$P$20</f>
        <v>0.33780715890653101</v>
      </c>
      <c r="R45" s="34">
        <f t="shared" si="9"/>
        <v>-1.9470335878974308</v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>
        <f>+H46/$H$20</f>
        <v>0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AE083-0768-4A3C-9BC4-110D5B2FAEB2}">
  <sheetPr>
    <tabColor theme="2" tint="-9.9978637043366805E-2"/>
  </sheetPr>
  <dimension ref="A3:AJ48"/>
  <sheetViews>
    <sheetView showGridLines="0" topLeftCell="X8" zoomScale="91" zoomScaleNormal="91" workbookViewId="0">
      <selection activeCell="AK10" sqref="AK10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90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91</v>
      </c>
      <c r="V5" s="19" t="s">
        <v>91</v>
      </c>
      <c r="AI5" s="83">
        <f>+Paramet!G3-Paramet!G4</f>
        <v>186.54999999999973</v>
      </c>
      <c r="AJ5" s="84">
        <f>+AI5/Paramet!G4</f>
        <v>4.7425233122158995E-2</v>
      </c>
    </row>
    <row r="6" spans="1:36" ht="13.5" thickBot="1" x14ac:dyDescent="0.25">
      <c r="B6" s="42" t="str">
        <f>+'COLOMB$ '!B6</f>
        <v>FEBRERO de 2025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FEBRERO de 2025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2025</v>
      </c>
      <c r="D7" s="22"/>
      <c r="E7" s="22" t="str">
        <f>+'COLOMB$ '!F7:F7</f>
        <v>Real 2025</v>
      </c>
      <c r="F7" s="22"/>
      <c r="G7" s="22" t="s">
        <v>24</v>
      </c>
      <c r="H7" s="22" t="str">
        <f>+'COLOMB$ '!I7:I7</f>
        <v>Real 2024</v>
      </c>
      <c r="I7" s="22"/>
      <c r="J7" s="22" t="s">
        <v>25</v>
      </c>
      <c r="K7" s="22" t="str">
        <f>+C7</f>
        <v>Ppto 2025</v>
      </c>
      <c r="L7" s="22"/>
      <c r="M7" s="22" t="str">
        <f>+E7</f>
        <v>Real 2025</v>
      </c>
      <c r="N7" s="22"/>
      <c r="O7" s="22" t="s">
        <v>24</v>
      </c>
      <c r="P7" s="22" t="str">
        <f>+H7</f>
        <v>Real 2024</v>
      </c>
      <c r="Q7" s="22"/>
      <c r="R7" s="22" t="s">
        <v>25</v>
      </c>
      <c r="T7" s="10"/>
      <c r="W7" s="15" t="str">
        <f>+C7</f>
        <v>Ppto 2025</v>
      </c>
      <c r="X7" s="15" t="str">
        <f>+M7</f>
        <v>Real 2025</v>
      </c>
      <c r="Y7" s="15" t="str">
        <f>+H7</f>
        <v>Real 2024</v>
      </c>
      <c r="Z7" s="15" t="str">
        <f>+W7</f>
        <v>Ppto 2025</v>
      </c>
      <c r="AA7" s="15" t="str">
        <f>+X7</f>
        <v>Real 2025</v>
      </c>
      <c r="AB7" s="15" t="s">
        <v>26</v>
      </c>
      <c r="AC7" s="15" t="s">
        <v>24</v>
      </c>
      <c r="AD7" s="15" t="str">
        <f>+Y7</f>
        <v>Real 2024</v>
      </c>
      <c r="AE7" s="15" t="s">
        <v>25</v>
      </c>
      <c r="AI7" s="13" t="s">
        <v>92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93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94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85984.144806233206</v>
      </c>
      <c r="D10" s="33">
        <f t="shared" ref="D10:D15" si="0">+C10/$C$20</f>
        <v>0.37067814012614286</v>
      </c>
      <c r="E10" s="35">
        <f>+'COL. CONS.$'!E10/Paramet!$G$3*1000</f>
        <v>105197.42312705245</v>
      </c>
      <c r="F10" s="33">
        <f t="shared" ref="F10:F18" si="1">+E10/$E$20</f>
        <v>0.45945422548161485</v>
      </c>
      <c r="G10" s="33">
        <f t="shared" ref="G10:G18" si="2">IF(C10=0,"",(E10-C10)/ABS(C10)+1)</f>
        <v>1.223451409141961</v>
      </c>
      <c r="H10" s="35">
        <f>+'COL. CONS.$'!H10/Paramet!$G$4*1000</f>
        <v>96075.992230956195</v>
      </c>
      <c r="I10" s="33">
        <f t="shared" ref="I10:I18" si="3">+H10/$H$20</f>
        <v>0.37444812633601826</v>
      </c>
      <c r="J10" s="34">
        <f t="shared" ref="J10:J18" si="4">IF(H10=0,"",(E10-H10)/ABS(H10))</f>
        <v>9.4939752213740639E-2</v>
      </c>
      <c r="K10" s="35">
        <f>+'COL. CONS.$'!K10/Paramet!$G$5*1000</f>
        <v>185566.55665566557</v>
      </c>
      <c r="L10" s="33">
        <f t="shared" ref="L10:L18" si="5">+K10/$K$20</f>
        <v>0.40220547386223404</v>
      </c>
      <c r="M10" s="35">
        <f>+'COL. CONS.$'!M10/Paramet!$G$3*1000</f>
        <v>214504.10547291217</v>
      </c>
      <c r="N10" s="33">
        <f t="shared" ref="N10:N18" si="6">+M10/$M$20</f>
        <v>0.4753452065502331</v>
      </c>
      <c r="O10" s="33">
        <f t="shared" ref="O10:O18" si="7">IF(K10=0,"",(M10-K10)/ABS(K10)+1)</f>
        <v>1.1559416165216811</v>
      </c>
      <c r="P10" s="35">
        <f>+'COL. CONS.$'!P10/Paramet!$G$4*1000</f>
        <v>205674.33495357897</v>
      </c>
      <c r="Q10" s="33">
        <f t="shared" ref="Q10:Q18" si="8">+P10/$P$20</f>
        <v>0.49924027922842906</v>
      </c>
      <c r="R10" s="34">
        <f t="shared" ref="R10:R18" si="9">IF(P10=0,"",(M10-P10)/ABS(P10))</f>
        <v>4.2930832966233179E-2</v>
      </c>
      <c r="T10" s="37"/>
      <c r="U10" s="36" t="s">
        <v>95</v>
      </c>
      <c r="V10" s="19" t="s">
        <v>31</v>
      </c>
      <c r="W10" s="35">
        <f>+'COL. CONS.$'!U10/Paramet!G5*1000</f>
        <v>-22248.987785376477</v>
      </c>
      <c r="X10" s="35">
        <f>'COLOMB$ '!V10/Paramet!$G$3*1000</f>
        <v>-23807.234433061294</v>
      </c>
      <c r="Y10" s="35">
        <f>'COLOMB$ '!W10/Paramet!$G$4*1000</f>
        <v>10286.408472223689</v>
      </c>
      <c r="Z10" s="35">
        <f>'COLOMB$ '!X10/Paramet!$G$5*1000</f>
        <v>0</v>
      </c>
      <c r="AA10" s="35">
        <f>+'COL. CONS.$'!Y10/Paramet!G3*1000</f>
        <v>30371.276495045036</v>
      </c>
      <c r="AB10" s="36">
        <f>+AA10-Z10</f>
        <v>30371.276495045036</v>
      </c>
      <c r="AC10" s="37" t="str">
        <f>IF(Z10=0,"",(AA10-Z10)/ABS(Z10)+1)</f>
        <v/>
      </c>
      <c r="AD10" s="35">
        <f>'COLOMB$ '!AB10/Paramet!$G$4*1000</f>
        <v>11630.939911937279</v>
      </c>
      <c r="AE10" s="34">
        <f>IF(Y10=0,"",(AA10-AD10)/ABS(AD10))</f>
        <v>1.6112486802441333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18939.811506923888</v>
      </c>
      <c r="D11" s="33">
        <f t="shared" si="0"/>
        <v>8.1649635750256688E-2</v>
      </c>
      <c r="E11" s="35">
        <f>+'COL. CONS.$'!E11/Paramet!$G$3*1000</f>
        <v>7498.2818419896566</v>
      </c>
      <c r="F11" s="33">
        <f t="shared" si="1"/>
        <v>3.2749065269339961E-2</v>
      </c>
      <c r="G11" s="33">
        <f t="shared" si="2"/>
        <v>0.39590055261365653</v>
      </c>
      <c r="H11" s="35">
        <f>+'COL. CONS.$'!H11/Paramet!$G$4*1000</f>
        <v>2315.7734977984319</v>
      </c>
      <c r="I11" s="33">
        <f t="shared" si="3"/>
        <v>9.0255330924371557E-3</v>
      </c>
      <c r="J11" s="34">
        <f t="shared" si="4"/>
        <v>2.2379167691132795</v>
      </c>
      <c r="K11" s="35">
        <f>+'COL. CONS.$'!K11/Paramet!$G$5*1000</f>
        <v>30992.253864561717</v>
      </c>
      <c r="L11" s="33">
        <f t="shared" si="5"/>
        <v>6.7174033814643833E-2</v>
      </c>
      <c r="M11" s="35">
        <f>+'COL. CONS.$'!M11/Paramet!$G$3*1000</f>
        <v>12160.037960151551</v>
      </c>
      <c r="N11" s="33">
        <f t="shared" si="6"/>
        <v>2.6946877045002978E-2</v>
      </c>
      <c r="O11" s="33">
        <f t="shared" si="7"/>
        <v>0.392357329456959</v>
      </c>
      <c r="P11" s="35">
        <f>+'COL. CONS.$'!P11/Paramet!$G$4*1000</f>
        <v>12810.680401468391</v>
      </c>
      <c r="Q11" s="33">
        <f t="shared" si="8"/>
        <v>3.1095798424138541E-2</v>
      </c>
      <c r="R11" s="34">
        <f t="shared" si="9"/>
        <v>-5.0789062011277905E-2</v>
      </c>
      <c r="T11" s="37">
        <f>+E22/C22</f>
        <v>0.74109817766709152</v>
      </c>
      <c r="U11" s="36" t="s">
        <v>96</v>
      </c>
      <c r="V11" s="19" t="s">
        <v>32</v>
      </c>
      <c r="W11" s="35">
        <f>'COLOMB$ '!U11/Paramet!$G$5*1000</f>
        <v>0</v>
      </c>
      <c r="X11" s="35">
        <f>'COLOMB$ '!V11/Paramet!$G$3*1000</f>
        <v>240017.14162971376</v>
      </c>
      <c r="Y11" s="35">
        <f>'COLOMB$ '!W11/Paramet!$G$4*1000</f>
        <v>248966.88058145801</v>
      </c>
      <c r="Z11" s="35">
        <f>'COLOMB$ '!X11/Paramet!$G$5*1000</f>
        <v>0</v>
      </c>
      <c r="AA11" s="35">
        <f>'COLOMB$ '!Y11/Paramet!$G$3*1000</f>
        <v>519362.35529633914</v>
      </c>
      <c r="AB11" s="36">
        <f>+AA11-Z11</f>
        <v>519362.35529633914</v>
      </c>
      <c r="AC11" s="37" t="str">
        <f>IF(Z11=0,"",(AA11-Z11)/ABS(Z11)+1)</f>
        <v/>
      </c>
      <c r="AD11" s="35">
        <f>'COLOMB$ '!AB11/Paramet!$G$4*1000</f>
        <v>550700.18365806027</v>
      </c>
      <c r="AE11" s="34">
        <f>IF(AD11=0,"",(AA11-AD11)/ABS(AD11))</f>
        <v>-5.6905425659308215E-2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13542.46764882674</v>
      </c>
      <c r="D12" s="33">
        <f t="shared" si="0"/>
        <v>5.8381655502860216E-2</v>
      </c>
      <c r="E12" s="35">
        <f>+'COL. CONS.$'!E12/Paramet!$G$3*1000</f>
        <v>18577.950831409842</v>
      </c>
      <c r="F12" s="33">
        <f t="shared" si="1"/>
        <v>8.1139991423287025E-2</v>
      </c>
      <c r="G12" s="33">
        <f t="shared" si="2"/>
        <v>1.3718290723049544</v>
      </c>
      <c r="H12" s="35">
        <f>+'COL. CONS.$'!H12/Paramet!$G$4*1000</f>
        <v>17306.554113830731</v>
      </c>
      <c r="I12" s="33">
        <f t="shared" si="3"/>
        <v>6.7450843970246338E-2</v>
      </c>
      <c r="J12" s="34">
        <f t="shared" si="4"/>
        <v>7.3463308132672128E-2</v>
      </c>
      <c r="K12" s="35">
        <f>+'COL. CONS.$'!K12/Paramet!$G$5*1000</f>
        <v>32219.840540755107</v>
      </c>
      <c r="L12" s="33">
        <f t="shared" si="5"/>
        <v>6.9834761532524103E-2</v>
      </c>
      <c r="M12" s="35">
        <f>+'COL. CONS.$'!M12/Paramet!$G$3*1000</f>
        <v>34282.134942999095</v>
      </c>
      <c r="N12" s="33">
        <f t="shared" si="6"/>
        <v>7.5969867707360639E-2</v>
      </c>
      <c r="O12" s="33">
        <f t="shared" si="7"/>
        <v>1.0640069710970599</v>
      </c>
      <c r="P12" s="35">
        <f>+'COL. CONS.$'!P12/Paramet!$G$4*1000</f>
        <v>37825.627929915907</v>
      </c>
      <c r="Q12" s="33">
        <f t="shared" si="8"/>
        <v>9.1815427792602558E-2</v>
      </c>
      <c r="R12" s="34">
        <f t="shared" si="9"/>
        <v>-9.3679687049274304E-2</v>
      </c>
      <c r="T12" s="37">
        <f>+E24/C24</f>
        <v>1.0317677088945907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32498.383859004462</v>
      </c>
      <c r="D13" s="33">
        <f t="shared" si="0"/>
        <v>0.14010071872097005</v>
      </c>
      <c r="E13" s="35">
        <f>+'COL. CONS.$'!E13/Paramet!$G$3*1000</f>
        <v>17701.975432694759</v>
      </c>
      <c r="F13" s="33">
        <f t="shared" si="1"/>
        <v>7.7314131564804531E-2</v>
      </c>
      <c r="G13" s="33">
        <f t="shared" si="2"/>
        <v>0.54470325384472917</v>
      </c>
      <c r="H13" s="35">
        <f>+'COL. CONS.$'!H13/Paramet!$G$4*1000</f>
        <v>52171.025737499869</v>
      </c>
      <c r="I13" s="33">
        <f t="shared" si="3"/>
        <v>0.20333219967662869</v>
      </c>
      <c r="J13" s="34">
        <f t="shared" si="4"/>
        <v>-0.66069336029997194</v>
      </c>
      <c r="K13" s="35">
        <f>+'COL. CONS.$'!K13/Paramet!$G$5*1000</f>
        <v>53221.961371394878</v>
      </c>
      <c r="L13" s="33">
        <f t="shared" si="5"/>
        <v>0.11535572238364233</v>
      </c>
      <c r="M13" s="35">
        <f>+'COL. CONS.$'!M13/Paramet!$G$3*1000</f>
        <v>39649.273684440464</v>
      </c>
      <c r="N13" s="33">
        <f t="shared" si="6"/>
        <v>8.7863549965840199E-2</v>
      </c>
      <c r="O13" s="33">
        <f t="shared" si="7"/>
        <v>0.7449795660058236</v>
      </c>
      <c r="P13" s="35">
        <f>+'COL. CONS.$'!P13/Paramet!$G$4*1000</f>
        <v>77504.126033415014</v>
      </c>
      <c r="Q13" s="33">
        <f t="shared" si="8"/>
        <v>0.18812839011250765</v>
      </c>
      <c r="R13" s="34">
        <f t="shared" si="9"/>
        <v>-0.48842370447031253</v>
      </c>
      <c r="T13" s="37">
        <f>+E26/C26</f>
        <v>0.88099679678933196</v>
      </c>
      <c r="U13" s="36" t="s">
        <v>97</v>
      </c>
      <c r="V13" s="19" t="s">
        <v>33</v>
      </c>
      <c r="W13" s="35">
        <f>'COLOMB$ '!U13/Paramet!$G$5*1000</f>
        <v>0</v>
      </c>
      <c r="X13" s="35">
        <f>'COLOMB$ '!V13/Paramet!$G$3*1000</f>
        <v>51526.928164539298</v>
      </c>
      <c r="Y13" s="35">
        <f>'COLOMB$ '!W13/Paramet!$G$4*1000</f>
        <v>50050.48454834806</v>
      </c>
      <c r="Z13" s="35">
        <f>'COLOMB$ '!X13/Paramet!$G$5*1000</f>
        <v>0</v>
      </c>
      <c r="AA13" s="35">
        <f>'COLOMB$ '!Y13/Paramet!$G$3*1000</f>
        <v>91769.492562091778</v>
      </c>
      <c r="AB13" s="36">
        <f>+Z13-AA13</f>
        <v>-91769.492562091778</v>
      </c>
      <c r="AC13" s="37" t="str">
        <f>IF(Z13=0,"",(AA13-Z13)/ABS(Z13)+1)</f>
        <v/>
      </c>
      <c r="AD13" s="35">
        <f>'COLOMB$ '!AB13/Paramet!$G$4*1000</f>
        <v>83420.936505353937</v>
      </c>
      <c r="AE13" s="34">
        <f>IF(AD13=0,"",(AA13-AD13)/ABS(AD13))</f>
        <v>0.10007746743771011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0</v>
      </c>
      <c r="X14" s="35">
        <f>'COLOMB$ '!V14/Paramet!$G$3*1000</f>
        <v>2765.1140382174267</v>
      </c>
      <c r="Y14" s="35">
        <f>'COLOMB$ '!W14/Paramet!$G$4*1000</f>
        <v>3491.603534711559</v>
      </c>
      <c r="Z14" s="35">
        <f>'COLOMB$ '!X14/Paramet!$G$5*1000</f>
        <v>0</v>
      </c>
      <c r="AA14" s="35">
        <f>'COLOMB$ '!Y14/Paramet!$G$3*1000</f>
        <v>7407.5757686081197</v>
      </c>
      <c r="AB14" s="36">
        <f>+Z14-AA14</f>
        <v>-7407.5757686081197</v>
      </c>
      <c r="AC14" s="37" t="str">
        <f>IF(Z14=0,"",(AA14-Z14)/ABS(Z14)+1)</f>
        <v/>
      </c>
      <c r="AD14" s="35">
        <f>'COLOMB$ '!AB14/Paramet!$G$4*1000</f>
        <v>6468.7395133161817</v>
      </c>
      <c r="AE14" s="34">
        <f>IF(AD14=0,"",(AA14-AD14)/ABS(AD14))</f>
        <v>0.14513434237988757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29077.835618613411</v>
      </c>
      <c r="D15" s="33">
        <f t="shared" si="0"/>
        <v>0.12535471568962989</v>
      </c>
      <c r="E15" s="35">
        <f>+'COL. CONS.$'!E15/Paramet!$G$3*1000</f>
        <v>28457.691420860127</v>
      </c>
      <c r="F15" s="33">
        <f t="shared" si="1"/>
        <v>0.12429017918979549</v>
      </c>
      <c r="G15" s="33">
        <f t="shared" si="2"/>
        <v>0.97867295881691019</v>
      </c>
      <c r="H15" s="35">
        <f>+'COL. CONS.$'!H15/Paramet!$G$4*1000</f>
        <v>34655.928471918574</v>
      </c>
      <c r="I15" s="33">
        <f t="shared" si="3"/>
        <v>0.13506857625316065</v>
      </c>
      <c r="J15" s="34">
        <f t="shared" si="4"/>
        <v>-0.17885069955868677</v>
      </c>
      <c r="K15" s="35">
        <f>+'COL. CONS.$'!K15/Paramet!$G$5*1000</f>
        <v>59249.656924455339</v>
      </c>
      <c r="L15" s="33">
        <f t="shared" si="5"/>
        <v>0.12842042644405441</v>
      </c>
      <c r="M15" s="35">
        <f>+'COL. CONS.$'!M15/Paramet!$G$3*1000</f>
        <v>62277.428029834155</v>
      </c>
      <c r="N15" s="33">
        <f t="shared" si="6"/>
        <v>0.13800797343711974</v>
      </c>
      <c r="O15" s="33">
        <f t="shared" si="7"/>
        <v>1.0511019179273779</v>
      </c>
      <c r="P15" s="35">
        <f>+'COL. CONS.$'!P15/Paramet!$G$4*1000</f>
        <v>72631.938244236779</v>
      </c>
      <c r="Q15" s="33">
        <f t="shared" si="8"/>
        <v>0.17630196367543333</v>
      </c>
      <c r="R15" s="34">
        <f t="shared" si="9"/>
        <v>-0.14256139192628853</v>
      </c>
      <c r="T15" s="37"/>
      <c r="U15" s="89"/>
      <c r="V15" s="19" t="s">
        <v>35</v>
      </c>
      <c r="W15" s="35">
        <f>'COLOMB$ '!U15/Paramet!$G$5*1000</f>
        <v>0</v>
      </c>
      <c r="X15" s="35">
        <f>'COLOMB$ '!V15/Paramet!$G$3*1000</f>
        <v>137383.0060362466</v>
      </c>
      <c r="Y15" s="35">
        <f>'COLOMB$ '!W15/Paramet!$G$4*1000</f>
        <v>141948.46856282855</v>
      </c>
      <c r="Z15" s="35">
        <f>'COLOMB$ '!X15/Paramet!$G$5*1000</f>
        <v>0</v>
      </c>
      <c r="AA15" s="35">
        <f>'COLOMB$ '!Y15/Paramet!$G$3*1000</f>
        <v>263407.86775110371</v>
      </c>
      <c r="AB15" s="36">
        <f>+Z15-AA15</f>
        <v>-263407.86775110371</v>
      </c>
      <c r="AC15" s="37" t="str">
        <f>IF(Z15=0,"",(AA15-Z15)/ABS(Z15)+1)</f>
        <v/>
      </c>
      <c r="AD15" s="35">
        <f>'COLOMB$ '!AB15/Paramet!$G$4*1000</f>
        <v>250537.45512970441</v>
      </c>
      <c r="AE15" s="34">
        <f>IF(AD15=0,"",(AA15-AD15)/ABS(AD15))</f>
        <v>5.1371211600821233E-2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0</v>
      </c>
      <c r="X16" s="35">
        <f>'COLOMB$ '!V16/Paramet!$G$3*1000</f>
        <v>52207.761894706709</v>
      </c>
      <c r="Y16" s="35">
        <f>'COLOMB$ '!W16/Paramet!$G$4*1000</f>
        <v>67850.566563113316</v>
      </c>
      <c r="Z16" s="35">
        <f>'COLOMB$ '!X16/Paramet!$G$5*1000</f>
        <v>0</v>
      </c>
      <c r="AA16" s="35">
        <f>'COLOMB$ '!Y16/Paramet!$G$3*1000</f>
        <v>119097.58680229411</v>
      </c>
      <c r="AB16" s="36">
        <f>+Z16-AA16</f>
        <v>-119097.58680229411</v>
      </c>
      <c r="AC16" s="37" t="str">
        <f>IF(Z16=0,"",(AA16-Z16)/ABS(Z16)+1)</f>
        <v/>
      </c>
      <c r="AD16" s="35">
        <f>'COLOMB$ '!AB16/Paramet!$G$4*1000</f>
        <v>133627.69747760295</v>
      </c>
      <c r="AE16" s="34">
        <f>IF(AD16=0,"",(AA16-AD16)/ABS(AD16))</f>
        <v>-0.10873577072406115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3868.0775294024252</v>
      </c>
      <c r="D17" s="33"/>
      <c r="E17" s="35">
        <f>+'COL. CONS.$'!E17/Paramet!$G$3*1000</f>
        <v>6272.979604913462</v>
      </c>
      <c r="F17" s="33">
        <f t="shared" si="1"/>
        <v>2.7397505567760543E-2</v>
      </c>
      <c r="G17" s="33">
        <f t="shared" si="2"/>
        <v>1.6217305773296036</v>
      </c>
      <c r="H17" s="35">
        <f>+'COL. CONS.$'!H17/Paramet!$G$4*1000</f>
        <v>2756.692665168448</v>
      </c>
      <c r="I17" s="33">
        <f t="shared" si="3"/>
        <v>1.0743978588065804E-2</v>
      </c>
      <c r="J17" s="34">
        <f t="shared" si="4"/>
        <v>1.275545505733825</v>
      </c>
      <c r="K17" s="35">
        <f>+'COL. CONS.$'!K17/Paramet!$G$5*1000</f>
        <v>7564.2203395597298</v>
      </c>
      <c r="L17" s="33">
        <f t="shared" si="5"/>
        <v>1.6395038421262224E-2</v>
      </c>
      <c r="M17" s="35">
        <f>+'COL. CONS.$'!M17/Paramet!$G$3*1000</f>
        <v>9391.5735259495505</v>
      </c>
      <c r="N17" s="33">
        <f t="shared" si="6"/>
        <v>2.081190682892519E-2</v>
      </c>
      <c r="O17" s="33">
        <f t="shared" si="7"/>
        <v>1.2415785242046744</v>
      </c>
      <c r="P17" s="35">
        <f>+'COL. CONS.$'!P17/Paramet!$G$4*1000</f>
        <v>5527.9337292427217</v>
      </c>
      <c r="Q17" s="33">
        <f t="shared" si="8"/>
        <v>1.3418140766888935E-2</v>
      </c>
      <c r="R17" s="34">
        <f t="shared" si="9"/>
        <v>0.69893019452606808</v>
      </c>
      <c r="V17" s="19" t="s">
        <v>37</v>
      </c>
      <c r="W17" s="35">
        <f>'COLOMB$ '!U17/Paramet!$G$5*1000</f>
        <v>0</v>
      </c>
      <c r="X17" s="35">
        <f>'COLOMB$ '!V17/Paramet!$G$3*1000</f>
        <v>243882.81013371004</v>
      </c>
      <c r="Y17" s="35">
        <f>'COLOMB$ '!W17/Paramet!$G$4*1000</f>
        <v>263341.1232090015</v>
      </c>
      <c r="Z17" s="35">
        <f>'COLOMB$ '!X17/Paramet!$G$5*1000</f>
        <v>0</v>
      </c>
      <c r="AA17" s="35">
        <f>'COLOMB$ '!Y17/Paramet!$G$3*1000</f>
        <v>481682.52288409782</v>
      </c>
      <c r="AB17" s="36">
        <f>+AA17-Z17</f>
        <v>481682.52288409782</v>
      </c>
      <c r="AC17" s="37" t="str">
        <f>IF(Z17=0,"",(AA17-Z17)/ABS(Z17)+1)</f>
        <v/>
      </c>
      <c r="AD17" s="35">
        <f>'COLOMB$ '!AB17/Paramet!$G$4*1000</f>
        <v>474054.8286259775</v>
      </c>
      <c r="AE17" s="34">
        <f>IF(AD17=0,"",(AA17-AD17)/ABS(AD17))</f>
        <v>1.6090320776246034E-2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48053.712587753624</v>
      </c>
      <c r="D18" s="33"/>
      <c r="E18" s="35">
        <f>+'COL. CONS.$'!E18/Paramet!$G$3*1000</f>
        <v>45255.4033751526</v>
      </c>
      <c r="F18" s="33">
        <f t="shared" si="1"/>
        <v>0.19765490150339762</v>
      </c>
      <c r="G18" s="33">
        <f t="shared" si="2"/>
        <v>0.94176705478289802</v>
      </c>
      <c r="H18" s="35">
        <f>+'COL. CONS.$'!H18/Paramet!$G$4*1000</f>
        <v>37095.764905073265</v>
      </c>
      <c r="I18" s="33">
        <f t="shared" si="3"/>
        <v>0.14457763423681336</v>
      </c>
      <c r="J18" s="41">
        <f t="shared" si="4"/>
        <v>0.21996145627296157</v>
      </c>
      <c r="K18" s="35">
        <f>+'COL. CONS.$'!K18/Paramet!$G$5*1000</f>
        <v>92558.039309085565</v>
      </c>
      <c r="L18" s="33">
        <f t="shared" si="5"/>
        <v>0.20061454354163905</v>
      </c>
      <c r="M18" s="35">
        <f>+'COL. CONS.$'!M18/Paramet!$G$3*1000</f>
        <v>78995.083626408043</v>
      </c>
      <c r="N18" s="33">
        <f t="shared" si="6"/>
        <v>0.17505461846551801</v>
      </c>
      <c r="O18" s="33">
        <f t="shared" si="7"/>
        <v>0.85346539550837086</v>
      </c>
      <c r="P18" s="35">
        <f>+'COL. CONS.$'!P18/Paramet!$G$4*1000</f>
        <v>71534.000752499007</v>
      </c>
      <c r="Q18" s="33">
        <f t="shared" si="8"/>
        <v>0.17363690281563163</v>
      </c>
      <c r="R18" s="41">
        <f t="shared" si="9"/>
        <v>0.10430121054914417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14202.514007667356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1.0489137101625992</v>
      </c>
      <c r="U19" s="36" t="s">
        <v>98</v>
      </c>
      <c r="V19" s="19" t="s">
        <v>38</v>
      </c>
      <c r="W19" s="35">
        <f>+W11-W17</f>
        <v>0</v>
      </c>
      <c r="X19" s="35">
        <f>+X11-X17</f>
        <v>-3865.6685039962758</v>
      </c>
      <c r="Y19" s="35">
        <f>+Y11-Y17</f>
        <v>-14374.242627543485</v>
      </c>
      <c r="Z19" s="35">
        <f>+Z11-Z17</f>
        <v>0</v>
      </c>
      <c r="AA19" s="35">
        <f>+AA11-AA17</f>
        <v>37679.832412241318</v>
      </c>
      <c r="AB19" s="36">
        <f>+AA19-Z19</f>
        <v>37679.832412241318</v>
      </c>
      <c r="AC19" s="37" t="str">
        <f>IF(Z19=0,"",(AA19-Z19)/ABS(Z19)+1)</f>
        <v/>
      </c>
      <c r="AD19" s="35">
        <f>+AD11-AD17</f>
        <v>76645.355032082764</v>
      </c>
      <c r="AE19" s="34">
        <f>IF(AD19=0,"",(AA19-AD19)/ABS(AD19))</f>
        <v>-0.50838726761107678</v>
      </c>
      <c r="AF19" s="83"/>
    </row>
    <row r="20" spans="2:33" x14ac:dyDescent="0.2">
      <c r="B20" s="42" t="s">
        <v>39</v>
      </c>
      <c r="C20" s="43">
        <f>SUM(C10:C19)</f>
        <v>231964.43355675775</v>
      </c>
      <c r="D20" s="44">
        <f>+C20/$C$20</f>
        <v>1</v>
      </c>
      <c r="E20" s="43">
        <f>SUM(E10:E19)</f>
        <v>228961.70563407289</v>
      </c>
      <c r="F20" s="44">
        <f>+E20/$E$20</f>
        <v>1</v>
      </c>
      <c r="G20" s="44">
        <f>IF(C20=0,"",(E20-C20)/ABS(C20)+1)</f>
        <v>0.98705522274840407</v>
      </c>
      <c r="H20" s="43">
        <f>+'COL. CONS.$'!H20/Paramet!$G$4*1000</f>
        <v>256580.24562991282</v>
      </c>
      <c r="I20" s="44">
        <f>+H20/$H$20</f>
        <v>1</v>
      </c>
      <c r="J20" s="45">
        <f>IF(H20=0,"",(E20-H20)/ABS(H20))</f>
        <v>-0.10764094456311524</v>
      </c>
      <c r="K20" s="43">
        <f>SUM(K10:K19)</f>
        <v>461372.5290054779</v>
      </c>
      <c r="L20" s="44">
        <f>+K20/$K$20</f>
        <v>1</v>
      </c>
      <c r="M20" s="43">
        <f>SUM(M10:M19)</f>
        <v>451259.63724269508</v>
      </c>
      <c r="N20" s="44">
        <f>+M20/$M$20</f>
        <v>1</v>
      </c>
      <c r="O20" s="44">
        <f>IF(K20=0,"",(M20-K20)/ABS(K20)+1)</f>
        <v>0.97808085413194867</v>
      </c>
      <c r="P20" s="43">
        <f>SUM(P10:P17)</f>
        <v>411974.64129185776</v>
      </c>
      <c r="Q20" s="44">
        <f>+P20/$P$20</f>
        <v>1</v>
      </c>
      <c r="R20" s="45">
        <f>IF(P20=0,"",(M20-P20)/ABS(P20))</f>
        <v>9.5357801217202623E-2</v>
      </c>
      <c r="T20" s="37">
        <f>+E28/C28</f>
        <v>0.9821563827291151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1.072729484885784</v>
      </c>
      <c r="U21" s="36"/>
      <c r="V21" s="19" t="s">
        <v>40</v>
      </c>
      <c r="W21" s="35">
        <f>+'COL. CONS.$'!U21/Paramet!G5*1000</f>
        <v>-22248.987785376477</v>
      </c>
      <c r="X21" s="35">
        <f>+X10+X19</f>
        <v>-27672.90293705757</v>
      </c>
      <c r="Y21" s="35">
        <f>'COLOMB$ '!W21/Paramet!$G$4*1000</f>
        <v>-4087.8341553198052</v>
      </c>
      <c r="Z21" s="35">
        <f>'COLOMB$ '!X21/Paramet!$G$5*1000</f>
        <v>0</v>
      </c>
      <c r="AA21" s="35">
        <f>+'COL. CONS.$'!Y21/Paramet!G3*1000</f>
        <v>68051.108907286427</v>
      </c>
      <c r="AB21" s="36">
        <f>+AA21-Z21</f>
        <v>68051.108907286427</v>
      </c>
      <c r="AC21" s="37" t="str">
        <f>IF(Z21=0,"",(AA21-Z21)/ABS(Z21)+1)</f>
        <v/>
      </c>
      <c r="AD21" s="35">
        <f>'COLOMB$ '!AB21/Paramet!$G$4*1000</f>
        <v>88276.294944020046</v>
      </c>
      <c r="AE21" s="34">
        <f>IF(AD21=0,"",(AA21-AD21)/ABS(AD21))</f>
        <v>-0.22911231208286795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35682.124913522282</v>
      </c>
      <c r="D22" s="33">
        <f>+C22/$C$20</f>
        <v>0.15382584461937124</v>
      </c>
      <c r="E22" s="35">
        <f>+'COL. CONS.$'!E22/Paramet!$G$3*1000</f>
        <v>26443.95774870089</v>
      </c>
      <c r="F22" s="33">
        <f>+E22/$E$20</f>
        <v>0.11549511161907434</v>
      </c>
      <c r="G22" s="33">
        <f>IF(C22=0,"",(E22-C22)/ABS(C22)+1)</f>
        <v>0.74109817766709152</v>
      </c>
      <c r="H22" s="35">
        <f>+'COL. CONS.$'!H22/Paramet!$G$4*1000</f>
        <v>40709.759192690588</v>
      </c>
      <c r="I22" s="33">
        <f>+H22/$H$20</f>
        <v>0.15866287403672411</v>
      </c>
      <c r="J22" s="34">
        <f>IF(H22=0,"",(E22-H22)/ABS(H22))</f>
        <v>-0.35042706532518897</v>
      </c>
      <c r="K22" s="35">
        <f>+'COL. CONS.$'!K22/Paramet!$G$5*1000</f>
        <v>60911.390108082975</v>
      </c>
      <c r="L22" s="33">
        <f>+K22/$K$20</f>
        <v>0.13202214323289233</v>
      </c>
      <c r="M22" s="35">
        <f>+'COL. CONS.$'!M22/Paramet!$G$3*1000</f>
        <v>45563.260349845033</v>
      </c>
      <c r="N22" s="33">
        <f>+M22/$M$20</f>
        <v>0.10096905769868432</v>
      </c>
      <c r="O22" s="33">
        <f>IF(K22=0,"",(M22-K22)/ABS(K22)+1)</f>
        <v>0.74802529164079545</v>
      </c>
      <c r="P22" s="35">
        <f>+'COL. CONS.$'!P22/Paramet!$G$4*1000</f>
        <v>67968.415554866326</v>
      </c>
      <c r="Q22" s="33">
        <f>+P22/$P$20</f>
        <v>0.16498203710241244</v>
      </c>
      <c r="R22" s="34">
        <f>IF(P22=0,"",(M22-P22)/ABS(P22))</f>
        <v>-0.3296406871061327</v>
      </c>
      <c r="T22" s="37">
        <f>+E32/C32</f>
        <v>1.0298335740969775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1.0395467447013012</v>
      </c>
      <c r="U23" s="89">
        <v>2101</v>
      </c>
      <c r="V23" s="19" t="s">
        <v>42</v>
      </c>
      <c r="W23" s="35">
        <f>'COLOMB$ '!U23/Paramet!$G$5*1000</f>
        <v>0</v>
      </c>
      <c r="X23" s="35">
        <f>'COLOMB$ '!V23/Paramet!$G$3*1000</f>
        <v>1389.5092606750791</v>
      </c>
      <c r="Y23" s="35">
        <f>'COLOMB$ '!W23/Paramet!$G$4*1000</f>
        <v>15902.69587854259</v>
      </c>
      <c r="Z23" s="35">
        <f>'COLOMB$ '!X23/Paramet!$G$5*1000</f>
        <v>0</v>
      </c>
      <c r="AA23" s="35">
        <f>'COLOMB$ '!Y23/Paramet!$G$3*1000</f>
        <v>1389.5092606750791</v>
      </c>
      <c r="AB23" s="36">
        <f>+AA23-Z23</f>
        <v>1389.5092606750791</v>
      </c>
      <c r="AC23" s="37" t="str">
        <f>IF(Z23=0,"",(AA23-Z23)/ABS(Z23)+1)</f>
        <v/>
      </c>
      <c r="AD23" s="35">
        <f>'COLOMB$ '!AB23/Paramet!$G$4*1000</f>
        <v>24733.831732578125</v>
      </c>
      <c r="AE23" s="34">
        <f>IF(AD23=0,"",(AA23-AD23)/ABS(AD23))</f>
        <v>-0.94382151234396527</v>
      </c>
      <c r="AF23" s="83"/>
    </row>
    <row r="24" spans="2:33" x14ac:dyDescent="0.2">
      <c r="B24" s="19" t="s">
        <v>43</v>
      </c>
      <c r="C24" s="35">
        <f>C20-C22</f>
        <v>196282.30864323548</v>
      </c>
      <c r="D24" s="33">
        <f>+C24/$C$20</f>
        <v>0.84617415538062879</v>
      </c>
      <c r="E24" s="35">
        <f>E20-E22</f>
        <v>202517.74788537199</v>
      </c>
      <c r="F24" s="33">
        <f>+E24/$E$20</f>
        <v>0.88450488838092567</v>
      </c>
      <c r="G24" s="33">
        <f>IF(C24=0,"",(E24-C24)/ABS(C24)+1)</f>
        <v>1.0317677088945907</v>
      </c>
      <c r="H24" s="35">
        <f>+'COL. CONS.$'!H24/Paramet!$G$4*1000</f>
        <v>215870.48643722225</v>
      </c>
      <c r="I24" s="33">
        <f>+H24/$H$20</f>
        <v>0.84133712596327592</v>
      </c>
      <c r="J24" s="34">
        <f>IF(H24=0,"",(E24-H24)/ABS(H24))</f>
        <v>-6.1855322477041778E-2</v>
      </c>
      <c r="K24" s="35">
        <f>K20-K22</f>
        <v>400461.13889739494</v>
      </c>
      <c r="L24" s="33">
        <f>+K24/$K$20</f>
        <v>0.8679778567671077</v>
      </c>
      <c r="M24" s="35">
        <f>M20-M22</f>
        <v>405696.37689285004</v>
      </c>
      <c r="N24" s="33">
        <f>+M24/$M$20</f>
        <v>0.89903094230131564</v>
      </c>
      <c r="O24" s="33">
        <f>IF(K24=0,"",(M24-K24)/ABS(K24)+1)</f>
        <v>1.0130730237891983</v>
      </c>
      <c r="P24" s="35">
        <f>P20-P22</f>
        <v>344006.22573699144</v>
      </c>
      <c r="Q24" s="33">
        <f>+P24/$P$20</f>
        <v>0.83501796289758756</v>
      </c>
      <c r="R24" s="34">
        <f>IF(P24=0,"",(M24-P24)/ABS(P24))</f>
        <v>0.17932858925356643</v>
      </c>
      <c r="T24" s="37">
        <f>+E34/C34</f>
        <v>1.0001696410573395</v>
      </c>
      <c r="U24" s="36" t="s">
        <v>99</v>
      </c>
      <c r="AE24" s="34"/>
      <c r="AF24" s="83"/>
    </row>
    <row r="25" spans="2:33" x14ac:dyDescent="0.2">
      <c r="J25" s="34"/>
      <c r="R25" s="34"/>
      <c r="T25" s="37">
        <f>+E36/C36</f>
        <v>-2.4977287883000847</v>
      </c>
      <c r="U25" s="89" t="s">
        <v>100</v>
      </c>
      <c r="V25" s="19" t="s">
        <v>44</v>
      </c>
      <c r="W25" s="35">
        <f>'COLOMB$ '!U25/Paramet!$G$5*1000</f>
        <v>0</v>
      </c>
      <c r="X25" s="35">
        <f>'COLOMB$ '!V25/Paramet!$G$3*1000</f>
        <v>13801.962403916403</v>
      </c>
      <c r="Y25" s="35">
        <f>'COLOMB$ '!W25/Paramet!$G$4*1000</f>
        <v>14556.55687977303</v>
      </c>
      <c r="Z25" s="35">
        <f>'COLOMB$ '!X25/Paramet!$G$5*1000</f>
        <v>0</v>
      </c>
      <c r="AA25" s="35">
        <f>'COLOMB$ '!Y25/Paramet!$G$3*1000</f>
        <v>87803.273376196274</v>
      </c>
      <c r="AB25" s="36">
        <f>+AA25-Z25</f>
        <v>87803.273376196274</v>
      </c>
      <c r="AC25" s="37" t="str">
        <f>IF(Z25=0,"",(AA25-Z25)/ABS(Z25)+1)</f>
        <v/>
      </c>
      <c r="AD25" s="35">
        <f>'COLOMB$ '!AB25/Paramet!$G$4*1000</f>
        <v>95536.069880718744</v>
      </c>
      <c r="AE25" s="34">
        <f>IF(AD25=0,"",(AA25-AD25)/ABS(AD25))</f>
        <v>-8.0941120083516394E-2</v>
      </c>
    </row>
    <row r="26" spans="2:33" x14ac:dyDescent="0.2">
      <c r="B26" s="19" t="s">
        <v>45</v>
      </c>
      <c r="C26" s="35">
        <f>+'COL. CONS.$'!C26/Paramet!$G$5*1000</f>
        <v>54025.155092828878</v>
      </c>
      <c r="D26" s="33">
        <f>+C26/$C$20</f>
        <v>0.23290275265242263</v>
      </c>
      <c r="E26" s="35">
        <f>+'COL. CONS.$'!E26/Paramet!$G$3*1000</f>
        <v>47595.988582829108</v>
      </c>
      <c r="F26" s="33">
        <f>+E26/$E$20</f>
        <v>0.20787750707490416</v>
      </c>
      <c r="G26" s="33">
        <f>IF(C26=0,"",(E26-C26)/ABS(C26)+1)</f>
        <v>0.88099679678933196</v>
      </c>
      <c r="H26" s="35">
        <f>+'COL. CONS.$'!H26/Paramet!$G$4*1000</f>
        <v>61814.817470688125</v>
      </c>
      <c r="I26" s="33">
        <f>+H26/$H$20</f>
        <v>0.24091806958454945</v>
      </c>
      <c r="J26" s="34">
        <f>IF(H26=0,"",(E26-H26)/ABS(H26))</f>
        <v>-0.23002298590627437</v>
      </c>
      <c r="K26" s="35">
        <f>+'COL. CONS.$'!K26/Paramet!$G$5*1000</f>
        <v>100931.12404023908</v>
      </c>
      <c r="L26" s="33">
        <f>+K26/$K$20</f>
        <v>0.218762751778489</v>
      </c>
      <c r="M26" s="35">
        <f>+'COL. CONS.$'!M26/Paramet!$G$3*1000</f>
        <v>95208.760819492702</v>
      </c>
      <c r="N26" s="33">
        <f>+M26/$M$20</f>
        <v>0.21098443769808692</v>
      </c>
      <c r="O26" s="33">
        <f>IF(K26=0,"",(M26-K26)/ABS(K26)+1)</f>
        <v>0.94330427531486727</v>
      </c>
      <c r="P26" s="35">
        <f>+'COL. CONS.$'!P26/Paramet!$G$4*1000</f>
        <v>102687.42640254629</v>
      </c>
      <c r="Q26" s="33">
        <f>+P26/$P$20</f>
        <v>0.24925666803311516</v>
      </c>
      <c r="R26" s="34">
        <f>IF(P26=0,"",(M26-P26)/ABS(P26))</f>
        <v>-7.2829418800860551E-2</v>
      </c>
      <c r="T26" s="37">
        <f>+E38/C38</f>
        <v>0.22027460279076277</v>
      </c>
      <c r="U26" s="89" t="s">
        <v>101</v>
      </c>
      <c r="AE26" s="34"/>
    </row>
    <row r="27" spans="2:33" x14ac:dyDescent="0.2">
      <c r="B27" s="19" t="s">
        <v>46</v>
      </c>
      <c r="C27" s="35">
        <f>+'COL. CONS.$'!C27/Paramet!$G$5*1000</f>
        <v>81866.104136186827</v>
      </c>
      <c r="D27" s="33">
        <f>+C27/$C$20</f>
        <v>0.35292524324060043</v>
      </c>
      <c r="E27" s="35">
        <f>+'COL. CONS.$'!E27/Paramet!$G$3*1000</f>
        <v>85870.479026045432</v>
      </c>
      <c r="F27" s="33">
        <f>+E27/$E$20</f>
        <v>0.37504297405647313</v>
      </c>
      <c r="G27" s="33">
        <f>IF(C27=0,"",(E27-C27)/ABS(C27)+1)</f>
        <v>1.0489137101625992</v>
      </c>
      <c r="H27" s="35">
        <f>+'COL. CONS.$'!H27/Paramet!$G$4*1000</f>
        <v>87848.770177650775</v>
      </c>
      <c r="I27" s="33">
        <f>+H27/$H$20</f>
        <v>0.34238321801422861</v>
      </c>
      <c r="J27" s="34">
        <f>IF(H27=0,"",(E27-H27)/ABS(H27))</f>
        <v>-2.2519281119186701E-2</v>
      </c>
      <c r="K27" s="35">
        <f>+'COL. CONS.$'!K27/Paramet!$G$5*1000</f>
        <v>162259.42181847052</v>
      </c>
      <c r="L27" s="33">
        <f>+K27/$K$20</f>
        <v>0.35168851983500737</v>
      </c>
      <c r="M27" s="35">
        <f>+'COL. CONS.$'!M27/Paramet!$G$3*1000</f>
        <v>168331.3402991668</v>
      </c>
      <c r="N27" s="33">
        <f>+M27/$M$20</f>
        <v>0.37302547448673179</v>
      </c>
      <c r="O27" s="33">
        <f>IF(K27=0,"",(M27-K27)/ABS(K27)+1)</f>
        <v>1.0374210533517696</v>
      </c>
      <c r="P27" s="35">
        <f>+'COL. CONS.$'!P27/Paramet!$G$4*1000</f>
        <v>168400.55772124999</v>
      </c>
      <c r="Q27" s="33">
        <f>+P27/$P$20</f>
        <v>0.40876437732474152</v>
      </c>
      <c r="R27" s="34">
        <f>IF(P27=0,"",(M27-P27)/ABS(P27))</f>
        <v>-4.1102846106821699E-4</v>
      </c>
      <c r="T27" s="37">
        <f>+E39/C39</f>
        <v>1.1276219004430599</v>
      </c>
      <c r="U27" s="36"/>
      <c r="V27" s="19" t="s">
        <v>47</v>
      </c>
      <c r="W27" s="35">
        <f>'COLOMB$ '!U27/Paramet!$G$5*1000</f>
        <v>0</v>
      </c>
      <c r="X27" s="35">
        <f>'COLOMB$ '!V27/Paramet!$G$3*1000</f>
        <v>-22240.00579838888</v>
      </c>
      <c r="Y27" s="35">
        <f>'COLOMB$ '!W27/Paramet!$G$4*1000</f>
        <v>-49529.433897029659</v>
      </c>
      <c r="Z27" s="35">
        <f>'COLOMB$ '!X27/Paramet!$G$5*1000</f>
        <v>0</v>
      </c>
      <c r="AA27" s="35">
        <f>'COLOMB$ '!Y27/Paramet!$G$3*1000</f>
        <v>-517.21920045824027</v>
      </c>
      <c r="AB27" s="36">
        <f>+AA27-Z27</f>
        <v>-517.21920045824027</v>
      </c>
      <c r="AC27" s="37" t="str">
        <f>IF(Z27=0,"",(AA27-Z27)/ABS(Z27)+1)</f>
        <v/>
      </c>
      <c r="AD27" s="35">
        <f>'COLOMB$ '!AB27/Paramet!$G$4*1000</f>
        <v>-46976.021720782192</v>
      </c>
      <c r="AE27" s="34">
        <f>IF(AD27=0,"",(AA27-AD27)/ABS(AD27))</f>
        <v>0.98898971897764132</v>
      </c>
    </row>
    <row r="28" spans="2:33" x14ac:dyDescent="0.2">
      <c r="B28" s="19" t="s">
        <v>48</v>
      </c>
      <c r="C28" s="35">
        <f>SUM(C26:C27)</f>
        <v>135891.2592290157</v>
      </c>
      <c r="D28" s="33">
        <f>+C28/$C$20</f>
        <v>0.58582799589302303</v>
      </c>
      <c r="E28" s="35">
        <f>SUM(E26:E27)</f>
        <v>133466.46760887455</v>
      </c>
      <c r="F28" s="33">
        <f>+E28/$E$20</f>
        <v>0.58292048113137729</v>
      </c>
      <c r="G28" s="33">
        <f>IF(C28=0,"",(E28-C28)/ABS(C28)+1)</f>
        <v>0.9821563827291151</v>
      </c>
      <c r="H28" s="35">
        <f>+'COL. CONS.$'!H28/Paramet!$G$4*1000</f>
        <v>149663.5876483389</v>
      </c>
      <c r="I28" s="33">
        <f>+H28/$H$20</f>
        <v>0.58330128759877808</v>
      </c>
      <c r="J28" s="34">
        <f>IF(H28=0,"",(E28-H28)/ABS(H28))</f>
        <v>-0.10822351845207903</v>
      </c>
      <c r="K28" s="35">
        <f>SUM(K26:K27)</f>
        <v>263190.54585870961</v>
      </c>
      <c r="L28" s="33">
        <f>+K28/$K$20</f>
        <v>0.5704512716134964</v>
      </c>
      <c r="M28" s="35">
        <f>SUM(M26:M27)</f>
        <v>263540.10111865948</v>
      </c>
      <c r="N28" s="33">
        <f>+M28/$M$20</f>
        <v>0.58400991218481868</v>
      </c>
      <c r="O28" s="33">
        <f>IF(K28=0,"",(M28-K28)/ABS(K28)+1)</f>
        <v>1.0013281451991727</v>
      </c>
      <c r="P28" s="35">
        <f>SUM(P26:P27)</f>
        <v>271087.98412379628</v>
      </c>
      <c r="Q28" s="33">
        <f>+P28/$P$20</f>
        <v>0.65802104535785677</v>
      </c>
      <c r="R28" s="34">
        <f>IF(P28=0,"",(M28-P28)/ABS(P28))</f>
        <v>-2.7842927194035822E-2</v>
      </c>
      <c r="T28" s="37">
        <f>+E41/C41</f>
        <v>0.48259774680959239</v>
      </c>
      <c r="U28" s="17"/>
      <c r="V28" s="19" t="s">
        <v>49</v>
      </c>
      <c r="W28" s="35">
        <f>'COLOMB$ '!U28/Paramet!$G$5*1000</f>
        <v>0</v>
      </c>
      <c r="X28" s="35">
        <f>'COLOMB$ '!V28/Paramet!$G$3*1000</f>
        <v>0</v>
      </c>
      <c r="Y28" s="35">
        <f>'COLOMB$ '!W28/Paramet!$G$4*1000</f>
        <v>0</v>
      </c>
      <c r="Z28" s="35">
        <f>'COLOMB$ '!X28/Paramet!$G$5*1000</f>
        <v>0</v>
      </c>
      <c r="AA28" s="35">
        <f>'COLOMB$ '!Y28/Paramet!$G$3*1000</f>
        <v>0</v>
      </c>
      <c r="AB28" s="36">
        <f>+AA28-Z28</f>
        <v>0</v>
      </c>
      <c r="AC28" s="37" t="str">
        <f>IF(Z28=0,"",(AA28-Z28)/ABS(Z28)+1)</f>
        <v/>
      </c>
      <c r="AD28" s="35">
        <f>'COLOMB$ '!AB28/Paramet!$G$4*1000</f>
        <v>0</v>
      </c>
      <c r="AE28" s="34" t="str">
        <f>IF(AD28=0,"",(AA28-AD28)/ABS(AD28))</f>
        <v/>
      </c>
    </row>
    <row r="29" spans="2:33" x14ac:dyDescent="0.2">
      <c r="J29" s="34"/>
      <c r="R29" s="34"/>
      <c r="T29" s="24">
        <f>+E42/C42</f>
        <v>3.3437495965339519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14076.191124267067</v>
      </c>
      <c r="D30" s="33">
        <f>+C30/$C$20</f>
        <v>6.0682540458612426E-2</v>
      </c>
      <c r="E30" s="35">
        <f>+'COL. CONS.$'!E30/Paramet!$G$3*1000</f>
        <v>15099.945253888854</v>
      </c>
      <c r="F30" s="33">
        <f>+E30/$E$20</f>
        <v>6.5949653947903503E-2</v>
      </c>
      <c r="G30" s="33">
        <f>IF(C30=0,"",(E30-C30)/ABS(C30)+1)</f>
        <v>1.072729484885784</v>
      </c>
      <c r="H30" s="35">
        <f>+'COL. CONS.$'!H30/Paramet!$G$4*1000</f>
        <v>14510.571339956679</v>
      </c>
      <c r="I30" s="33">
        <f>+H30/$H$20</f>
        <v>5.6553735476917784E-2</v>
      </c>
      <c r="J30" s="34">
        <f>IF(H30=0,"",(E30-H30)/ABS(H30))</f>
        <v>4.0616864775631548E-2</v>
      </c>
      <c r="K30" s="35">
        <f>+'COL. CONS.$'!K30/Paramet!$G$5*1000</f>
        <v>26675.059258503174</v>
      </c>
      <c r="L30" s="33">
        <f>+K30/$K$20</f>
        <v>5.7816748032231587E-2</v>
      </c>
      <c r="M30" s="35">
        <f>+'COL. CONS.$'!M30/Paramet!$G$3*1000</f>
        <v>28313.093320323973</v>
      </c>
      <c r="N30" s="33">
        <f>+M30/$M$20</f>
        <v>6.2742357134628265E-2</v>
      </c>
      <c r="O30" s="33">
        <f>IF(K30=0,"",(M30-K30)/ABS(K30)+1)</f>
        <v>1.0614069511878834</v>
      </c>
      <c r="P30" s="35">
        <f>+'COL. CONS.$'!P30/Paramet!$G$4*1000</f>
        <v>28294.544834704444</v>
      </c>
      <c r="Q30" s="33">
        <f>+P30/$P$20</f>
        <v>6.8680306986806897E-2</v>
      </c>
      <c r="R30" s="34">
        <f>IF(P30=0,"",(M30-P30)/ABS(P30))</f>
        <v>6.5554988524778996E-4</v>
      </c>
      <c r="T30" s="37">
        <f>+E43/C43</f>
        <v>0.83753867875255683</v>
      </c>
      <c r="U30" s="17"/>
      <c r="V30" s="42" t="s">
        <v>51</v>
      </c>
      <c r="W30" s="43">
        <f>+W21-W23-W25-W27-W28</f>
        <v>-22248.987785376477</v>
      </c>
      <c r="X30" s="43">
        <f>+X21-X23-X25-X27-X28</f>
        <v>-20624.368803260175</v>
      </c>
      <c r="Y30" s="43">
        <f>+Y21-Y23-Y25-Y27-Y28</f>
        <v>14982.346983394229</v>
      </c>
      <c r="Z30" s="43">
        <f>'COLOMB$ '!X30/Paramet!$G$5*1000</f>
        <v>0</v>
      </c>
      <c r="AA30" s="43">
        <f>+'COL. CONS.$'!Y30/Paramet!G3*1000</f>
        <v>-20624.454529126677</v>
      </c>
      <c r="AB30" s="47">
        <f>+AA30-Z30</f>
        <v>-20624.454529126677</v>
      </c>
      <c r="AC30" s="48">
        <f>IF(W30=0,"",(X30-W30)/ABS(W30)+1)</f>
        <v>1.073019905345272</v>
      </c>
      <c r="AD30" s="43">
        <f>+AD21-AD23-AD25-AD27-AD28</f>
        <v>14982.41505150537</v>
      </c>
      <c r="AE30" s="34">
        <f>IF(AD30=0,"",(AA30-AD30)/ABS(AD30))</f>
        <v>-2.3765774381650453</v>
      </c>
    </row>
    <row r="31" spans="2:33" x14ac:dyDescent="0.2">
      <c r="J31" s="34"/>
      <c r="R31" s="34"/>
      <c r="T31" s="37">
        <f>+E45/C45</f>
        <v>1.3539817304364736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48087.963435518817</v>
      </c>
      <c r="D32" s="33">
        <f>+C32/$C$20</f>
        <v>0.20730748545445657</v>
      </c>
      <c r="E32" s="35">
        <f>+'COL. CONS.$'!E31/Paramet!$G$3*1000</f>
        <v>49522.599255845111</v>
      </c>
      <c r="F32" s="33">
        <f>+E32/$E$20</f>
        <v>0.21629206123661673</v>
      </c>
      <c r="G32" s="33">
        <f>IF(C32=0,"",(E32-C32)/ABS(C32)+1)</f>
        <v>1.0298335740969775</v>
      </c>
      <c r="H32" s="35">
        <f>+'COL. CONS.$'!H31/Paramet!$G$4*1000</f>
        <v>47763.304919716487</v>
      </c>
      <c r="I32" s="33">
        <f>+H32/$H$20</f>
        <v>0.1861534772579862</v>
      </c>
      <c r="J32" s="34">
        <f>IF(H32=0,"",(E32-H32)/ABS(H32))</f>
        <v>3.6833597237162584E-2</v>
      </c>
      <c r="K32" s="35">
        <f>+'COL. CONS.$'!K31/Paramet!$G$5*1000</f>
        <v>96366.688215213289</v>
      </c>
      <c r="L32" s="33">
        <f>+K32/$K$20</f>
        <v>0.20886958402776756</v>
      </c>
      <c r="M32" s="35">
        <f>+'COL. CONS.$'!M31/Paramet!$G$3*1000</f>
        <v>95569.416447619122</v>
      </c>
      <c r="N32" s="33">
        <f>+M32/$M$20</f>
        <v>0.21178365747836708</v>
      </c>
      <c r="O32" s="33">
        <f>IF(K32=0,"",(M32-K32)/ABS(K32)+1)</f>
        <v>0.99172668707039469</v>
      </c>
      <c r="P32" s="35">
        <f>+'COL. CONS.$'!P31/Paramet!$G$4*1000</f>
        <v>99353.00162448264</v>
      </c>
      <c r="Q32" s="33">
        <f>+P32/$P$20</f>
        <v>0.24116290583550112</v>
      </c>
      <c r="R32" s="34">
        <f>IF(P32=0,"",(M32-P32)/ABS(P32))</f>
        <v>-3.8082243263913275E-2</v>
      </c>
      <c r="T32" s="37">
        <f>+E46/C46</f>
        <v>1.0864473220241382</v>
      </c>
      <c r="U32" s="17"/>
    </row>
    <row r="33" spans="2:27" x14ac:dyDescent="0.2">
      <c r="B33" s="19" t="s">
        <v>53</v>
      </c>
      <c r="C33" s="35">
        <f>SUM(C30:C32)</f>
        <v>62164.154559785886</v>
      </c>
      <c r="D33" s="33">
        <f>+C33/$C$20</f>
        <v>0.26799002591306903</v>
      </c>
      <c r="E33" s="35">
        <f>SUM(E30:E32)</f>
        <v>64622.544509733969</v>
      </c>
      <c r="F33" s="33">
        <f>+E33/$E$20</f>
        <v>0.28224171518452024</v>
      </c>
      <c r="G33" s="33">
        <f>IF(C33=0,"",(E33-C33)/ABS(C33)+1)</f>
        <v>1.0395467447013012</v>
      </c>
      <c r="H33" s="35">
        <f>SUM(H30:H32)</f>
        <v>62273.876259673169</v>
      </c>
      <c r="I33" s="33">
        <f>+H33/$H$20</f>
        <v>0.24270721273490398</v>
      </c>
      <c r="J33" s="34">
        <f>IF(H33=0,"",(E33-H33)/ABS(H33))</f>
        <v>3.7715144634118958E-2</v>
      </c>
      <c r="K33" s="35">
        <f>SUM(K30:K32)</f>
        <v>123041.74747371646</v>
      </c>
      <c r="L33" s="33">
        <f>+K33/$K$20</f>
        <v>0.26668633205999914</v>
      </c>
      <c r="M33" s="35">
        <f>SUM(M30:M32)</f>
        <v>123882.50976794309</v>
      </c>
      <c r="N33" s="33">
        <f>+M33/$M$20</f>
        <v>0.27452601461299536</v>
      </c>
      <c r="O33" s="33">
        <f>IF(K33=0,"",(M33-K33)/ABS(K33)+1)</f>
        <v>1.0068331465660161</v>
      </c>
      <c r="P33" s="35">
        <f>SUM(P30:P32)</f>
        <v>127647.54645918708</v>
      </c>
      <c r="Q33" s="33">
        <f>+P33/$P$20</f>
        <v>0.30984321282230803</v>
      </c>
      <c r="R33" s="34">
        <f>IF(P33=0,"",(M33-P33)/ABS(P33))</f>
        <v>-2.9495566469409526E-2</v>
      </c>
    </row>
    <row r="34" spans="2:27" x14ac:dyDescent="0.2">
      <c r="B34" s="19" t="s">
        <v>54</v>
      </c>
      <c r="C34" s="35">
        <f>+C28+C33</f>
        <v>198055.41378880158</v>
      </c>
      <c r="D34" s="33">
        <f>+C34/$C$20</f>
        <v>0.85381802180609201</v>
      </c>
      <c r="E34" s="35">
        <f>+E28+E33</f>
        <v>198089.01211860852</v>
      </c>
      <c r="F34" s="33">
        <f>+E34/$E$20</f>
        <v>0.86516219631589752</v>
      </c>
      <c r="G34" s="33">
        <f>IF(C34=0,"",(E34-C34)/ABS(C34)+1)</f>
        <v>1.0001696410573395</v>
      </c>
      <c r="H34" s="35">
        <f>+H28+H33</f>
        <v>211937.46390801208</v>
      </c>
      <c r="I34" s="33">
        <f>+H34/$H$20</f>
        <v>0.82600850033368212</v>
      </c>
      <c r="J34" s="34">
        <f>IF(H34=0,"",(E34-H34)/ABS(H34))</f>
        <v>-6.5342160531911692E-2</v>
      </c>
      <c r="K34" s="35">
        <f>+K28+K33</f>
        <v>386232.29333242605</v>
      </c>
      <c r="L34" s="33">
        <f>+K34/$K$20</f>
        <v>0.83713760367349543</v>
      </c>
      <c r="M34" s="35">
        <f>+M28+M33</f>
        <v>387422.61088660255</v>
      </c>
      <c r="N34" s="33">
        <f>+M34/$M$20</f>
        <v>0.85853592679781399</v>
      </c>
      <c r="O34" s="33">
        <f>IF(K34=0,"",(M34-K34)/ABS(K34)+1)</f>
        <v>1.0030818695762242</v>
      </c>
      <c r="P34" s="35">
        <f>+P28+P33</f>
        <v>398735.5305829834</v>
      </c>
      <c r="Q34" s="33">
        <f>+P34/$P$20</f>
        <v>0.96786425818016475</v>
      </c>
      <c r="R34" s="34">
        <f>IF(P34=0,"",(M34-P34)/ABS(P34))</f>
        <v>-2.8371988018826545E-2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-1773.1051455661072</v>
      </c>
      <c r="D36" s="33">
        <f>+C36/$C$20</f>
        <v>-7.6438664254632749E-3</v>
      </c>
      <c r="E36" s="35">
        <f>E24-E34</f>
        <v>4428.7357667634788</v>
      </c>
      <c r="F36" s="33">
        <f>+E36/$E$20</f>
        <v>1.9342692065028089E-2</v>
      </c>
      <c r="G36" s="33">
        <f>IF(C36=0,"",(E36-C36)/ABS(C36)+1)</f>
        <v>4.4977287883000852</v>
      </c>
      <c r="H36" s="35">
        <f>H24-H34</f>
        <v>3933.0225292101677</v>
      </c>
      <c r="I36" s="33">
        <f>+H36/$H$20</f>
        <v>1.5328625629593853E-2</v>
      </c>
      <c r="J36" s="34">
        <f>IF(H36=0,"",(E36-H36)/ABS(H36))</f>
        <v>0.12603874853797506</v>
      </c>
      <c r="K36" s="35">
        <f>K24-K34</f>
        <v>14228.845564968884</v>
      </c>
      <c r="L36" s="33">
        <f>+K36/$K$20</f>
        <v>3.084025309361222E-2</v>
      </c>
      <c r="M36" s="35">
        <f>M24-M34</f>
        <v>18273.76600624749</v>
      </c>
      <c r="N36" s="33">
        <f>+M36/$M$20</f>
        <v>4.0495015503501701E-2</v>
      </c>
      <c r="O36" s="33">
        <f>IF(K36=0,"",(M36-K36)/ABS(K36)+1)</f>
        <v>1.2842760800803905</v>
      </c>
      <c r="P36" s="35">
        <f>P24-P34</f>
        <v>-54729.304845991952</v>
      </c>
      <c r="Q36" s="33">
        <f>+P36/$P$20</f>
        <v>-0.13284629528257719</v>
      </c>
      <c r="R36" s="34">
        <f>IF(P36=0,"",(M36-P36)/ABS(P36))</f>
        <v>1.3338936253195577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330.94031052589793</v>
      </c>
      <c r="D38" s="33">
        <f>+C38/$C$20</f>
        <v>1.4266855717987579E-3</v>
      </c>
      <c r="E38" s="35">
        <f>+'COL. CONS.$'!E38/Paramet!$G$3*1000</f>
        <v>72.897745448543859</v>
      </c>
      <c r="F38" s="33">
        <f>+E38/$E$20</f>
        <v>3.1838400769537066E-4</v>
      </c>
      <c r="G38" s="33">
        <f>IF(C38=0,"",(E38-C38)/ABS(C38)+1)</f>
        <v>0.22027460279076272</v>
      </c>
      <c r="H38" s="35">
        <f>+'COL. CONS.$'!H38/Paramet!$G$4*1000</f>
        <v>117.90169210587865</v>
      </c>
      <c r="I38" s="33">
        <f>+H38/$H$20</f>
        <v>4.5951196210147109E-4</v>
      </c>
      <c r="J38" s="34">
        <f>IF(H38=0,"",(E38-H38)/ABS(H38))</f>
        <v>-0.38170738564905521</v>
      </c>
      <c r="K38" s="35">
        <f>+'COL. CONS.$'!K38/Paramet!$G$5*1000</f>
        <v>661.88062105179586</v>
      </c>
      <c r="L38" s="33">
        <f>+K38/$K$20</f>
        <v>1.4345904436021098E-3</v>
      </c>
      <c r="M38" s="35">
        <f>+'COL. CONS.$'!M38/Paramet!$G$3*1000</f>
        <v>197.87908575256489</v>
      </c>
      <c r="N38" s="33">
        <f>+M38/$M$20</f>
        <v>4.385038443979916E-4</v>
      </c>
      <c r="O38" s="33">
        <f>IF(K38=0,"",(M38-K38)/ABS(K38)+1)</f>
        <v>0.2989649182327091</v>
      </c>
      <c r="P38" s="35">
        <f>+'COL. CONS.$'!P38/Paramet!$G$4*1000</f>
        <v>316.60025778175498</v>
      </c>
      <c r="Q38" s="33">
        <f>+P38/$P$20</f>
        <v>7.6849452866557355E-4</v>
      </c>
      <c r="R38" s="34">
        <f>IF(P38=0,"",(M38-P38)/ABS(P38))</f>
        <v>-0.37498760380362439</v>
      </c>
    </row>
    <row r="39" spans="2:27" x14ac:dyDescent="0.2">
      <c r="B39" s="19" t="s">
        <v>57</v>
      </c>
      <c r="C39" s="35">
        <f>+'COL. CONS.$'!C39/Paramet!$G$5*1000</f>
        <v>8058.0222970750692</v>
      </c>
      <c r="D39" s="33">
        <f>+C39/$C$20</f>
        <v>3.4738180218060924E-2</v>
      </c>
      <c r="E39" s="35">
        <f>+'COL. CONS.$'!E39/Paramet!$G$3*1000</f>
        <v>9086.4024164403399</v>
      </c>
      <c r="F39" s="33">
        <f>+E39/$E$20</f>
        <v>3.9685249510510938E-2</v>
      </c>
      <c r="G39" s="33">
        <f>IF(C39=0,"",(E39-C39)/ABS(C39)+1)</f>
        <v>1.1276219004430599</v>
      </c>
      <c r="H39" s="35">
        <f>+'COL. CONS.$'!H39/Paramet!$G$4*1000</f>
        <v>6631.6676547453208</v>
      </c>
      <c r="I39" s="33">
        <f>+H39/$H$20</f>
        <v>2.5846368797661574E-2</v>
      </c>
      <c r="J39" s="34">
        <f>IF(H39=0,"",(E39-H39)/ABS(H39))</f>
        <v>0.37015346508483765</v>
      </c>
      <c r="K39" s="35">
        <f>+'COL. CONS.$'!K39/Paramet!$G$5*1000</f>
        <v>16318.827759064568</v>
      </c>
      <c r="L39" s="33">
        <f>+K39/$K$20</f>
        <v>3.537017644774168E-2</v>
      </c>
      <c r="M39" s="35">
        <f>+'COL. CONS.$'!M39/Paramet!$G$3*1000</f>
        <v>17268.258187281408</v>
      </c>
      <c r="N39" s="33">
        <f>+M39/$M$20</f>
        <v>3.826679091618878E-2</v>
      </c>
      <c r="O39" s="33">
        <f>IF(K39=0,"",(M39-K39)/ABS(K39)+1)</f>
        <v>1.0581800630679163</v>
      </c>
      <c r="P39" s="35">
        <f>+'COL. CONS.$'!P39/Paramet!$G$4*1000</f>
        <v>14779.556340821036</v>
      </c>
      <c r="Q39" s="33">
        <f>+P39/$P$20</f>
        <v>3.5874917675699031E-2</v>
      </c>
      <c r="R39" s="34">
        <f>IF(P39=0,"",(M39-P39)/ABS(P39))</f>
        <v>0.16838812945870327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-9500.1871321152794</v>
      </c>
      <c r="D41" s="33">
        <f>+C41/$C$20</f>
        <v>-4.0955361071725441E-2</v>
      </c>
      <c r="E41" s="35">
        <f>E36+E38-E39</f>
        <v>-4584.7689042283173</v>
      </c>
      <c r="F41" s="33">
        <f>+E41/$E$20</f>
        <v>-2.0024173437787476E-2</v>
      </c>
      <c r="G41" s="33">
        <f>IF(C41=0,"",(E41-C41)/ABS(C41)+1)</f>
        <v>1.5174022531904074</v>
      </c>
      <c r="H41" s="35">
        <f>+H36+H38-H39</f>
        <v>-2580.7434334292743</v>
      </c>
      <c r="I41" s="33">
        <f>+H41/$H$20</f>
        <v>-1.0058231205966248E-2</v>
      </c>
      <c r="J41" s="34">
        <f>IF(H41=0,"",(E41-H41)/ABS(H41))</f>
        <v>-0.776530299308408</v>
      </c>
      <c r="K41" s="35">
        <f>K36+K38-K39</f>
        <v>-1428.1015730438885</v>
      </c>
      <c r="L41" s="33">
        <f>+K41/$K$20</f>
        <v>-3.0953329105273463E-3</v>
      </c>
      <c r="M41" s="35">
        <f>M36+M38-M39</f>
        <v>1203.3869047186454</v>
      </c>
      <c r="N41" s="33">
        <f>+M41/$M$20</f>
        <v>2.6667284317109076E-3</v>
      </c>
      <c r="O41" s="33">
        <f>IF(K41=0,"",(M41-K41)/ABS(K41)+1)</f>
        <v>2.8426479792706334</v>
      </c>
      <c r="P41" s="35">
        <f>P36+P38-P39</f>
        <v>-69192.260929031239</v>
      </c>
      <c r="Q41" s="33">
        <f>+P41/$P$20</f>
        <v>-0.16795271842961065</v>
      </c>
      <c r="R41" s="34">
        <f>IF(P41=0,"",(M41-P41)/ABS(P41))</f>
        <v>1.0173919292209996</v>
      </c>
    </row>
    <row r="42" spans="2:27" x14ac:dyDescent="0.2">
      <c r="B42" s="19" t="s">
        <v>44</v>
      </c>
      <c r="C42" s="35">
        <f>+'COL. CONS.$'!C42/Paramet!$G$5*1000</f>
        <v>1345.4594944030487</v>
      </c>
      <c r="D42" s="33">
        <f>+C42/$C$20</f>
        <v>5.8002835769813722E-3</v>
      </c>
      <c r="E42" s="35">
        <f>+'COL. CONS.$'!E42/Paramet!$G$3*1000</f>
        <v>4498.8796415629686</v>
      </c>
      <c r="F42" s="33">
        <f>+E42/$E$20</f>
        <v>1.9649048425386419E-2</v>
      </c>
      <c r="G42" s="33">
        <f>IF(C42=0,"",(E42-C42)/ABS(C42)+1)</f>
        <v>3.3437495965339519</v>
      </c>
      <c r="H42" s="35">
        <f>+'COL. CONS.$'!H42/Paramet!$G$4*1000</f>
        <v>-1008.2993522407185</v>
      </c>
      <c r="I42" s="33">
        <f>+H42/$H$20</f>
        <v>-3.9297622066161442E-3</v>
      </c>
      <c r="J42" s="34">
        <f>IF(H42=0,"",(E42-H42)/ABS(H42))</f>
        <v>5.4618491835437766</v>
      </c>
      <c r="K42" s="35">
        <f>+'COL. CONS.$'!K42/Paramet!$G$5*1000</f>
        <v>9225.4227484604162</v>
      </c>
      <c r="L42" s="33">
        <f>+K42/$K$20</f>
        <v>1.9995604784590202E-2</v>
      </c>
      <c r="M42" s="35">
        <f>+'COL. CONS.$'!M42/Paramet!$G$3*1000</f>
        <v>10243.741550589668</v>
      </c>
      <c r="N42" s="33">
        <f>+M42/$M$20</f>
        <v>2.2700327494790788E-2</v>
      </c>
      <c r="O42" s="33">
        <f>IF(K42=0,"",(M42-K42)/ABS(K42)+1)</f>
        <v>1.110381803619698</v>
      </c>
      <c r="P42" s="35">
        <f>+'COL. CONS.$'!P42/Paramet!$G$4*1000</f>
        <v>11740.641302026663</v>
      </c>
      <c r="Q42" s="33">
        <f>+P42/$P$20</f>
        <v>2.8498456276849254E-2</v>
      </c>
      <c r="R42" s="34">
        <f>IF(P42=0,"",(M42-P42)/ABS(P42))</f>
        <v>-0.12749727318375709</v>
      </c>
    </row>
    <row r="43" spans="2:27" x14ac:dyDescent="0.2">
      <c r="B43" s="42" t="s">
        <v>59</v>
      </c>
      <c r="C43" s="43">
        <f>C41-C42</f>
        <v>-10845.646626518328</v>
      </c>
      <c r="D43" s="44">
        <f>+C43/$C$20</f>
        <v>-4.6755644648706816E-2</v>
      </c>
      <c r="E43" s="43">
        <f>E41-E42</f>
        <v>-9083.6485457912859</v>
      </c>
      <c r="F43" s="44">
        <f>+E43/$E$20</f>
        <v>-3.9673221863173895E-2</v>
      </c>
      <c r="G43" s="44">
        <f>IF(C43=0,"",(E43-C43)/ABS(C43)+1)</f>
        <v>1.1624613212474431</v>
      </c>
      <c r="H43" s="43">
        <f>H41-H42</f>
        <v>-1572.4440811885559</v>
      </c>
      <c r="I43" s="44">
        <f>+H43/$H$20</f>
        <v>-6.1284689993501042E-3</v>
      </c>
      <c r="J43" s="45">
        <f>IF(H43=0,"",(E43-H43)/ABS(H43))</f>
        <v>-4.7767704775391895</v>
      </c>
      <c r="K43" s="43">
        <f>K41-K42</f>
        <v>-10653.524321504305</v>
      </c>
      <c r="L43" s="44">
        <f>+K43/$K$20</f>
        <v>-2.3090937695117549E-2</v>
      </c>
      <c r="M43" s="43">
        <f>M41-M42</f>
        <v>-9040.3546458710225</v>
      </c>
      <c r="N43" s="44">
        <f>+M43/$M$20</f>
        <v>-2.0033599063079881E-2</v>
      </c>
      <c r="O43" s="44">
        <f>IF(K43=0,"",(M43-K43)/ABS(K43)+1)</f>
        <v>1.1514212224002787</v>
      </c>
      <c r="P43" s="43">
        <f>P41-P42</f>
        <v>-80932.902231057902</v>
      </c>
      <c r="Q43" s="44">
        <f>+P43/$P$20</f>
        <v>-0.19645117470645992</v>
      </c>
      <c r="R43" s="45">
        <f>IF(P43=0,"",(M43-P43)/ABS(P43))</f>
        <v>0.88829815320274286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21562.83669604074</v>
      </c>
      <c r="D45" s="33">
        <f>+C45/$C$20</f>
        <v>9.2957512345377205E-2</v>
      </c>
      <c r="E45" s="35">
        <f>+'COL. CONS.$'!E45/Paramet!$G$3*1000</f>
        <v>29195.686942824337</v>
      </c>
      <c r="F45" s="33">
        <f>+E45/$E$20</f>
        <v>0.12751340606050932</v>
      </c>
      <c r="G45" s="33">
        <f>IF(C45=0,"",(E45-C45)/ABS(C45)+1)</f>
        <v>1.3539817304364736</v>
      </c>
      <c r="H45" s="35">
        <f>+'COL. CONS.$'!H45/Paramet!$G$4*1000</f>
        <v>16302.34148455851</v>
      </c>
      <c r="I45" s="33">
        <f>+H45/$H$20</f>
        <v>6.3537009423838275E-2</v>
      </c>
      <c r="J45" s="34">
        <f>IF(H45=0,"",(E45-H45)/ABS(H45))</f>
        <v>0.79088917812685577</v>
      </c>
      <c r="K45" s="35">
        <f>+'COL. CONS.$'!K45/Paramet!$G$5*1000</f>
        <v>61418.801673981841</v>
      </c>
      <c r="L45" s="33">
        <f>+K45/$K$20</f>
        <v>0.13312193035500952</v>
      </c>
      <c r="M45" s="35">
        <f>+'COL. CONS.$'!M45/Paramet!$G$3*1000</f>
        <v>68531.003461072716</v>
      </c>
      <c r="N45" s="33">
        <f>+M45/$M$20</f>
        <v>0.15186601637986866</v>
      </c>
      <c r="O45" s="33">
        <f>IF(K45=0,"",(M45-K45)/ABS(K45)+1)</f>
        <v>1.1157984459684394</v>
      </c>
      <c r="P45" s="35">
        <f>+'COL. CONS.$'!P45/Paramet!$G$4*1000</f>
        <v>70757.417570851947</v>
      </c>
      <c r="Q45" s="33">
        <f>+P45/$P$20</f>
        <v>0.17175187615668031</v>
      </c>
      <c r="R45" s="34">
        <f>IF(P45=0,"",(M45-P45)/ABS(P45))</f>
        <v>-3.146545176765167E-2</v>
      </c>
    </row>
    <row r="46" spans="2:27" x14ac:dyDescent="0.2">
      <c r="B46" s="19" t="s">
        <v>35</v>
      </c>
      <c r="C46" s="35">
        <f>+'COL. CONS.$'!C46/Paramet!$G$5*1000</f>
        <v>101137.53643405579</v>
      </c>
      <c r="D46" s="33">
        <f>+C46/$C$20</f>
        <v>0.43600449811763559</v>
      </c>
      <c r="E46" s="35">
        <f>+'COL. CONS.$'!E46/Paramet!$G$3*1000</f>
        <v>109880.60561489862</v>
      </c>
      <c r="F46" s="33">
        <f>+E46/$E$20</f>
        <v>0.47990822443692854</v>
      </c>
      <c r="G46" s="33">
        <f>IF(C46=0,"",(E46-C46)/ABS(C46)+1)</f>
        <v>1.0864473220241382</v>
      </c>
      <c r="H46" s="35">
        <f>+'COL. CONS.$'!H46/Paramet!$G$4*1000</f>
        <v>108366.87504448896</v>
      </c>
      <c r="I46" s="33">
        <f>+H46/$H$20</f>
        <v>0.42235081184229428</v>
      </c>
      <c r="J46" s="34">
        <f>IF(H46=0,"",(E46-H46)/ABS(H46))</f>
        <v>1.3968572682272308E-2</v>
      </c>
      <c r="K46" s="35">
        <f>+'COL. CONS.$'!K46/Paramet!$G$5*1000</f>
        <v>206036.99545212253</v>
      </c>
      <c r="L46" s="33">
        <f>+K46/$K$20</f>
        <v>0.4465740426640708</v>
      </c>
      <c r="M46" s="35">
        <f>+'COL. CONS.$'!M46/Paramet!$G$3*1000</f>
        <v>215954.287142819</v>
      </c>
      <c r="N46" s="33">
        <f>+M46/$M$20</f>
        <v>0.47855883690895029</v>
      </c>
      <c r="O46" s="33">
        <f>IF(K46=0,"",(M46-K46)/ABS(K46)+1)</f>
        <v>1.0481335483898617</v>
      </c>
      <c r="P46" s="35">
        <f>+'COL. CONS.$'!P46/Paramet!$G$4*1000</f>
        <v>209183.44578448022</v>
      </c>
      <c r="Q46" s="33">
        <f>+P46/$P$20</f>
        <v>0.50775806279854763</v>
      </c>
      <c r="R46" s="34">
        <f>IF(P46=0,"",(M46-P46)/ABS(P46))</f>
        <v>3.2367959773043936E-2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BF1F-CEA9-4779-892D-5CF9C0545D86}">
  <sheetPr>
    <tabColor theme="0" tint="-0.249977111117893"/>
  </sheetPr>
  <dimension ref="A1:AI68"/>
  <sheetViews>
    <sheetView showGridLines="0" zoomScaleNormal="100" workbookViewId="0">
      <selection activeCell="H4" sqref="H4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102</v>
      </c>
      <c r="T3" s="18"/>
      <c r="U3" s="90" t="str">
        <f>+B3</f>
        <v>MUSICAR S.A. EL SALVADOR</v>
      </c>
    </row>
    <row r="4" spans="1:34" x14ac:dyDescent="0.2">
      <c r="B4" s="3" t="s">
        <v>103</v>
      </c>
      <c r="U4" s="3" t="s">
        <v>21</v>
      </c>
    </row>
    <row r="5" spans="1:34" x14ac:dyDescent="0.2">
      <c r="B5" s="3" t="s">
        <v>91</v>
      </c>
      <c r="U5" s="3" t="s">
        <v>91</v>
      </c>
    </row>
    <row r="6" spans="1:34" ht="13.5" thickBot="1" x14ac:dyDescent="0.25">
      <c r="B6" s="79" t="str">
        <f>+'COL. CONS.$'!B6</f>
        <v>FEBRERO de 2025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FEBRERO de 2025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S7" s="61"/>
      <c r="T7" s="63"/>
      <c r="V7" s="54" t="str">
        <f>+C7</f>
        <v>Ppto 2025</v>
      </c>
      <c r="W7" s="54" t="str">
        <f>+M7</f>
        <v>Real 2025</v>
      </c>
      <c r="X7" s="54" t="str">
        <f>+H7</f>
        <v>Real 2024</v>
      </c>
      <c r="Y7" s="54" t="str">
        <f>+V7</f>
        <v>Ppto 2025</v>
      </c>
      <c r="Z7" s="54" t="str">
        <f>+W7</f>
        <v>Real 2025</v>
      </c>
      <c r="AA7" s="54" t="s">
        <v>26</v>
      </c>
      <c r="AB7" s="54" t="s">
        <v>24</v>
      </c>
      <c r="AC7" s="54" t="str">
        <f>+X7</f>
        <v>Real 2024</v>
      </c>
      <c r="AD7" s="54" t="s">
        <v>25</v>
      </c>
      <c r="AF7" s="2" t="s">
        <v>104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105</v>
      </c>
      <c r="AG8" s="2" t="s">
        <v>106</v>
      </c>
      <c r="AH8" s="2" t="s">
        <v>107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0</v>
      </c>
      <c r="D10" s="34" t="e">
        <f>+C10/$C$20</f>
        <v>#DIV/0!</v>
      </c>
      <c r="E10" s="32">
        <v>5648.72</v>
      </c>
      <c r="F10" s="34">
        <f>+E10/$E$20</f>
        <v>0.80893611536754073</v>
      </c>
      <c r="G10" s="34" t="str">
        <f>IF(C10=0,"",(E10-C10)/ABS(C10)+1)</f>
        <v/>
      </c>
      <c r="H10" s="32">
        <v>6860.95</v>
      </c>
      <c r="I10" s="34">
        <f>+H10/$H$20</f>
        <v>0.70638157237709787</v>
      </c>
      <c r="J10" s="34">
        <f>IF(H10=0,"",(E10-H10)/ABS(H10))</f>
        <v>-0.1766854444355373</v>
      </c>
      <c r="K10" s="32">
        <v>0</v>
      </c>
      <c r="L10" s="34" t="e">
        <f>+K10/$K$20</f>
        <v>#DIV/0!</v>
      </c>
      <c r="M10" s="32">
        <v>11122.35</v>
      </c>
      <c r="N10" s="34">
        <f>+M10/$M$20</f>
        <v>0.6984474758530782</v>
      </c>
      <c r="O10" s="34" t="str">
        <f>IF(K10=0,"",(M10-K10)/ABS(K10)+1)</f>
        <v/>
      </c>
      <c r="P10" s="32">
        <v>12921.91</v>
      </c>
      <c r="Q10" s="34">
        <f>+P10/$P$20</f>
        <v>0.66736336954225739</v>
      </c>
      <c r="R10" s="34">
        <f t="shared" ref="R10:R17" si="0">IF(P10=0,"",(M10-P10)/ABS(P10))</f>
        <v>-0.13926424189612832</v>
      </c>
      <c r="S10" s="34"/>
      <c r="T10" s="63"/>
      <c r="U10" s="3" t="s">
        <v>31</v>
      </c>
      <c r="V10" s="32">
        <v>9469</v>
      </c>
      <c r="W10" s="32"/>
      <c r="X10" s="32"/>
      <c r="Y10" s="32"/>
      <c r="Z10" s="32"/>
      <c r="AA10" s="63">
        <f>+Z10-Y10</f>
        <v>0</v>
      </c>
      <c r="AB10" s="68" t="str">
        <f>IF(Y10=0,"",(Z10-Y10)/ABS(Y10)+1)</f>
        <v/>
      </c>
      <c r="AC10" s="32">
        <v>11259</v>
      </c>
      <c r="AD10" s="34" t="str">
        <f>IF(X10=0,"",(Z10-AC10)/ABS(AC10))</f>
        <v/>
      </c>
      <c r="AF10" s="67">
        <v>15168</v>
      </c>
      <c r="AG10" s="67"/>
      <c r="AH10" s="67"/>
    </row>
    <row r="11" spans="1:34" x14ac:dyDescent="0.2">
      <c r="A11" s="94"/>
      <c r="B11" s="3" t="str">
        <f>+'COLOMB$ '!B11</f>
        <v>Instalaciones</v>
      </c>
      <c r="C11" s="32">
        <v>0</v>
      </c>
      <c r="D11" s="34" t="e">
        <f>+C11/$C$20</f>
        <v>#DIV/0!</v>
      </c>
      <c r="E11" s="32">
        <v>388.32</v>
      </c>
      <c r="F11" s="34">
        <f>+E11/$E$20</f>
        <v>5.5610133325695629E-2</v>
      </c>
      <c r="G11" s="34" t="str">
        <f>IF(C11=0,"",(E11-C11)/ABS(C11)+1)</f>
        <v/>
      </c>
      <c r="H11" s="32">
        <v>750</v>
      </c>
      <c r="I11" s="34">
        <f>+H11/$H$20</f>
        <v>7.7217612616740164E-2</v>
      </c>
      <c r="J11" s="34">
        <f>IF(H11=0,"",(E11-H11)/ABS(H11))</f>
        <v>-0.48224</v>
      </c>
      <c r="K11" s="32">
        <v>0</v>
      </c>
      <c r="L11" s="34" t="e">
        <f>+K11/$K$20</f>
        <v>#DIV/0!</v>
      </c>
      <c r="M11" s="32">
        <v>388.32</v>
      </c>
      <c r="N11" s="34">
        <f>+M11/$M$20</f>
        <v>2.4385235478407652E-2</v>
      </c>
      <c r="O11" s="34" t="str">
        <f>IF(K11=0,"",(M11-K11)/ABS(K11)+1)</f>
        <v/>
      </c>
      <c r="P11" s="32">
        <v>1040</v>
      </c>
      <c r="Q11" s="34">
        <f>+P11/$P$20</f>
        <v>5.3711711683795016E-2</v>
      </c>
      <c r="R11" s="34">
        <f t="shared" si="0"/>
        <v>-0.62661538461538469</v>
      </c>
      <c r="S11" s="34"/>
      <c r="T11" s="63"/>
      <c r="U11" s="3" t="s">
        <v>32</v>
      </c>
      <c r="V11" s="32"/>
      <c r="W11" s="32"/>
      <c r="X11" s="32"/>
      <c r="Y11" s="32">
        <f>+AF11+V11</f>
        <v>0</v>
      </c>
      <c r="Z11" s="32">
        <f>+W11+AH11</f>
        <v>0</v>
      </c>
      <c r="AA11" s="63">
        <f>+Z11-Y11</f>
        <v>0</v>
      </c>
      <c r="AB11" s="68" t="str">
        <f>IF(Y11=0,"",(Z11-Y11)/ABS(Y11)+1)</f>
        <v/>
      </c>
      <c r="AC11" s="32">
        <v>109950</v>
      </c>
      <c r="AD11" s="34">
        <f>IF(AC11=0,"",(Z11-AC11)/ABS(AC11))</f>
        <v>-1</v>
      </c>
      <c r="AF11" s="32"/>
      <c r="AG11" s="32"/>
      <c r="AH11" s="32"/>
    </row>
    <row r="12" spans="1:34" x14ac:dyDescent="0.2">
      <c r="A12" s="94"/>
      <c r="B12" s="3" t="str">
        <f>+'COLOMB$ '!B12</f>
        <v>Voice Experience (Publihold)</v>
      </c>
      <c r="C12" s="32">
        <v>0</v>
      </c>
      <c r="D12" s="34" t="e">
        <f>+C12/$C$20</f>
        <v>#DIV/0!</v>
      </c>
      <c r="E12" s="32">
        <v>945.86</v>
      </c>
      <c r="F12" s="34">
        <f>+E12/$E$20</f>
        <v>0.13545375130676368</v>
      </c>
      <c r="G12" s="34" t="str">
        <f>IF(C12=0,"",(E12-C12)/ABS(C12)+1)</f>
        <v/>
      </c>
      <c r="H12" s="32">
        <v>994.86</v>
      </c>
      <c r="I12" s="34">
        <f>+H12/$H$20</f>
        <v>0.10242761878385349</v>
      </c>
      <c r="J12" s="34">
        <f>IF(H12=0,"",(E12-H12)/ABS(H12))</f>
        <v>-4.9253161248818927E-2</v>
      </c>
      <c r="K12" s="32">
        <v>0</v>
      </c>
      <c r="L12" s="34" t="e">
        <f>+K12/$K$20</f>
        <v>#DIV/0!</v>
      </c>
      <c r="M12" s="32">
        <v>2539.7199999999998</v>
      </c>
      <c r="N12" s="34">
        <f>+M12/$M$20</f>
        <v>0.15948617184080519</v>
      </c>
      <c r="O12" s="34" t="str">
        <f>IF(K12=0,"",(M12-K12)/ABS(K12)+1)</f>
        <v/>
      </c>
      <c r="P12" s="32">
        <v>2637.72</v>
      </c>
      <c r="Q12" s="34">
        <f>+P12/$P$20</f>
        <v>0.13622736167555749</v>
      </c>
      <c r="R12" s="34">
        <f t="shared" si="0"/>
        <v>-3.7153299061310527E-2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0</v>
      </c>
      <c r="D13" s="34" t="e">
        <f>+C13/$C$20</f>
        <v>#DIV/0!</v>
      </c>
      <c r="E13" s="32">
        <v>0</v>
      </c>
      <c r="F13" s="34"/>
      <c r="G13" s="34" t="str">
        <f>IF(C13=0,"",(E13-C13)/ABS(C13)+1)</f>
        <v/>
      </c>
      <c r="H13" s="32">
        <v>1107</v>
      </c>
      <c r="I13" s="34"/>
      <c r="J13" s="34">
        <f>IF(H13=0,"",(E13-H13)/ABS(H13))</f>
        <v>-1</v>
      </c>
      <c r="K13" s="32">
        <v>0</v>
      </c>
      <c r="L13" s="34" t="e">
        <f>+K13/$K$20</f>
        <v>#DIV/0!</v>
      </c>
      <c r="M13" s="32">
        <v>218</v>
      </c>
      <c r="N13" s="34">
        <f>+M13/$M$20</f>
        <v>1.3689692352422919E-2</v>
      </c>
      <c r="O13" s="34" t="str">
        <f>IF(K13=0,"",(M13-K13)/ABS(K13)+1)</f>
        <v/>
      </c>
      <c r="P13" s="32">
        <v>1107</v>
      </c>
      <c r="Q13" s="34"/>
      <c r="R13" s="34">
        <f t="shared" si="0"/>
        <v>-0.80307136404697377</v>
      </c>
      <c r="S13" s="34"/>
      <c r="T13" s="63"/>
      <c r="U13" s="3" t="s">
        <v>33</v>
      </c>
      <c r="V13" s="32"/>
      <c r="W13" s="32"/>
      <c r="X13" s="32">
        <v>0</v>
      </c>
      <c r="Y13" s="32">
        <f>+AF13+V13</f>
        <v>0</v>
      </c>
      <c r="Z13" s="32">
        <f t="shared" ref="Z13:Z16" si="1">+W13+AH13</f>
        <v>0</v>
      </c>
      <c r="AA13" s="63">
        <f>+Y13-Z13</f>
        <v>0</v>
      </c>
      <c r="AB13" s="68" t="str">
        <f>IF(Y13=0,"",(Z13-Y13)/ABS(Y13)+1)</f>
        <v/>
      </c>
      <c r="AC13" s="32">
        <v>217</v>
      </c>
      <c r="AD13" s="34">
        <f>IF(AC13=0,"",(Z13-AC13)/ABS(AC13))</f>
        <v>-1</v>
      </c>
      <c r="AF13" s="32"/>
      <c r="AG13" s="32"/>
      <c r="AH13" s="32"/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/>
    </row>
    <row r="15" spans="1:34" x14ac:dyDescent="0.2">
      <c r="A15" s="94"/>
      <c r="B15" s="3" t="str">
        <f>+'COLOMB$ '!B15</f>
        <v>Voice Experience (Audicóm)</v>
      </c>
      <c r="C15" s="32">
        <v>0</v>
      </c>
      <c r="D15" s="34" t="e">
        <f>+C15/$C$20</f>
        <v>#DIV/0!</v>
      </c>
      <c r="E15" s="32">
        <v>0</v>
      </c>
      <c r="F15" s="34"/>
      <c r="G15" s="34" t="str">
        <f>IF(C15=0,"",(E15-C15)/ABS(C15)+1)</f>
        <v/>
      </c>
      <c r="H15" s="32">
        <v>0</v>
      </c>
      <c r="I15" s="34"/>
      <c r="J15" s="34" t="str">
        <f>IF(H15=0,"",(E15-H15)/ABS(H15))</f>
        <v/>
      </c>
      <c r="K15" s="32">
        <v>0</v>
      </c>
      <c r="L15" s="34"/>
      <c r="M15" s="32">
        <v>1656</v>
      </c>
      <c r="N15" s="34"/>
      <c r="O15" s="34" t="str">
        <f>IF(K15=0,"",(M15-K15)/ABS(K15)+1)</f>
        <v/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/>
      <c r="W15" s="32"/>
      <c r="X15" s="32"/>
      <c r="Y15" s="32">
        <f t="shared" si="2"/>
        <v>0</v>
      </c>
      <c r="Z15" s="32">
        <f t="shared" si="1"/>
        <v>0</v>
      </c>
      <c r="AA15" s="63">
        <f>+Y15-Z15</f>
        <v>0</v>
      </c>
      <c r="AB15" s="68" t="str">
        <f>IF(Y15=0,"",(Z15-Y15)/ABS(Y15)+1)</f>
        <v/>
      </c>
      <c r="AC15" s="32">
        <v>66757</v>
      </c>
      <c r="AD15" s="34">
        <f>IF(AC15=0,"",(Z15-AC15)/ABS(AC15))</f>
        <v>-1</v>
      </c>
      <c r="AF15" s="32"/>
      <c r="AG15" s="32"/>
      <c r="AH15" s="32"/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/>
      <c r="W16" s="32"/>
      <c r="X16" s="32"/>
      <c r="Y16" s="32">
        <f t="shared" si="2"/>
        <v>0</v>
      </c>
      <c r="Z16" s="32">
        <f t="shared" si="1"/>
        <v>0</v>
      </c>
      <c r="AA16" s="63">
        <f>+Y16-Z16</f>
        <v>0</v>
      </c>
      <c r="AB16" s="68" t="str">
        <f>IF(Y16=0,"",(Z16-Y16)/ABS(Y16)+1)</f>
        <v/>
      </c>
      <c r="AC16" s="32">
        <v>18591</v>
      </c>
      <c r="AD16" s="34">
        <f>IF(AC16=0,"",(Z16-AC16)/ABS(AC16))</f>
        <v>-1</v>
      </c>
      <c r="AF16" s="32"/>
      <c r="AG16" s="32"/>
      <c r="AH16" s="32"/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0</v>
      </c>
      <c r="W17" s="32">
        <f>SUM(W13:W16)</f>
        <v>0</v>
      </c>
      <c r="X17" s="32"/>
      <c r="Y17" s="32">
        <f>SUM(Y13:Y16)</f>
        <v>0</v>
      </c>
      <c r="Z17" s="32">
        <f>SUM(Z13:Z16)</f>
        <v>0</v>
      </c>
      <c r="AA17" s="63">
        <f>+Z17-Y17</f>
        <v>0</v>
      </c>
      <c r="AB17" s="68" t="str">
        <f>IF(Y17=0,"",(Z17-Y17)/ABS(Y17)+1)</f>
        <v/>
      </c>
      <c r="AC17" s="32">
        <v>85565</v>
      </c>
      <c r="AD17" s="34">
        <f>IF(AC17=0,"",(Z17-AC17)/ABS(AC17))</f>
        <v>-1</v>
      </c>
      <c r="AF17" s="32"/>
      <c r="AG17" s="32"/>
      <c r="AH17" s="32"/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0</v>
      </c>
      <c r="W19" s="32">
        <f>W11-W17</f>
        <v>0</v>
      </c>
      <c r="X19" s="32"/>
      <c r="Y19" s="32">
        <f>Y11-Y17</f>
        <v>0</v>
      </c>
      <c r="Z19" s="32">
        <f>Z11-Z17</f>
        <v>0</v>
      </c>
      <c r="AA19" s="63">
        <f>+Z19-Y19</f>
        <v>0</v>
      </c>
      <c r="AB19" s="68" t="str">
        <f>IF(Y19=0,"",(Z19-Y19)/ABS(Y19)+1)</f>
        <v/>
      </c>
      <c r="AC19" s="32">
        <v>24385</v>
      </c>
      <c r="AD19" s="34">
        <f>IF(AC19=0,"",(Z19-AC19)/ABS(AC19))</f>
        <v>-1</v>
      </c>
      <c r="AF19" s="32"/>
      <c r="AG19" s="32"/>
      <c r="AH19" s="32"/>
      <c r="AI19" s="55"/>
    </row>
    <row r="20" spans="1:35" x14ac:dyDescent="0.2">
      <c r="B20" s="20" t="s">
        <v>39</v>
      </c>
      <c r="C20" s="69">
        <f>SUM(C10:C19)</f>
        <v>0</v>
      </c>
      <c r="D20" s="45" t="e">
        <f>+C20/$C$20</f>
        <v>#DIV/0!</v>
      </c>
      <c r="E20" s="69">
        <f>SUM(E10:E19)</f>
        <v>6982.9</v>
      </c>
      <c r="F20" s="45">
        <f>+E20/$E$20</f>
        <v>1</v>
      </c>
      <c r="G20" s="45" t="str">
        <f>IF(C20=0,"",(E20-C20)/ABS(C20)+1)</f>
        <v/>
      </c>
      <c r="H20" s="69">
        <f>SUM(H10:H19)</f>
        <v>9712.81</v>
      </c>
      <c r="I20" s="45">
        <f>+H20/$H$20</f>
        <v>1</v>
      </c>
      <c r="J20" s="45">
        <f>IF(H20=0,"",(E20-H20)/ABS(H20))</f>
        <v>-0.28106284381142016</v>
      </c>
      <c r="K20" s="69">
        <f>SUM(K10:K19)</f>
        <v>0</v>
      </c>
      <c r="L20" s="45" t="e">
        <f>+K20/$K$20</f>
        <v>#DIV/0!</v>
      </c>
      <c r="M20" s="69">
        <f>SUM(M10:M19)</f>
        <v>15924.39</v>
      </c>
      <c r="N20" s="45">
        <f>+M20/$M$20</f>
        <v>1</v>
      </c>
      <c r="O20" s="45" t="str">
        <f>IF(K20=0,"",(M20-K20)/ABS(K20)+1)</f>
        <v/>
      </c>
      <c r="P20" s="69">
        <f>SUM(P10:P19)</f>
        <v>19362.63</v>
      </c>
      <c r="Q20" s="45">
        <f>+P20/$P$20</f>
        <v>1</v>
      </c>
      <c r="R20" s="45">
        <f>IF(P20=0,"",(M20-P20)/ABS(P20))</f>
        <v>-0.17757091882662643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9469</v>
      </c>
      <c r="W21" s="32">
        <f>+W10+W19</f>
        <v>0</v>
      </c>
      <c r="X21" s="32">
        <v>16509</v>
      </c>
      <c r="Y21" s="32">
        <f>+Y10+Y19</f>
        <v>0</v>
      </c>
      <c r="Z21" s="32">
        <f>+Z10+Z19</f>
        <v>0</v>
      </c>
      <c r="AA21" s="63">
        <f>+Z21-Y21</f>
        <v>0</v>
      </c>
      <c r="AB21" s="68" t="str">
        <f>IF(Y21=0,"",(Z21-Y21)/ABS(Y21)+1)</f>
        <v/>
      </c>
      <c r="AC21" s="32">
        <v>35644</v>
      </c>
      <c r="AD21" s="34">
        <f>IF(AC21=0,"",(Z21-AC21)/ABS(AC21))</f>
        <v>-1</v>
      </c>
      <c r="AF21" s="32"/>
      <c r="AG21" s="32"/>
      <c r="AH21" s="32"/>
    </row>
    <row r="22" spans="1:35" x14ac:dyDescent="0.2">
      <c r="A22" s="94"/>
      <c r="B22" s="3" t="s">
        <v>41</v>
      </c>
      <c r="C22" s="32">
        <v>0</v>
      </c>
      <c r="D22" s="34" t="e">
        <f>+C22/$C$20</f>
        <v>#DIV/0!</v>
      </c>
      <c r="E22" s="32">
        <v>0</v>
      </c>
      <c r="F22" s="34">
        <f>+E22/$E$20</f>
        <v>0</v>
      </c>
      <c r="G22" s="34" t="str">
        <f>IF(C22=0,"",(E22-C22)/ABS(C22)+1)</f>
        <v/>
      </c>
      <c r="H22" s="32">
        <v>578.92999999999995</v>
      </c>
      <c r="I22" s="34">
        <f>+H22/$H$20</f>
        <v>5.9604789962945839E-2</v>
      </c>
      <c r="J22" s="34">
        <f>IF(H22=0,"",(E22-H22)/ABS(H22))</f>
        <v>-1</v>
      </c>
      <c r="K22" s="32">
        <v>0</v>
      </c>
      <c r="L22" s="34" t="e">
        <f>+K22/$K$20</f>
        <v>#DIV/0!</v>
      </c>
      <c r="M22" s="32">
        <v>0</v>
      </c>
      <c r="N22" s="34">
        <f>+M22/$M$20</f>
        <v>0</v>
      </c>
      <c r="O22" s="34" t="str">
        <f>IF(K22=0,"",(M22-K22)/ABS(K22)+1)</f>
        <v/>
      </c>
      <c r="P22" s="32">
        <v>578.92999999999995</v>
      </c>
      <c r="Q22" s="34">
        <f>+P22/$P$20</f>
        <v>2.9899347351057162E-2</v>
      </c>
      <c r="R22" s="34">
        <f>IF(P22=0,"",(M22-P22)/ABS(P22))</f>
        <v>-1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0</v>
      </c>
      <c r="X23" s="32"/>
      <c r="Y23" s="32">
        <f>+AF23+V23</f>
        <v>0</v>
      </c>
      <c r="Z23" s="32">
        <f>+W23+AH23</f>
        <v>0</v>
      </c>
      <c r="AA23" s="63">
        <f>+Z23-Y23</f>
        <v>0</v>
      </c>
      <c r="AB23" s="68" t="str">
        <f>IF(Y23=0,"",(Z23-Y23)/ABS(Y23)+1)</f>
        <v/>
      </c>
      <c r="AC23" s="32">
        <v>541</v>
      </c>
      <c r="AD23" s="34">
        <f>IF(AC23=0,"",(Z23-AC23)/ABS(AC23))</f>
        <v>-1</v>
      </c>
      <c r="AF23" s="32"/>
      <c r="AG23" s="32"/>
      <c r="AH23" s="32"/>
    </row>
    <row r="24" spans="1:35" x14ac:dyDescent="0.2">
      <c r="B24" s="3" t="s">
        <v>43</v>
      </c>
      <c r="C24" s="32">
        <f>+C20-C22</f>
        <v>0</v>
      </c>
      <c r="D24" s="34" t="e">
        <f>+C24/$C$20</f>
        <v>#DIV/0!</v>
      </c>
      <c r="E24" s="32">
        <f>+E20-E22</f>
        <v>6982.9</v>
      </c>
      <c r="F24" s="34">
        <f>+E24/$E$20</f>
        <v>1</v>
      </c>
      <c r="G24" s="34" t="str">
        <f>IF(C24=0,"",(E24-C24)/ABS(C24)+1)</f>
        <v/>
      </c>
      <c r="H24" s="32">
        <f>+H20-H22</f>
        <v>9133.8799999999992</v>
      </c>
      <c r="I24" s="34">
        <f>+H24/$H$20</f>
        <v>0.94039521003705417</v>
      </c>
      <c r="J24" s="34">
        <f>IF(H24=0,"",(E24-H24)/ABS(H24))</f>
        <v>-0.23549466382304121</v>
      </c>
      <c r="K24" s="32">
        <f>+K20-K22</f>
        <v>0</v>
      </c>
      <c r="L24" s="34" t="e">
        <f>+K24/$K$20</f>
        <v>#DIV/0!</v>
      </c>
      <c r="M24" s="32">
        <f>+M20-M22</f>
        <v>15924.39</v>
      </c>
      <c r="N24" s="34">
        <f>+M24/$M$20</f>
        <v>1</v>
      </c>
      <c r="O24" s="34" t="str">
        <f>IF(K24=0,"",(M24-K24)/ABS(K24)+1)</f>
        <v/>
      </c>
      <c r="P24" s="32">
        <f>+P20-P22</f>
        <v>18783.7</v>
      </c>
      <c r="Q24" s="34">
        <f>+P24/$P$20</f>
        <v>0.97010065264894285</v>
      </c>
      <c r="R24" s="34">
        <f>IF(P24=0,"",(M24-P24)/ABS(P24))</f>
        <v>-0.15222293797281691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/>
      <c r="W25" s="32"/>
      <c r="X25" s="32"/>
      <c r="Y25" s="32">
        <f>+AF25+V25</f>
        <v>0</v>
      </c>
      <c r="Z25" s="32">
        <f t="shared" ref="Z25" si="3">+W25+AH25</f>
        <v>0</v>
      </c>
      <c r="AA25" s="63">
        <f>+Z25-Y25</f>
        <v>0</v>
      </c>
      <c r="AB25" s="68" t="str">
        <f>IF(Y25=0,"",(Z25-Y25)/ABS(Y25)+1)</f>
        <v/>
      </c>
      <c r="AC25" s="32">
        <v>15489</v>
      </c>
      <c r="AD25" s="34">
        <f>IF(AC25=0,"",(Z25-AC25)/ABS(AC25))</f>
        <v>-1</v>
      </c>
      <c r="AF25" s="32"/>
      <c r="AG25" s="32"/>
      <c r="AH25" s="32"/>
    </row>
    <row r="26" spans="1:35" x14ac:dyDescent="0.2">
      <c r="B26" s="3" t="s">
        <v>45</v>
      </c>
      <c r="C26" s="32">
        <v>0</v>
      </c>
      <c r="D26" s="34" t="e">
        <f>+C26/$C$20</f>
        <v>#DIV/0!</v>
      </c>
      <c r="E26" s="32">
        <v>641.4</v>
      </c>
      <c r="F26" s="34">
        <f>+E26/$E$20</f>
        <v>9.1852955075971299E-2</v>
      </c>
      <c r="G26" s="34" t="str">
        <f>IF(C26=0,"",(E26-C26)/ABS(C26)+1)</f>
        <v/>
      </c>
      <c r="H26" s="32">
        <v>628.28</v>
      </c>
      <c r="I26" s="34">
        <f>+H26/$H$20</f>
        <v>6.4685708873127343E-2</v>
      </c>
      <c r="J26" s="34">
        <f>IF(H26=0,"",(E26-H26)/ABS(H26))</f>
        <v>2.0882409116954232E-2</v>
      </c>
      <c r="K26" s="32">
        <v>0</v>
      </c>
      <c r="L26" s="34" t="e">
        <f>+K26/$K$20</f>
        <v>#DIV/0!</v>
      </c>
      <c r="M26" s="32">
        <v>1279.54</v>
      </c>
      <c r="N26" s="34">
        <f>+M26/$M$20</f>
        <v>8.0350958498253314E-2</v>
      </c>
      <c r="O26" s="34" t="str">
        <f>IF(K26=0,"",(M26-K26)/ABS(K26)+1)</f>
        <v/>
      </c>
      <c r="P26" s="32">
        <v>1191.18</v>
      </c>
      <c r="Q26" s="34">
        <f>+P26/$P$20</f>
        <v>6.1519535311060532E-2</v>
      </c>
      <c r="R26" s="34">
        <f>IF(P26=0,"",(M26-P26)/ABS(P26))</f>
        <v>7.4178545643815291E-2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0</v>
      </c>
      <c r="D27" s="34" t="e">
        <f>+C27/$C$20</f>
        <v>#DIV/0!</v>
      </c>
      <c r="E27" s="32">
        <v>1114.6099999999999</v>
      </c>
      <c r="F27" s="34">
        <f>+E27/$E$20</f>
        <v>0.15961992868292543</v>
      </c>
      <c r="G27" s="34" t="str">
        <f>IF(C27=0,"",(E27-C27)/ABS(C27)+1)</f>
        <v/>
      </c>
      <c r="H27" s="32">
        <v>1274.56</v>
      </c>
      <c r="I27" s="34">
        <f>+H27/$H$20</f>
        <v>0.13122464044905646</v>
      </c>
      <c r="J27" s="34">
        <f>IF(H27=0,"",(E27-H27)/ABS(H27))</f>
        <v>-0.12549428822495609</v>
      </c>
      <c r="K27" s="32">
        <v>0</v>
      </c>
      <c r="L27" s="34" t="e">
        <f>+K27/$K$20</f>
        <v>#DIV/0!</v>
      </c>
      <c r="M27" s="32">
        <v>2398.96</v>
      </c>
      <c r="N27" s="34">
        <f>+M27/$M$20</f>
        <v>0.15064690076040591</v>
      </c>
      <c r="O27" s="34" t="str">
        <f>IF(K27=0,"",(M27-K27)/ABS(K27)+1)</f>
        <v/>
      </c>
      <c r="P27" s="32">
        <v>2598.79</v>
      </c>
      <c r="Q27" s="34">
        <f>+P27/$P$20</f>
        <v>0.13421678769877851</v>
      </c>
      <c r="R27" s="34">
        <f>IF(P27=0,"",(M27-P27)/ABS(P27))</f>
        <v>-7.6893477349073966E-2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/>
      <c r="AG27" s="32"/>
    </row>
    <row r="28" spans="1:35" x14ac:dyDescent="0.2">
      <c r="B28" s="3" t="s">
        <v>48</v>
      </c>
      <c r="C28" s="32">
        <f>SUM(C26:C27)</f>
        <v>0</v>
      </c>
      <c r="D28" s="34" t="e">
        <f>+C28/$C$20</f>
        <v>#DIV/0!</v>
      </c>
      <c r="E28" s="32">
        <f>SUM(E26:E27)</f>
        <v>1756.0099999999998</v>
      </c>
      <c r="F28" s="34">
        <f>+E28/$E$20</f>
        <v>0.2514728837588967</v>
      </c>
      <c r="G28" s="34" t="str">
        <f>IF(C28=0,"",(E28-C28)/ABS(C28)+1)</f>
        <v/>
      </c>
      <c r="H28" s="32">
        <f>SUM(H26:H27)</f>
        <v>1902.84</v>
      </c>
      <c r="I28" s="34">
        <f>+H28/$H$20</f>
        <v>0.19591034932218379</v>
      </c>
      <c r="J28" s="34">
        <f>IF(H28=0,"",(E28-H28)/ABS(H28))</f>
        <v>-7.7163608080553364E-2</v>
      </c>
      <c r="K28" s="32">
        <f>SUM(K26:K27)</f>
        <v>0</v>
      </c>
      <c r="L28" s="34" t="e">
        <f>+K28/$K$20</f>
        <v>#DIV/0!</v>
      </c>
      <c r="M28" s="32">
        <f>SUM(M26:M27)</f>
        <v>3678.5</v>
      </c>
      <c r="N28" s="34">
        <f>+M28/$M$20</f>
        <v>0.2309978592586592</v>
      </c>
      <c r="O28" s="34" t="str">
        <f>IF(K28=0,"",(M28-K28)/ABS(K28)+1)</f>
        <v/>
      </c>
      <c r="P28" s="32">
        <f>SUM(P26:P27)</f>
        <v>3789.9700000000003</v>
      </c>
      <c r="Q28" s="34">
        <f>+P28/$P$20</f>
        <v>0.19573632300983906</v>
      </c>
      <c r="R28" s="34">
        <f>IF(P28=0,"",(M28-P28)/ABS(P28))</f>
        <v>-2.9411842310097507E-2</v>
      </c>
      <c r="S28" s="34"/>
      <c r="T28" s="63"/>
      <c r="U28" s="3" t="s">
        <v>49</v>
      </c>
      <c r="V28" s="32"/>
      <c r="W28" s="32"/>
      <c r="X28" s="32"/>
      <c r="Y28" s="32">
        <f t="shared" si="4"/>
        <v>0</v>
      </c>
      <c r="Z28" s="32">
        <f t="shared" si="5"/>
        <v>0</v>
      </c>
      <c r="AA28" s="63">
        <f>+Z28-Y28</f>
        <v>0</v>
      </c>
      <c r="AB28" s="68" t="str">
        <f>IF(Y28=0,"",(Z28-Y28)/ABS(Y28)+1)</f>
        <v/>
      </c>
      <c r="AC28" s="32">
        <v>4447</v>
      </c>
      <c r="AD28" s="34">
        <f>IF(AC28=0,"",(Z28-AC28)/ABS(AC28))</f>
        <v>-1</v>
      </c>
      <c r="AF28" s="32"/>
      <c r="AG28" s="32"/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0</v>
      </c>
      <c r="D30" s="34" t="e">
        <f>+C30/$C$20</f>
        <v>#DIV/0!</v>
      </c>
      <c r="E30" s="32">
        <v>5880.79</v>
      </c>
      <c r="F30" s="34">
        <f>+E30/$E$20</f>
        <v>0.84217015853012367</v>
      </c>
      <c r="G30" s="34" t="str">
        <f>IF(C30=0,"",(E30-C30)/ABS(C30)+1)</f>
        <v/>
      </c>
      <c r="H30" s="32">
        <v>6564.43</v>
      </c>
      <c r="I30" s="34">
        <f>+H30/$H$20</f>
        <v>0.67585281705294353</v>
      </c>
      <c r="J30" s="34">
        <f>IF(H30=0,"",(E30-H30)/ABS(H30))</f>
        <v>-0.10414308629995297</v>
      </c>
      <c r="K30" s="32">
        <v>0</v>
      </c>
      <c r="L30" s="34" t="e">
        <f>+K30/$K$20</f>
        <v>#DIV/0!</v>
      </c>
      <c r="M30" s="32">
        <v>10748.55</v>
      </c>
      <c r="N30" s="34">
        <f>+M30/$M$20</f>
        <v>0.67497404924144655</v>
      </c>
      <c r="O30" s="34" t="str">
        <f>IF(K30=0,"",(M30-K30)/ABS(K30)+1)</f>
        <v/>
      </c>
      <c r="P30" s="32">
        <v>12263.46</v>
      </c>
      <c r="Q30" s="34">
        <f>+P30/$P$20</f>
        <v>0.63335714208245464</v>
      </c>
      <c r="R30" s="34">
        <f>IF(P30=0,"",(M30-P30)/ABS(P30))</f>
        <v>-0.12353039028137247</v>
      </c>
      <c r="S30" s="34"/>
      <c r="T30" s="63"/>
      <c r="U30" s="20" t="s">
        <v>51</v>
      </c>
      <c r="V30" s="69">
        <f>V21-V23-V25-V27-V28</f>
        <v>9469</v>
      </c>
      <c r="W30" s="69">
        <f>W21-W23-W25-W27-W28</f>
        <v>0</v>
      </c>
      <c r="X30" s="69">
        <v>15167</v>
      </c>
      <c r="Y30" s="69">
        <f>Y21-Y23-Y25-Y27-Y28</f>
        <v>0</v>
      </c>
      <c r="Z30" s="69">
        <f>Z21-Z23-Z25-Z27-Z28</f>
        <v>0</v>
      </c>
      <c r="AA30" s="71">
        <f>+Z30-Y30</f>
        <v>0</v>
      </c>
      <c r="AB30" s="72">
        <f>IF(V30=0,"",(W30-V30)/ABS(V30)+1)</f>
        <v>0</v>
      </c>
      <c r="AC30" s="69">
        <v>15167</v>
      </c>
      <c r="AD30" s="34">
        <f>IF(AC30=0,"",(Z30-AC30)/ABS(AC30))</f>
        <v>-1</v>
      </c>
      <c r="AF30" s="67"/>
    </row>
    <row r="31" spans="1:35" x14ac:dyDescent="0.2">
      <c r="B31" s="3" t="s">
        <v>52</v>
      </c>
      <c r="C31" s="32">
        <v>0</v>
      </c>
      <c r="D31" s="34" t="e">
        <f>+C31/$C$20</f>
        <v>#DIV/0!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 t="e">
        <f>+K31/$K$20</f>
        <v>#DIV/0!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/>
      <c r="W31" s="63"/>
      <c r="X31" s="61"/>
      <c r="Y31" s="32"/>
      <c r="Z31" s="32"/>
      <c r="AA31" s="95"/>
      <c r="AB31" s="61"/>
      <c r="AC31" s="32"/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0</v>
      </c>
      <c r="D32" s="34" t="e">
        <f>+C32/$C$20</f>
        <v>#DIV/0!</v>
      </c>
      <c r="E32" s="32">
        <f>SUM(E30:E31)</f>
        <v>5880.79</v>
      </c>
      <c r="F32" s="34">
        <f>+E32/$E$20</f>
        <v>0.84217015853012367</v>
      </c>
      <c r="G32" s="34" t="str">
        <f>IF(C32=0,"",(E32-C32)/ABS(C32)+1)</f>
        <v/>
      </c>
      <c r="H32" s="32">
        <f>SUM(H30:H31)</f>
        <v>6564.43</v>
      </c>
      <c r="I32" s="34">
        <f>+H32/$H$20</f>
        <v>0.67585281705294353</v>
      </c>
      <c r="J32" s="34">
        <f>IF(H32=0,"",(E32-H32)/ABS(H32))</f>
        <v>-0.10414308629995297</v>
      </c>
      <c r="K32" s="32">
        <f>SUM(K30:K31)</f>
        <v>0</v>
      </c>
      <c r="L32" s="34" t="e">
        <f>+K32/$K$20</f>
        <v>#DIV/0!</v>
      </c>
      <c r="M32" s="32">
        <f>SUM(M30:M31)</f>
        <v>10748.55</v>
      </c>
      <c r="N32" s="34">
        <f>+M32/$M$20</f>
        <v>0.67497404924144655</v>
      </c>
      <c r="O32" s="34" t="str">
        <f>IF(K32=0,"",(M32-K32)/ABS(K32)+1)</f>
        <v/>
      </c>
      <c r="P32" s="32">
        <f>SUM(P30:P31)</f>
        <v>12263.46</v>
      </c>
      <c r="Q32" s="34">
        <f>+P32/$P$20</f>
        <v>0.63335714208245464</v>
      </c>
      <c r="R32" s="34">
        <f>IF(P32=0,"",(M32-P32)/ABS(P32))</f>
        <v>-0.12353039028137247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0</v>
      </c>
      <c r="D34" s="34" t="e">
        <f>+C34/$C$20</f>
        <v>#DIV/0!</v>
      </c>
      <c r="E34" s="32">
        <f>E28+E32</f>
        <v>7636.7999999999993</v>
      </c>
      <c r="F34" s="34">
        <f>+E34/$E$20</f>
        <v>1.0936430422890202</v>
      </c>
      <c r="G34" s="34" t="str">
        <f>IF(C34=0,"",(E34-C34)/ABS(C34)+1)</f>
        <v/>
      </c>
      <c r="H34" s="32">
        <f>H28+H32</f>
        <v>8467.27</v>
      </c>
      <c r="I34" s="34">
        <f>+H34/$H$20</f>
        <v>0.87176316637512741</v>
      </c>
      <c r="J34" s="34">
        <f>IF(H34=0,"",(E34-H34)/ABS(H34))</f>
        <v>-9.8080018707328465E-2</v>
      </c>
      <c r="K34" s="32">
        <f>K28+K32</f>
        <v>0</v>
      </c>
      <c r="L34" s="34" t="e">
        <f>+K34/$K$20</f>
        <v>#DIV/0!</v>
      </c>
      <c r="M34" s="32">
        <f>M28+M32</f>
        <v>14427.05</v>
      </c>
      <c r="N34" s="34">
        <f>+M34/$M$20</f>
        <v>0.90597190850010578</v>
      </c>
      <c r="O34" s="34" t="str">
        <f>IF(K34=0,"",(M34-K34)/ABS(K34)+1)</f>
        <v/>
      </c>
      <c r="P34" s="32">
        <f>P28+P32</f>
        <v>16053.43</v>
      </c>
      <c r="Q34" s="34">
        <f>+P34/$P$20</f>
        <v>0.82909346509229376</v>
      </c>
      <c r="R34" s="34">
        <f>IF(P34=0,"",(M34-P34)/ABS(P34))</f>
        <v>-0.1013104364612423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0</v>
      </c>
      <c r="D36" s="45" t="e">
        <f>+C36/$C$20</f>
        <v>#DIV/0!</v>
      </c>
      <c r="E36" s="69">
        <f>E24-E34</f>
        <v>-653.89999999999964</v>
      </c>
      <c r="F36" s="45">
        <f>+E36/$E$20</f>
        <v>-9.3643042289020276E-2</v>
      </c>
      <c r="G36" s="45" t="str">
        <f>IF(C36=0,"",(E36-C36)/ABS(C36)+1)</f>
        <v/>
      </c>
      <c r="H36" s="69">
        <f>H24-H34</f>
        <v>666.60999999999876</v>
      </c>
      <c r="I36" s="45">
        <f>+H36/$H$20</f>
        <v>6.8632043661926753E-2</v>
      </c>
      <c r="J36" s="45">
        <f>IF(H36=0,"",(E36-H36)/ABS(H36))</f>
        <v>-1.980933379337245</v>
      </c>
      <c r="K36" s="69">
        <f>K24-K34</f>
        <v>0</v>
      </c>
      <c r="L36" s="45" t="e">
        <f>+K36/$K$20</f>
        <v>#DIV/0!</v>
      </c>
      <c r="M36" s="69">
        <f>M24-M34</f>
        <v>1497.3400000000001</v>
      </c>
      <c r="N36" s="45">
        <f>+M36/$M$20</f>
        <v>9.4028091499894204E-2</v>
      </c>
      <c r="O36" s="45" t="str">
        <f>IF(K36=0,"",(M36-K36)/ABS(K36)+1)</f>
        <v/>
      </c>
      <c r="P36" s="69">
        <f>P24-P34</f>
        <v>2730.2700000000004</v>
      </c>
      <c r="Q36" s="45">
        <f>+P36/$P$20</f>
        <v>0.14100718755664909</v>
      </c>
      <c r="R36" s="45">
        <f>IF(P36=0,"",(M36-P36)/ABS(P36))</f>
        <v>-0.45157804905741927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96" t="s">
        <v>108</v>
      </c>
      <c r="V37" s="97" t="s">
        <v>8</v>
      </c>
      <c r="W37" s="97" t="s">
        <v>109</v>
      </c>
      <c r="X37" s="97"/>
      <c r="Y37" s="96"/>
      <c r="Z37" s="96"/>
      <c r="AA37" s="96"/>
      <c r="AB37" s="96"/>
      <c r="AC37" s="96"/>
    </row>
    <row r="38" spans="1:34" x14ac:dyDescent="0.2">
      <c r="B38" s="3" t="s">
        <v>56</v>
      </c>
      <c r="C38" s="32">
        <v>0</v>
      </c>
      <c r="D38" s="34" t="e">
        <f>+C38/$C$20</f>
        <v>#DIV/0!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 t="e">
        <f>+K38/$K$20</f>
        <v>#DIV/0!</v>
      </c>
      <c r="M38" s="32">
        <v>0</v>
      </c>
      <c r="N38" s="34">
        <f>+M38/$M$20</f>
        <v>0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U38" s="96" t="s">
        <v>110</v>
      </c>
      <c r="V38" s="98">
        <f>+V30</f>
        <v>9469</v>
      </c>
      <c r="W38" s="98">
        <f>+W30</f>
        <v>0</v>
      </c>
      <c r="X38" s="99">
        <f>+W38/V38</f>
        <v>0</v>
      </c>
      <c r="Y38" s="96"/>
      <c r="Z38" s="96"/>
      <c r="AA38" s="96"/>
      <c r="AB38" s="96"/>
      <c r="AC38" s="96"/>
    </row>
    <row r="39" spans="1:34" x14ac:dyDescent="0.2">
      <c r="B39" s="3" t="s">
        <v>57</v>
      </c>
      <c r="C39" s="32">
        <v>0</v>
      </c>
      <c r="D39" s="34" t="e">
        <f>+C39/$C$20</f>
        <v>#DIV/0!</v>
      </c>
      <c r="E39" s="32">
        <v>43.12</v>
      </c>
      <c r="F39" s="34">
        <f>+E39/$E$20</f>
        <v>6.1750848501338981E-3</v>
      </c>
      <c r="G39" s="34" t="str">
        <f>IF(C39=0,"",(E39-C39)/ABS(C39)+1)</f>
        <v/>
      </c>
      <c r="H39" s="32">
        <v>4.8099999999999996</v>
      </c>
      <c r="I39" s="34">
        <f>+H39/$H$20</f>
        <v>4.9522228891536019E-4</v>
      </c>
      <c r="J39" s="34">
        <f>IF(H39=0,"",(E39-H39)/ABS(H39))</f>
        <v>7.9646569646569647</v>
      </c>
      <c r="K39" s="32">
        <v>0</v>
      </c>
      <c r="L39" s="34" t="e">
        <f>+K39/$K$20</f>
        <v>#DIV/0!</v>
      </c>
      <c r="M39" s="32">
        <v>62.04</v>
      </c>
      <c r="N39" s="34">
        <f>+M39/$M$20</f>
        <v>3.8959106125886142E-3</v>
      </c>
      <c r="O39" s="34" t="str">
        <f>IF(K39=0,"",(M39-K39)/ABS(K39)+1)</f>
        <v/>
      </c>
      <c r="P39" s="32">
        <v>11.83</v>
      </c>
      <c r="Q39" s="34">
        <f>+P39/$P$20</f>
        <v>6.1097072040316839E-4</v>
      </c>
      <c r="R39" s="34">
        <f>IF(P39=0,"",(M39-P39)/ABS(P39))</f>
        <v>4.2442941673710903</v>
      </c>
      <c r="S39" s="34"/>
      <c r="T39" s="63"/>
      <c r="U39" s="96" t="s">
        <v>111</v>
      </c>
      <c r="V39" s="98">
        <f>+'VENEZUELA USD'!W24</f>
        <v>0</v>
      </c>
      <c r="W39" s="98">
        <f>+'VENEZUELA USD'!Y24</f>
        <v>0</v>
      </c>
      <c r="X39" s="96"/>
      <c r="Y39" s="96"/>
      <c r="Z39" s="96"/>
      <c r="AA39" s="96"/>
      <c r="AB39" s="96"/>
      <c r="AC39" s="96"/>
    </row>
    <row r="40" spans="1:34" x14ac:dyDescent="0.2">
      <c r="J40" s="34"/>
      <c r="R40" s="34"/>
      <c r="S40" s="34"/>
      <c r="U40" s="96" t="s">
        <v>112</v>
      </c>
      <c r="V40" s="98">
        <f>+'PANAMA USD'!U30</f>
        <v>0</v>
      </c>
      <c r="W40" s="98">
        <f>+'PANAMA USD'!V30</f>
        <v>0</v>
      </c>
      <c r="X40" s="96"/>
      <c r="Y40" s="96"/>
      <c r="Z40" s="96"/>
      <c r="AA40" s="96"/>
      <c r="AB40" s="96"/>
      <c r="AC40" s="96"/>
      <c r="AG40" s="55"/>
    </row>
    <row r="41" spans="1:34" x14ac:dyDescent="0.2">
      <c r="B41" s="3" t="s">
        <v>58</v>
      </c>
      <c r="C41" s="32">
        <f>C36+C38-C39</f>
        <v>0</v>
      </c>
      <c r="D41" s="34" t="e">
        <f>+C41/$C$20</f>
        <v>#DIV/0!</v>
      </c>
      <c r="E41" s="32">
        <f>E36+E38-E39</f>
        <v>-697.01999999999964</v>
      </c>
      <c r="F41" s="34">
        <f>+E41/$E$20</f>
        <v>-9.9818127139154167E-2</v>
      </c>
      <c r="G41" s="34" t="str">
        <f>IF(C41=0,"",(E41-C41)/ABS(C41)+1)</f>
        <v/>
      </c>
      <c r="H41" s="32">
        <f>H36+H38-H39</f>
        <v>661.79999999999882</v>
      </c>
      <c r="I41" s="34">
        <f>+H41/$H$20</f>
        <v>6.81368213730114E-2</v>
      </c>
      <c r="J41" s="34">
        <f>IF(H41=0,"",(E41-H41)/ABS(H41))</f>
        <v>-2.0532184950136005</v>
      </c>
      <c r="K41" s="32">
        <f>K36+K38-K39</f>
        <v>0</v>
      </c>
      <c r="L41" s="34" t="e">
        <f>+K41/$K$20</f>
        <v>#DIV/0!</v>
      </c>
      <c r="M41" s="32">
        <f>M36+M38-M39</f>
        <v>1435.3000000000002</v>
      </c>
      <c r="N41" s="34">
        <f>+M41/$M$20</f>
        <v>9.0132180887305582E-2</v>
      </c>
      <c r="O41" s="34" t="str">
        <f>IF(K41=0,"",(M41-K41)/ABS(K41)+1)</f>
        <v/>
      </c>
      <c r="P41" s="32">
        <f>P36+P38-P39</f>
        <v>2718.4400000000005</v>
      </c>
      <c r="Q41" s="34">
        <f>+P41/$P$20</f>
        <v>0.14039621683624592</v>
      </c>
      <c r="R41" s="34">
        <f>IF(P41=0,"",(M41-P41)/ABS(P41))</f>
        <v>-0.47201336060387578</v>
      </c>
      <c r="S41" s="34"/>
      <c r="T41" s="63"/>
      <c r="U41" s="96" t="s">
        <v>113</v>
      </c>
      <c r="V41" s="98">
        <f>SUM(V38:V40)</f>
        <v>9469</v>
      </c>
      <c r="W41" s="98">
        <f>SUM(W38:W40)</f>
        <v>0</v>
      </c>
      <c r="X41" s="96" t="s">
        <v>114</v>
      </c>
      <c r="Y41" s="96"/>
      <c r="Z41" s="96"/>
      <c r="AA41" s="96"/>
      <c r="AB41" s="96"/>
      <c r="AC41" s="96"/>
    </row>
    <row r="42" spans="1:34" x14ac:dyDescent="0.2">
      <c r="A42" s="94"/>
      <c r="B42" s="3" t="s">
        <v>44</v>
      </c>
      <c r="C42" s="32">
        <v>0</v>
      </c>
      <c r="D42" s="34" t="e">
        <f>+C42/$C$20</f>
        <v>#DIV/0!</v>
      </c>
      <c r="E42" s="32">
        <v>-159</v>
      </c>
      <c r="F42" s="34">
        <f>+E42/$E$20</f>
        <v>-2.2769909349983533E-2</v>
      </c>
      <c r="G42" s="34" t="str">
        <f>IF(C42=0,"",(E42-C42)/ABS(C42)+1)</f>
        <v/>
      </c>
      <c r="H42" s="32">
        <v>166.5</v>
      </c>
      <c r="I42" s="34">
        <f>+H42/$H$20</f>
        <v>1.7142310000916317E-2</v>
      </c>
      <c r="J42" s="34">
        <f>IF(H42=0,"",(E42-H42)/ABS(H42))</f>
        <v>-1.954954954954955</v>
      </c>
      <c r="K42" s="32">
        <v>0</v>
      </c>
      <c r="L42" s="34" t="e">
        <f>+K42/$K$20</f>
        <v>#DIV/0!</v>
      </c>
      <c r="M42" s="32">
        <v>374.08</v>
      </c>
      <c r="N42" s="34">
        <f>+M42/$M$20</f>
        <v>2.3491009702726447E-2</v>
      </c>
      <c r="O42" s="34" t="str">
        <f>IF(K42=0,"",(M42-K42)/ABS(K42)+1)</f>
        <v/>
      </c>
      <c r="P42" s="32">
        <v>680.66</v>
      </c>
      <c r="Q42" s="34">
        <f>+P42/$P$20</f>
        <v>3.5153282379511458E-2</v>
      </c>
      <c r="R42" s="34">
        <f>IF(P42=0,"",(M42-P42)/ABS(P42))</f>
        <v>-0.45041577292627744</v>
      </c>
      <c r="S42" s="34"/>
      <c r="T42" s="63"/>
      <c r="U42" s="96" t="s">
        <v>115</v>
      </c>
      <c r="V42" s="98">
        <f>+V41-V39</f>
        <v>9469</v>
      </c>
      <c r="W42" s="98">
        <f>+W41-W39</f>
        <v>0</v>
      </c>
      <c r="X42" s="100">
        <f>+W42/V42</f>
        <v>0</v>
      </c>
      <c r="Y42" s="96"/>
      <c r="Z42" s="96"/>
      <c r="AA42" s="96"/>
      <c r="AB42" s="96"/>
      <c r="AC42" s="96"/>
    </row>
    <row r="43" spans="1:34" x14ac:dyDescent="0.2">
      <c r="B43" s="20" t="s">
        <v>59</v>
      </c>
      <c r="C43" s="69">
        <f>C41-C42</f>
        <v>0</v>
      </c>
      <c r="D43" s="45" t="e">
        <f>+C43/$C$20</f>
        <v>#DIV/0!</v>
      </c>
      <c r="E43" s="69">
        <f>E41-E42</f>
        <v>-538.01999999999964</v>
      </c>
      <c r="F43" s="45">
        <f>+E43/$E$20</f>
        <v>-7.7048217789170648E-2</v>
      </c>
      <c r="G43" s="45" t="str">
        <f>IF(C43=0,"",(E43-C43)/ABS(C43)+1)</f>
        <v/>
      </c>
      <c r="H43" s="69">
        <f>H41-H42</f>
        <v>495.29999999999882</v>
      </c>
      <c r="I43" s="45">
        <f>+H43/$H$20</f>
        <v>5.0994511372095083E-2</v>
      </c>
      <c r="J43" s="45">
        <f>IF(H43=0,"",(E43-H43)/ABS(H43))</f>
        <v>-2.0862507571169004</v>
      </c>
      <c r="K43" s="69">
        <f>K41-K42</f>
        <v>0</v>
      </c>
      <c r="L43" s="45" t="e">
        <f>+K43/$K$20</f>
        <v>#DIV/0!</v>
      </c>
      <c r="M43" s="69">
        <f>M41-M42</f>
        <v>1061.2200000000003</v>
      </c>
      <c r="N43" s="45">
        <f>+M43/$M$20</f>
        <v>6.6641171184579143E-2</v>
      </c>
      <c r="O43" s="45" t="str">
        <f>IF(K43=0,"",(M43-K43)/ABS(K43)+1)</f>
        <v/>
      </c>
      <c r="P43" s="69">
        <f>P41-P42</f>
        <v>2037.7800000000007</v>
      </c>
      <c r="Q43" s="45">
        <f>+P43/$P$20</f>
        <v>0.10524293445673447</v>
      </c>
      <c r="R43" s="45">
        <f>IF(P43=0,"",(M43-P43)/ABS(P43))</f>
        <v>-0.4792273945175633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0</v>
      </c>
      <c r="D45" s="34" t="e">
        <f>+C45/$C$20</f>
        <v>#DIV/0!</v>
      </c>
      <c r="E45" s="32">
        <v>-323.78999999999962</v>
      </c>
      <c r="F45" s="34">
        <f>+E45/$E$20</f>
        <v>-4.6368987097051319E-2</v>
      </c>
      <c r="G45" s="34" t="str">
        <f>IF(C45=0,"",(E45-C45)/ABS(C45)+1)</f>
        <v/>
      </c>
      <c r="H45" s="32">
        <v>936.3199999999988</v>
      </c>
      <c r="I45" s="34">
        <f>+H45/$H$20</f>
        <v>9.6400526727074748E-2</v>
      </c>
      <c r="J45" s="34">
        <f>IF(H45=0,"",(E45-H45)/ABS(H45))</f>
        <v>-1.3458112611073136</v>
      </c>
      <c r="K45" s="32">
        <v>0</v>
      </c>
      <c r="L45" s="34" t="e">
        <f>+K45/$K$20</f>
        <v>#DIV/0!</v>
      </c>
      <c r="M45" s="32">
        <v>2157.4900000000002</v>
      </c>
      <c r="N45" s="34">
        <f>+M45/$M$20</f>
        <v>0.13548336859371068</v>
      </c>
      <c r="O45" s="34" t="str">
        <f>IF(K45=0,"",(M45-K45)/ABS(K45)+1)</f>
        <v/>
      </c>
      <c r="P45" s="32">
        <v>3272.2200000000003</v>
      </c>
      <c r="Q45" s="34">
        <f>+P45/$P$20</f>
        <v>0.16899667039033436</v>
      </c>
      <c r="R45" s="34">
        <f>IF(P45=0,"",(M45-P45)/ABS(P45))</f>
        <v>-0.3406647474803039</v>
      </c>
      <c r="S45" s="34"/>
      <c r="T45" s="63"/>
    </row>
    <row r="46" spans="1:34" x14ac:dyDescent="0.2">
      <c r="B46" s="3" t="s">
        <v>35</v>
      </c>
      <c r="C46" s="32">
        <v>0</v>
      </c>
      <c r="D46" s="34" t="e">
        <f>+C46/$C$20</f>
        <v>#DIV/0!</v>
      </c>
      <c r="E46" s="32">
        <v>5121.8500000000004</v>
      </c>
      <c r="F46" s="34">
        <f>+E46/$E$20</f>
        <v>0.73348465537240981</v>
      </c>
      <c r="G46" s="34" t="str">
        <f>IF(C46=0,"",(E46-C46)/ABS(C46)+1)</f>
        <v/>
      </c>
      <c r="H46" s="32">
        <v>5665.42</v>
      </c>
      <c r="I46" s="34">
        <f>+H46/$H$20</f>
        <v>0.58329360916150941</v>
      </c>
      <c r="J46" s="34">
        <f>IF(H46=0,"",(E46-H46)/ABS(H46))</f>
        <v>-9.594522559669004E-2</v>
      </c>
      <c r="K46" s="32">
        <v>0</v>
      </c>
      <c r="L46" s="34" t="e">
        <f>+K46/$K$20</f>
        <v>#DIV/0!</v>
      </c>
      <c r="M46" s="32">
        <v>9881.58</v>
      </c>
      <c r="N46" s="34">
        <f>+M46/$M$20</f>
        <v>0.62053114750392324</v>
      </c>
      <c r="O46" s="34" t="str">
        <f>IF(K46=0,"",(M46-K46)/ABS(K46)+1)</f>
        <v/>
      </c>
      <c r="P46" s="32">
        <v>11213.47</v>
      </c>
      <c r="Q46" s="34">
        <f>+P46/$P$20</f>
        <v>0.57912948809123543</v>
      </c>
      <c r="R46" s="34">
        <f>IF(P46=0,"",(M46-P46)/ABS(P46))</f>
        <v>-0.11877590076934254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116</v>
      </c>
      <c r="C56" s="55" t="s">
        <v>117</v>
      </c>
      <c r="E56" s="55" t="s">
        <v>118</v>
      </c>
      <c r="N56" s="55" t="s">
        <v>119</v>
      </c>
      <c r="R56" s="55" t="s">
        <v>120</v>
      </c>
      <c r="S56" s="55"/>
    </row>
    <row r="57" spans="2:19" x14ac:dyDescent="0.2">
      <c r="B57" s="2" t="s">
        <v>110</v>
      </c>
      <c r="C57" s="55">
        <f>+C36</f>
        <v>0</v>
      </c>
      <c r="E57" s="55">
        <f>+E36</f>
        <v>-653.89999999999964</v>
      </c>
      <c r="N57" s="55">
        <f>+K36</f>
        <v>0</v>
      </c>
      <c r="R57" s="55">
        <f>+M36</f>
        <v>1497.3400000000001</v>
      </c>
      <c r="S57" s="55"/>
    </row>
    <row r="58" spans="2:19" x14ac:dyDescent="0.2">
      <c r="B58" s="2" t="s">
        <v>121</v>
      </c>
      <c r="C58" s="55">
        <f>+'VENEZUELA USD'!C36</f>
        <v>0</v>
      </c>
      <c r="E58" s="55">
        <f>+'VENEZUELA USD'!E36</f>
        <v>616.62606149341059</v>
      </c>
      <c r="N58" s="55">
        <f>+'VENEZUELA USD'!K36</f>
        <v>0</v>
      </c>
      <c r="R58" s="55" t="str">
        <f>+'VENEZUELA USD'!O36</f>
        <v/>
      </c>
      <c r="S58" s="55"/>
    </row>
    <row r="59" spans="2:19" x14ac:dyDescent="0.2">
      <c r="B59" s="2" t="s">
        <v>122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0</v>
      </c>
      <c r="S59" s="55"/>
    </row>
    <row r="60" spans="2:19" x14ac:dyDescent="0.2">
      <c r="B60" s="2" t="s">
        <v>123</v>
      </c>
      <c r="C60" s="55">
        <f>SUM(C57:C59)</f>
        <v>0</v>
      </c>
      <c r="E60" s="55">
        <f>SUM(E57:E59)</f>
        <v>-37.273938506589047</v>
      </c>
      <c r="N60" s="55">
        <f>SUM(N57:N59)</f>
        <v>0</v>
      </c>
      <c r="R60" s="55">
        <f>SUM(R57:R59)</f>
        <v>1497.3400000000001</v>
      </c>
      <c r="S60" s="55"/>
    </row>
    <row r="61" spans="2:19" x14ac:dyDescent="0.2">
      <c r="B61" s="2" t="s">
        <v>124</v>
      </c>
      <c r="C61" s="55">
        <f>+C60-C58</f>
        <v>0</v>
      </c>
      <c r="E61" s="55">
        <f>+E60-E58</f>
        <v>-653.89999999999964</v>
      </c>
    </row>
    <row r="62" spans="2:19" x14ac:dyDescent="0.2">
      <c r="B62" s="79" t="s">
        <v>125</v>
      </c>
    </row>
    <row r="63" spans="2:19" x14ac:dyDescent="0.2">
      <c r="B63" s="2" t="s">
        <v>110</v>
      </c>
      <c r="C63" s="55">
        <f>+C43</f>
        <v>0</v>
      </c>
      <c r="E63" s="55">
        <f>+E43</f>
        <v>-538.01999999999964</v>
      </c>
      <c r="K63" s="2" t="e">
        <f>+E63/C63</f>
        <v>#DIV/0!</v>
      </c>
    </row>
    <row r="64" spans="2:19" x14ac:dyDescent="0.2">
      <c r="B64" s="2" t="s">
        <v>126</v>
      </c>
      <c r="C64" s="55">
        <f>+'VENEZUELA USD'!C43</f>
        <v>0</v>
      </c>
      <c r="E64" s="55">
        <f>+'VENEZUELA USD'!E43</f>
        <v>2199.1736456808189</v>
      </c>
    </row>
    <row r="65" spans="2:6" x14ac:dyDescent="0.2">
      <c r="B65" s="2" t="s">
        <v>122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127</v>
      </c>
      <c r="C66" s="55">
        <f>SUM(C63:C65)</f>
        <v>0</v>
      </c>
      <c r="E66" s="55">
        <f>SUM(E63:E65)</f>
        <v>1661.1536456808194</v>
      </c>
    </row>
    <row r="68" spans="2:6" x14ac:dyDescent="0.2">
      <c r="B68" s="79" t="s">
        <v>128</v>
      </c>
      <c r="C68" s="101">
        <f>+C63+C65</f>
        <v>0</v>
      </c>
      <c r="D68" s="79"/>
      <c r="E68" s="101">
        <f>+E63+E65</f>
        <v>-538.01999999999964</v>
      </c>
      <c r="F68" s="102" t="e">
        <f>+E68/C68</f>
        <v>#DIV/0!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92F9-78A8-4894-979D-08FC46191BE9}">
  <sheetPr>
    <tabColor theme="0" tint="-0.14999847407452621"/>
  </sheetPr>
  <dimension ref="A1:AH48"/>
  <sheetViews>
    <sheetView showGridLines="0" topLeftCell="C5" zoomScale="98" zoomScaleNormal="98" workbookViewId="0">
      <selection activeCell="V31" sqref="V31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129</v>
      </c>
      <c r="T3" s="18" t="s">
        <v>129</v>
      </c>
    </row>
    <row r="4" spans="1:34" x14ac:dyDescent="0.2">
      <c r="B4" s="3" t="s">
        <v>103</v>
      </c>
      <c r="C4" s="91"/>
      <c r="S4" s="103"/>
      <c r="T4" s="3" t="s">
        <v>21</v>
      </c>
    </row>
    <row r="5" spans="1:34" ht="15.75" customHeight="1" thickBot="1" x14ac:dyDescent="0.25">
      <c r="B5" s="3" t="s">
        <v>130</v>
      </c>
      <c r="E5" s="104"/>
      <c r="T5" s="3" t="s">
        <v>130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FEBRERO de 2025</v>
      </c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FEBRERO de 2025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2025</v>
      </c>
      <c r="D7" s="61"/>
      <c r="E7" s="61" t="str">
        <f>+'COL. CONS.$'!E7:E7</f>
        <v>Real 2025</v>
      </c>
      <c r="F7" s="61"/>
      <c r="G7" s="61" t="s">
        <v>24</v>
      </c>
      <c r="H7" s="61" t="str">
        <f>+'COL. CONS.$'!H7:H7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/>
      <c r="D10" s="68" t="str">
        <f t="shared" ref="D10:D20" si="0">IF($C$20=0," ",C10/$C$20)</f>
        <v xml:space="preserve"> </v>
      </c>
      <c r="E10" s="32">
        <v>165568</v>
      </c>
      <c r="F10" s="68">
        <f t="shared" ref="F10:F15" si="1">+E10/$E$20</f>
        <v>0.42519843089945109</v>
      </c>
      <c r="G10" s="68" t="str">
        <f t="shared" ref="G10:G15" si="2">IF(C10=0,"",(E10-C10)/ABS(C10)+1)</f>
        <v/>
      </c>
      <c r="H10" s="32">
        <v>92778</v>
      </c>
      <c r="I10" s="68">
        <f t="shared" ref="I10:I15" si="3">+H10/$H$20</f>
        <v>0.29542335480542969</v>
      </c>
      <c r="J10" s="68">
        <f t="shared" ref="J10:J15" si="4">IF(H10=0,"",(E10-H10)/ABS(H10))</f>
        <v>0.78456099506348487</v>
      </c>
      <c r="K10" s="32"/>
      <c r="L10" s="68" t="str">
        <f t="shared" ref="L10:L20" si="5">IF($K$20=0," ",K10/$K$20)</f>
        <v xml:space="preserve"> </v>
      </c>
      <c r="M10" s="32">
        <v>314543</v>
      </c>
      <c r="N10" s="68">
        <f t="shared" ref="N10:N15" si="6">+M10/$M$20</f>
        <v>0.46363106627510015</v>
      </c>
      <c r="O10" s="68" t="str">
        <f>IF(K10=0,"",(M10-K10)/ABS(K10)+1)</f>
        <v/>
      </c>
      <c r="P10" s="32">
        <v>1052369</v>
      </c>
      <c r="Q10" s="68">
        <f t="shared" ref="Q10:Q15" si="7">+P10/$P$20</f>
        <v>0.45542234266390969</v>
      </c>
      <c r="R10" s="68">
        <f t="shared" ref="R10:R15" si="8">IF(P10=0,"",(M10-P10)/ABS(P10))</f>
        <v>-0.7011095917876714</v>
      </c>
      <c r="T10" s="3" t="s">
        <v>31</v>
      </c>
      <c r="U10" s="32"/>
      <c r="V10" s="32">
        <v>263074.66000000003</v>
      </c>
      <c r="W10" s="32">
        <v>137154</v>
      </c>
      <c r="X10" s="32">
        <v>236652</v>
      </c>
      <c r="Y10" s="32">
        <v>238865</v>
      </c>
      <c r="Z10" s="63">
        <f>+Y10-X10</f>
        <v>2213</v>
      </c>
      <c r="AA10" s="68">
        <f>IF(X10=0,"",(Y10-X10)/ABS(X10)+1)</f>
        <v>1.0093512837415277</v>
      </c>
      <c r="AB10" s="32">
        <v>37026</v>
      </c>
      <c r="AC10" s="68">
        <f>IF(W10=0,"",(Y10-AB10)/ABS(AB10))</f>
        <v>5.451277480689245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/>
      <c r="D11" s="68" t="str">
        <f t="shared" si="0"/>
        <v xml:space="preserve"> </v>
      </c>
      <c r="E11" s="32">
        <v>44484.78</v>
      </c>
      <c r="F11" s="68">
        <f t="shared" si="1"/>
        <v>0.1142422367541269</v>
      </c>
      <c r="G11" s="68" t="str">
        <f t="shared" si="2"/>
        <v/>
      </c>
      <c r="H11" s="32">
        <v>73222</v>
      </c>
      <c r="I11" s="68">
        <f t="shared" si="3"/>
        <v>0.23315321396843189</v>
      </c>
      <c r="J11" s="68">
        <f t="shared" si="4"/>
        <v>-0.39246701810931145</v>
      </c>
      <c r="K11" s="32"/>
      <c r="L11" s="68" t="str">
        <f t="shared" si="5"/>
        <v xml:space="preserve"> </v>
      </c>
      <c r="M11" s="32">
        <v>83787.47</v>
      </c>
      <c r="N11" s="68">
        <f t="shared" si="6"/>
        <v>0.12350131478555544</v>
      </c>
      <c r="O11" s="68" t="str">
        <f>IF(K11=0,"",(M11-K11)/ABS(K11)+1)</f>
        <v/>
      </c>
      <c r="P11" s="32">
        <v>401761</v>
      </c>
      <c r="Q11" s="68">
        <f t="shared" si="7"/>
        <v>0.17386575983423591</v>
      </c>
      <c r="R11" s="68">
        <f t="shared" si="8"/>
        <v>-0.79144946871398669</v>
      </c>
      <c r="T11" s="3" t="s">
        <v>32</v>
      </c>
      <c r="U11" s="32"/>
      <c r="V11" s="32">
        <v>377069.93</v>
      </c>
      <c r="W11" s="32">
        <v>201775</v>
      </c>
      <c r="X11" s="32">
        <f>+AD8+U11</f>
        <v>0</v>
      </c>
      <c r="Y11" s="32">
        <v>719983</v>
      </c>
      <c r="Z11" s="63">
        <f>+Y11-X11</f>
        <v>719983</v>
      </c>
      <c r="AA11" s="68" t="str">
        <f>IF(X11=0,"",(Y11-X11)/ABS(X11)+1)</f>
        <v/>
      </c>
      <c r="AB11" s="32">
        <v>2179669</v>
      </c>
      <c r="AC11" s="68">
        <f>IF(AB11=0,"",(Y11-AB11)/ABS(AB11))</f>
        <v>-0.66968241508228998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/>
      <c r="D12" s="68" t="str">
        <f t="shared" si="0"/>
        <v xml:space="preserve"> </v>
      </c>
      <c r="E12" s="32">
        <v>43204.63</v>
      </c>
      <c r="F12" s="68">
        <f t="shared" si="1"/>
        <v>0.1109546584097854</v>
      </c>
      <c r="G12" s="68" t="str">
        <f t="shared" si="2"/>
        <v/>
      </c>
      <c r="H12" s="32">
        <v>34292</v>
      </c>
      <c r="I12" s="68">
        <f t="shared" si="3"/>
        <v>0.10919245600236904</v>
      </c>
      <c r="J12" s="68">
        <f t="shared" si="4"/>
        <v>0.25990405925580301</v>
      </c>
      <c r="K12" s="32"/>
      <c r="L12" s="68" t="str">
        <f t="shared" si="5"/>
        <v xml:space="preserve"> </v>
      </c>
      <c r="M12" s="32">
        <v>81475.63</v>
      </c>
      <c r="N12" s="68">
        <f t="shared" si="6"/>
        <v>0.12009370169527073</v>
      </c>
      <c r="O12" s="68" t="str">
        <f>IF(K12=0,"",(M12-K12)/ABS(K12)+1)</f>
        <v/>
      </c>
      <c r="P12" s="32">
        <v>337391</v>
      </c>
      <c r="Q12" s="68">
        <f t="shared" si="7"/>
        <v>0.14600905159095257</v>
      </c>
      <c r="R12" s="68">
        <f t="shared" si="8"/>
        <v>-0.75851273448313672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/>
      <c r="D13" s="68" t="str">
        <f t="shared" si="0"/>
        <v xml:space="preserve"> </v>
      </c>
      <c r="E13" s="32">
        <v>73409.070000000007</v>
      </c>
      <c r="F13" s="68">
        <f t="shared" si="1"/>
        <v>0.18852327368687166</v>
      </c>
      <c r="G13" s="68" t="str">
        <f t="shared" si="2"/>
        <v/>
      </c>
      <c r="H13" s="32">
        <v>79550</v>
      </c>
      <c r="I13" s="68">
        <f t="shared" si="3"/>
        <v>0.25330280750578726</v>
      </c>
      <c r="J13" s="68">
        <f t="shared" si="4"/>
        <v>-7.7195851665619014E-2</v>
      </c>
      <c r="K13" s="32"/>
      <c r="L13" s="68" t="str">
        <f t="shared" si="5"/>
        <v xml:space="preserve"> </v>
      </c>
      <c r="M13" s="32">
        <v>79736.37000000001</v>
      </c>
      <c r="N13" s="68">
        <f t="shared" si="6"/>
        <v>0.11753006184847831</v>
      </c>
      <c r="O13" s="68" t="str">
        <f>IF(K13=0,"",(M13-K13)/ABS(K13)+1)</f>
        <v/>
      </c>
      <c r="P13" s="32">
        <v>164842</v>
      </c>
      <c r="Q13" s="68">
        <f t="shared" si="7"/>
        <v>7.1336888305721852E-2</v>
      </c>
      <c r="R13" s="68">
        <f t="shared" si="8"/>
        <v>-0.51628608000388243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>
        <v>207377</v>
      </c>
      <c r="AC13" s="68">
        <f>IF(AB13=0,"",(Y13-AB13)/ABS(AB13))</f>
        <v>-1</v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 t="str">
        <f t="shared" si="0"/>
        <v xml:space="preserve"> 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 t="str">
        <f t="shared" si="5"/>
        <v xml:space="preserve"> 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/>
      <c r="D15" s="68" t="str">
        <f t="shared" si="0"/>
        <v xml:space="preserve"> </v>
      </c>
      <c r="E15" s="32">
        <v>62723.48</v>
      </c>
      <c r="F15" s="68">
        <f t="shared" si="1"/>
        <v>0.16108140024976506</v>
      </c>
      <c r="G15" s="68" t="str">
        <f t="shared" si="2"/>
        <v/>
      </c>
      <c r="H15" s="32">
        <v>34209</v>
      </c>
      <c r="I15" s="68">
        <f t="shared" si="3"/>
        <v>0.10892816771798211</v>
      </c>
      <c r="J15" s="68">
        <f t="shared" si="4"/>
        <v>0.83353737320588162</v>
      </c>
      <c r="K15" s="32"/>
      <c r="L15" s="68" t="str">
        <f t="shared" si="5"/>
        <v xml:space="preserve"> </v>
      </c>
      <c r="M15" s="32">
        <v>118891.36</v>
      </c>
      <c r="N15" s="68">
        <f t="shared" si="6"/>
        <v>0.17524385539559548</v>
      </c>
      <c r="O15" s="68"/>
      <c r="P15" s="32">
        <v>354392</v>
      </c>
      <c r="Q15" s="68">
        <f t="shared" si="7"/>
        <v>0.15336639036435726</v>
      </c>
      <c r="R15" s="68">
        <f t="shared" si="8"/>
        <v>-0.66452019232939796</v>
      </c>
      <c r="T15" s="3" t="s">
        <v>35</v>
      </c>
      <c r="U15" s="32"/>
      <c r="V15" s="32">
        <v>95433.18</v>
      </c>
      <c r="W15" s="32">
        <v>143451</v>
      </c>
      <c r="X15" s="32">
        <f>+AD11+U15</f>
        <v>0</v>
      </c>
      <c r="Y15" s="32">
        <v>221864</v>
      </c>
      <c r="Z15" s="63">
        <f>+X15-Y15</f>
        <v>-221864</v>
      </c>
      <c r="AA15" s="68" t="str">
        <f>IF(X15=0,"",(Y15-X15)/ABS(X15)+1)</f>
        <v/>
      </c>
      <c r="AB15" s="32">
        <v>615781</v>
      </c>
      <c r="AC15" s="68">
        <f>IF(AB15=0,"",(Y15-AB15)/ABS(AB15))</f>
        <v>-0.63970307625600664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 t="str">
        <f t="shared" si="0"/>
        <v xml:space="preserve"> </v>
      </c>
      <c r="E16" s="32"/>
      <c r="F16" s="68"/>
      <c r="G16" s="68"/>
      <c r="H16" s="32"/>
      <c r="I16" s="68"/>
      <c r="J16" s="68"/>
      <c r="K16" s="32"/>
      <c r="L16" s="68" t="str">
        <f t="shared" si="5"/>
        <v xml:space="preserve"> 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160419.01999999999</v>
      </c>
      <c r="W16" s="32">
        <v>59701</v>
      </c>
      <c r="X16" s="32">
        <f>+AD13+U16</f>
        <v>0</v>
      </c>
      <c r="Y16" s="32">
        <v>324560</v>
      </c>
      <c r="Z16" s="63">
        <f>+X16-Y16</f>
        <v>-324560</v>
      </c>
      <c r="AA16" s="68" t="str">
        <f>IF(X16=0,"",(Y16-X16)/ABS(X16)+1)</f>
        <v/>
      </c>
      <c r="AB16" s="32">
        <v>1057169</v>
      </c>
      <c r="AC16" s="68">
        <f>IF(AB16=0,"",(Y16-AB16)/ABS(AB16))</f>
        <v>-0.69299137602407945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 t="str">
        <f t="shared" si="0"/>
        <v xml:space="preserve"> </v>
      </c>
      <c r="E17" s="32"/>
      <c r="F17" s="68"/>
      <c r="G17" s="68"/>
      <c r="H17" s="32"/>
      <c r="I17" s="68"/>
      <c r="J17" s="68"/>
      <c r="K17" s="32"/>
      <c r="L17" s="68" t="str">
        <f t="shared" si="5"/>
        <v xml:space="preserve"> 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255852.19999999998</v>
      </c>
      <c r="W17" s="32">
        <v>203152</v>
      </c>
      <c r="X17" s="32">
        <f>X13+X14+X15+X16</f>
        <v>0</v>
      </c>
      <c r="Y17" s="32">
        <f>Y13+Y14+Y15+Y16</f>
        <v>546424</v>
      </c>
      <c r="Z17" s="63">
        <f>+Y17-X17</f>
        <v>546424</v>
      </c>
      <c r="AA17" s="68" t="str">
        <f>IF(X17=0,"",(Y17-X17)/ABS(X17)+1)</f>
        <v/>
      </c>
      <c r="AB17" s="32">
        <v>1880327</v>
      </c>
      <c r="AC17" s="68">
        <f>IF(AB17=0,"",(Y17-AB17)/ABS(AB17))</f>
        <v>-0.70939948211135617</v>
      </c>
      <c r="AD17" s="67"/>
      <c r="AE17" s="67"/>
      <c r="AF17" s="67"/>
      <c r="AG17" s="67"/>
      <c r="AH17" s="67"/>
    </row>
    <row r="18" spans="2:34" x14ac:dyDescent="0.2">
      <c r="B18" s="3" t="s">
        <v>131</v>
      </c>
      <c r="C18" s="32"/>
      <c r="D18" s="68" t="str">
        <f t="shared" si="0"/>
        <v xml:space="preserve"> </v>
      </c>
      <c r="E18" s="32"/>
      <c r="F18" s="68"/>
      <c r="G18" s="68"/>
      <c r="H18" s="32"/>
      <c r="I18" s="68"/>
      <c r="J18" s="68"/>
      <c r="K18" s="32"/>
      <c r="L18" s="68" t="str">
        <f t="shared" si="5"/>
        <v xml:space="preserve"> 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 t="str">
        <f t="shared" si="0"/>
        <v xml:space="preserve"> </v>
      </c>
      <c r="E19" s="32"/>
      <c r="F19" s="68"/>
      <c r="G19" s="68"/>
      <c r="H19" s="32"/>
      <c r="I19" s="68"/>
      <c r="J19" s="68"/>
      <c r="K19" s="32"/>
      <c r="L19" s="68" t="str">
        <f t="shared" si="5"/>
        <v xml:space="preserve"> 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121217.73000000001</v>
      </c>
      <c r="W19" s="32">
        <v>-1378</v>
      </c>
      <c r="X19" s="32">
        <f>X11-X17</f>
        <v>0</v>
      </c>
      <c r="Y19" s="32">
        <f>+Y11-Y17</f>
        <v>173559</v>
      </c>
      <c r="Z19" s="63">
        <f>+Y19-X19</f>
        <v>173559</v>
      </c>
      <c r="AA19" s="68" t="str">
        <f>IF(X19=0,"",(Y19-X19)/ABS(X19)+1)</f>
        <v/>
      </c>
      <c r="AB19" s="32">
        <v>299342</v>
      </c>
      <c r="AC19" s="68">
        <f>IF(AB19=0,"",(Y19-AB19)/ABS(AB19))</f>
        <v>-0.42019830160819399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0</v>
      </c>
      <c r="D20" s="68" t="str">
        <f t="shared" si="0"/>
        <v xml:space="preserve"> </v>
      </c>
      <c r="E20" s="32">
        <f>SUM(E10:E16)</f>
        <v>389389.95999999996</v>
      </c>
      <c r="F20" s="68">
        <f>+E20/$E$20</f>
        <v>1</v>
      </c>
      <c r="G20" s="68" t="str">
        <f>IF(C20=0,"",(E20-C20)/ABS(C20)+1)</f>
        <v/>
      </c>
      <c r="H20" s="32">
        <v>314051</v>
      </c>
      <c r="I20" s="68">
        <f>+H20/$H$20</f>
        <v>1</v>
      </c>
      <c r="J20" s="68">
        <f>IF(H20=0,"",(E20-H20)/ABS(H20))</f>
        <v>0.23989402995054931</v>
      </c>
      <c r="K20" s="32">
        <f>SUM(K10:K16)</f>
        <v>0</v>
      </c>
      <c r="L20" s="68" t="str">
        <f t="shared" si="5"/>
        <v xml:space="preserve"> </v>
      </c>
      <c r="M20" s="32">
        <f>SUM(M10:M19)</f>
        <v>678433.83</v>
      </c>
      <c r="N20" s="68">
        <f>+M20/$M$20</f>
        <v>1</v>
      </c>
      <c r="O20" s="68" t="str">
        <f>IF(K20=0,"",(M20-K20)/ABS(K20)+1)</f>
        <v/>
      </c>
      <c r="P20" s="32">
        <v>2310754</v>
      </c>
      <c r="Q20" s="68">
        <f>+P20/$P$20</f>
        <v>1</v>
      </c>
      <c r="R20" s="68">
        <f>IF(P20=0,"",(M20-P20)/ABS(P20))</f>
        <v>-0.70640153387162796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0</v>
      </c>
      <c r="V21" s="32">
        <f>+V10+V19</f>
        <v>384292.39</v>
      </c>
      <c r="W21" s="32">
        <v>135776</v>
      </c>
      <c r="X21" s="32">
        <f>+X10+X19</f>
        <v>236652</v>
      </c>
      <c r="Y21" s="32">
        <f>+Y10+Y19</f>
        <v>412424</v>
      </c>
      <c r="Z21" s="63">
        <f>+Y21-X21</f>
        <v>175772</v>
      </c>
      <c r="AA21" s="68">
        <f>IF(X21=0,"",(Y21-X21)/ABS(X21)+1)</f>
        <v>1.7427446207934012</v>
      </c>
      <c r="AB21" s="32">
        <v>336368</v>
      </c>
      <c r="AC21" s="68">
        <f>IF(AB21=0,"",(Y21-AB21)/ABS(AB21))</f>
        <v>0.22610949912001141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 t="str">
        <f>IF($C$20=0," ",C22/$C$20)</f>
        <v xml:space="preserve"> 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 t="str">
        <f>IF($K$20=0," ",K22/$K$20)</f>
        <v xml:space="preserve"> 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0</v>
      </c>
      <c r="D24" s="68" t="str">
        <f>IF($C$20=0," ",C24/$C$20)</f>
        <v xml:space="preserve"> </v>
      </c>
      <c r="E24" s="32">
        <f>+E20-E22</f>
        <v>389389.95999999996</v>
      </c>
      <c r="F24" s="68">
        <f>+E24/$E$20</f>
        <v>1</v>
      </c>
      <c r="G24" s="68" t="str">
        <f>IF(C24=0,"",(E24-C24)/ABS(C24)+1)</f>
        <v/>
      </c>
      <c r="H24" s="32">
        <v>314051</v>
      </c>
      <c r="I24" s="68">
        <f>+H24/$H$20</f>
        <v>1</v>
      </c>
      <c r="J24" s="68">
        <f>IF(H24=0,"",(E24-H24)/ABS(H24))</f>
        <v>0.23989402995054931</v>
      </c>
      <c r="K24" s="32">
        <f>+K20-K22</f>
        <v>0</v>
      </c>
      <c r="L24" s="68" t="str">
        <f>IF($K$20=0," ",K24/$K$20)</f>
        <v xml:space="preserve"> </v>
      </c>
      <c r="M24" s="32">
        <f>+M20-M22</f>
        <v>678433.83</v>
      </c>
      <c r="N24" s="68">
        <f>+M24/$M$20</f>
        <v>1</v>
      </c>
      <c r="O24" s="68" t="str">
        <f>IF(K24=0,"",(M24-K24)/ABS(K24)+1)</f>
        <v/>
      </c>
      <c r="P24" s="32">
        <v>2310754</v>
      </c>
      <c r="Q24" s="68">
        <f>+P24/$P$20</f>
        <v>1</v>
      </c>
      <c r="R24" s="68">
        <f>IF(P24=0,"",(M24-P24)/ABS(P24))</f>
        <v>-0.70640153387162796</v>
      </c>
    </row>
    <row r="25" spans="2:34" x14ac:dyDescent="0.2">
      <c r="T25" s="3" t="s">
        <v>44</v>
      </c>
      <c r="U25" s="32"/>
      <c r="V25" s="32">
        <v>28362.35</v>
      </c>
      <c r="W25" s="32">
        <v>8677</v>
      </c>
      <c r="X25" s="32">
        <f>+AD22+U25</f>
        <v>0</v>
      </c>
      <c r="Y25" s="32">
        <v>56494</v>
      </c>
      <c r="Z25" s="63">
        <f>+Y25-X25</f>
        <v>56494</v>
      </c>
      <c r="AA25" s="68" t="str">
        <f>IF(X25=0,"",(Y25-X25)/ABS(X25)+1)</f>
        <v/>
      </c>
      <c r="AB25" s="32">
        <v>215268</v>
      </c>
      <c r="AC25" s="68">
        <f>IF(AB25=0,"",(Y25-AB25)/ABS(AB25))</f>
        <v>-0.73756433840607982</v>
      </c>
      <c r="AD25" s="67"/>
      <c r="AE25" s="67"/>
      <c r="AF25" s="67"/>
    </row>
    <row r="26" spans="2:34" x14ac:dyDescent="0.2">
      <c r="B26" s="3" t="s">
        <v>45</v>
      </c>
      <c r="C26" s="32"/>
      <c r="D26" s="68" t="str">
        <f>IF($C$20=0," ",C26/$C$20)</f>
        <v xml:space="preserve"> </v>
      </c>
      <c r="E26" s="32">
        <v>4792.2000000000007</v>
      </c>
      <c r="F26" s="68">
        <f>+E26/$E$20</f>
        <v>1.2306942890874745E-2</v>
      </c>
      <c r="G26" s="68" t="str">
        <f>IF(C26=0,"",(E26-C26)/ABS(C26)+1)</f>
        <v/>
      </c>
      <c r="H26" s="32">
        <v>3911</v>
      </c>
      <c r="I26" s="68">
        <f>+H26/$H$20</f>
        <v>1.2453391328160077E-2</v>
      </c>
      <c r="J26" s="68">
        <f>IF(H26=0,"",(E26-H26)/ABS(H26))</f>
        <v>0.22531321912554353</v>
      </c>
      <c r="K26" s="32"/>
      <c r="L26" s="68" t="str">
        <f>IF($K$20=0," ",K26/$K$20)</f>
        <v xml:space="preserve"> </v>
      </c>
      <c r="M26" s="32">
        <v>8953.6700000000019</v>
      </c>
      <c r="N26" s="68">
        <f>+M26/$M$20</f>
        <v>1.3197558264451527E-2</v>
      </c>
      <c r="O26" s="68" t="str">
        <f>IF(K26=0,"",(M26-K26)/ABS(K26)+1)</f>
        <v/>
      </c>
      <c r="P26" s="32">
        <v>45996</v>
      </c>
      <c r="Q26" s="68">
        <f>+P26/$P$20</f>
        <v>1.9905191119435475E-2</v>
      </c>
      <c r="R26" s="68">
        <f>IF(P26=0,"",(M26-P26)/ABS(P26))</f>
        <v>-0.80533807287590231</v>
      </c>
      <c r="AF26" s="67"/>
    </row>
    <row r="27" spans="2:34" x14ac:dyDescent="0.2">
      <c r="B27" s="3" t="s">
        <v>46</v>
      </c>
      <c r="C27" s="32"/>
      <c r="D27" s="68" t="str">
        <f>IF($C$20=0," ",C27/$C$20)</f>
        <v xml:space="preserve"> </v>
      </c>
      <c r="E27" s="32">
        <v>96110.799999999988</v>
      </c>
      <c r="F27" s="68">
        <f>+E27/$E$20</f>
        <v>0.24682403213477819</v>
      </c>
      <c r="G27" s="68" t="str">
        <f>IF(C27=0,"",(E27-C27)/ABS(C27)+1)</f>
        <v/>
      </c>
      <c r="H27" s="32">
        <v>50774</v>
      </c>
      <c r="I27" s="68">
        <f>+H27/$H$20</f>
        <v>0.16167437772845811</v>
      </c>
      <c r="J27" s="68">
        <f>IF(H27=0,"",(E27-H27)/ABS(H27))</f>
        <v>0.89291369598613446</v>
      </c>
      <c r="K27" s="32"/>
      <c r="L27" s="68" t="str">
        <f>IF($K$20=0," ",K27/$K$20)</f>
        <v xml:space="preserve"> </v>
      </c>
      <c r="M27" s="32">
        <v>159834.26999999996</v>
      </c>
      <c r="N27" s="68">
        <f>+M27/$M$20</f>
        <v>0.23559301280715905</v>
      </c>
      <c r="O27" s="68" t="str">
        <f>IF(K27=0,"",(M27-K27)/ABS(K27)+1)</f>
        <v/>
      </c>
      <c r="P27" s="32">
        <v>270594</v>
      </c>
      <c r="Q27" s="68">
        <f>+P27/$P$20</f>
        <v>0.11710203682434392</v>
      </c>
      <c r="R27" s="68">
        <f>IF(P27=0,"",(M27-P27)/ABS(P27))</f>
        <v>-0.40932071664560205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0</v>
      </c>
      <c r="D28" s="68" t="str">
        <f>IF($C$20=0," ",C28/$C$20)</f>
        <v xml:space="preserve"> </v>
      </c>
      <c r="E28" s="32">
        <f>SUM(E26:E27)</f>
        <v>100902.99999999999</v>
      </c>
      <c r="F28" s="68">
        <f>+E28/$E$20</f>
        <v>0.25913097502565291</v>
      </c>
      <c r="G28" s="68" t="str">
        <f>IF(C28=0,"",(E28-C28)/ABS(C28)+1)</f>
        <v/>
      </c>
      <c r="H28" s="32">
        <v>54685</v>
      </c>
      <c r="I28" s="68">
        <f>+H28/$H$20</f>
        <v>0.1741277690566182</v>
      </c>
      <c r="J28" s="68">
        <f>IF(H28=0,"",(E28-H28)/ABS(H28))</f>
        <v>0.84516777909847285</v>
      </c>
      <c r="K28" s="32">
        <f>+K26+K27</f>
        <v>0</v>
      </c>
      <c r="L28" s="68" t="str">
        <f>IF($K$20=0," ",K28/$K$20)</f>
        <v xml:space="preserve"> </v>
      </c>
      <c r="M28" s="32">
        <f>SUM(M26:M27)</f>
        <v>168787.93999999997</v>
      </c>
      <c r="N28" s="68">
        <f>+M28/$M$20</f>
        <v>0.24879057107161059</v>
      </c>
      <c r="O28" s="68" t="str">
        <f>IF(K28=0,"",(M28-K28)/ABS(K28)+1)</f>
        <v/>
      </c>
      <c r="P28" s="32">
        <v>316590</v>
      </c>
      <c r="Q28" s="68">
        <f>+P28/$P$20</f>
        <v>0.1370072279437794</v>
      </c>
      <c r="R28" s="68">
        <f>IF(P28=0,"",(M28-P28)/ABS(P28))</f>
        <v>-0.46685637575413003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/>
      <c r="D30" s="68" t="str">
        <f>IF($C$20=0," ",C30/$C$20)</f>
        <v xml:space="preserve"> </v>
      </c>
      <c r="E30" s="32">
        <v>172399.73</v>
      </c>
      <c r="F30" s="68">
        <f>+E30/$E$20</f>
        <v>0.44274313081929495</v>
      </c>
      <c r="G30" s="68" t="str">
        <f>IF(C30=0,"",(E30-C30)/ABS(C30)+1)</f>
        <v/>
      </c>
      <c r="H30" s="32">
        <v>213908</v>
      </c>
      <c r="I30" s="68">
        <f>+H30/$H$20</f>
        <v>0.68112504020047704</v>
      </c>
      <c r="J30" s="68">
        <f>IF(H30=0,"",(E30-H30)/ABS(H30))</f>
        <v>-0.19404730070871584</v>
      </c>
      <c r="K30" s="32"/>
      <c r="L30" s="68" t="str">
        <f>IF($K$20=0," ",K30/$K$20)</f>
        <v xml:space="preserve"> </v>
      </c>
      <c r="M30" s="32">
        <v>329604.70000000007</v>
      </c>
      <c r="N30" s="68">
        <f>+M30/$M$20</f>
        <v>0.48583175753485064</v>
      </c>
      <c r="O30" s="68" t="str">
        <f>IF(K30=0,"",(M30-K30)/ABS(K30)+1)</f>
        <v/>
      </c>
      <c r="P30" s="32">
        <v>1228467</v>
      </c>
      <c r="Q30" s="68">
        <f>+P30/$P$20</f>
        <v>0.53163036826940469</v>
      </c>
      <c r="R30" s="68">
        <f>IF(P30=0,"",(M30-P30)/ABS(P30))</f>
        <v>-0.73169429866654934</v>
      </c>
      <c r="T30" s="3" t="s">
        <v>51</v>
      </c>
      <c r="U30" s="32">
        <f>+U21-U25-U23+U27</f>
        <v>0</v>
      </c>
      <c r="V30" s="32">
        <f>+V21-V25-V23+V27</f>
        <v>355930.04000000004</v>
      </c>
      <c r="W30" s="32">
        <v>127100</v>
      </c>
      <c r="X30" s="32">
        <f>+X21-X25-X23-X27</f>
        <v>236652</v>
      </c>
      <c r="Y30" s="32">
        <f>+Y21-Y25-Y23+Y27</f>
        <v>355930</v>
      </c>
      <c r="Z30" s="63">
        <f>+Y30-X30</f>
        <v>119278</v>
      </c>
      <c r="AA30" s="68" t="str">
        <f>IF(U30=0,"",(V30-U30)/ABS(U30)+1)</f>
        <v/>
      </c>
      <c r="AB30" s="32">
        <v>121100</v>
      </c>
      <c r="AC30" s="68">
        <f>IF(AB30=0,"",(Y30-AB30)/ABS(AB30))</f>
        <v>1.939141205615194</v>
      </c>
      <c r="AD30" s="55"/>
      <c r="AF30" s="67"/>
    </row>
    <row r="31" spans="2:34" x14ac:dyDescent="0.2">
      <c r="B31" s="3" t="s">
        <v>52</v>
      </c>
      <c r="C31" s="32"/>
      <c r="D31" s="68" t="str">
        <f>IF($C$20=0," ",C31/$C$20)</f>
        <v xml:space="preserve"> </v>
      </c>
      <c r="E31" s="32">
        <v>73971.67</v>
      </c>
      <c r="F31" s="68">
        <f>+E31/$E$20</f>
        <v>0.18996809779070833</v>
      </c>
      <c r="G31" s="68" t="str">
        <f>IF(C31=0,"",(E31-C31)/ABS(C31)+1)</f>
        <v/>
      </c>
      <c r="H31" s="32">
        <v>33967</v>
      </c>
      <c r="I31" s="68">
        <f>+H31/$H$20</f>
        <v>0.10815759223820334</v>
      </c>
      <c r="J31" s="68">
        <f>IF(H31=0,"",(E31-H31)/ABS(H31))</f>
        <v>1.1777510524921246</v>
      </c>
      <c r="K31" s="32"/>
      <c r="L31" s="68" t="str">
        <f>IF($K$20=0," ",K31/$K$20)</f>
        <v xml:space="preserve"> </v>
      </c>
      <c r="M31" s="32">
        <v>139973.51</v>
      </c>
      <c r="N31" s="68">
        <f>+M31/$M$20</f>
        <v>0.20631858821073237</v>
      </c>
      <c r="O31" s="68" t="str">
        <f>IF(K31=0,"",(M31-K31)/ABS(K31)+1)</f>
        <v/>
      </c>
      <c r="P31" s="32">
        <v>309924</v>
      </c>
      <c r="Q31" s="68">
        <f>+P31/$P$20</f>
        <v>0.13412245526784763</v>
      </c>
      <c r="R31" s="68">
        <f>IF(P31=0,"",(M31-P31)/ABS(P31))</f>
        <v>-0.54836182418915602</v>
      </c>
      <c r="T31" s="61"/>
      <c r="U31" s="61"/>
      <c r="V31" s="61" t="s">
        <v>61</v>
      </c>
      <c r="W31" s="61" t="s">
        <v>61</v>
      </c>
      <c r="X31" s="32"/>
      <c r="Y31" s="32" t="s">
        <v>61</v>
      </c>
      <c r="Z31" s="61"/>
      <c r="AA31" s="61"/>
      <c r="AB31" s="32" t="s">
        <v>61</v>
      </c>
      <c r="AC31" s="61"/>
      <c r="AD31" s="55"/>
    </row>
    <row r="32" spans="2:34" x14ac:dyDescent="0.2">
      <c r="B32" s="3" t="s">
        <v>53</v>
      </c>
      <c r="C32" s="32">
        <f>SUM(C30:C31)</f>
        <v>0</v>
      </c>
      <c r="D32" s="68" t="str">
        <f>IF($C$20=0," ",C32/$C$20)</f>
        <v xml:space="preserve"> </v>
      </c>
      <c r="E32" s="32">
        <f>SUM(E30:E31)</f>
        <v>246371.40000000002</v>
      </c>
      <c r="F32" s="68">
        <f>+E32/$E$20</f>
        <v>0.63271122861000328</v>
      </c>
      <c r="G32" s="68" t="str">
        <f>IF(C32=0,"",(E32-C32)/ABS(C32)+1)</f>
        <v/>
      </c>
      <c r="H32" s="32">
        <v>247875</v>
      </c>
      <c r="I32" s="68">
        <f>+H32/$H$20</f>
        <v>0.78928263243868035</v>
      </c>
      <c r="J32" s="68">
        <f>IF(H32=0,"",(E32-H32)/ABS(H32))</f>
        <v>-6.0659606656579997E-3</v>
      </c>
      <c r="K32" s="32">
        <f>+K30+K31</f>
        <v>0</v>
      </c>
      <c r="L32" s="68" t="str">
        <f>IF($K$20=0," ",K32/$K$20)</f>
        <v xml:space="preserve"> </v>
      </c>
      <c r="M32" s="32">
        <f>+M30+M31</f>
        <v>469578.21000000008</v>
      </c>
      <c r="N32" s="68">
        <f>+M32/$M$20</f>
        <v>0.6921503457455831</v>
      </c>
      <c r="O32" s="68" t="str">
        <f>IF(K32=0,"",(M32-K32)/ABS(K32)+1)</f>
        <v/>
      </c>
      <c r="P32" s="32">
        <v>1538392</v>
      </c>
      <c r="Q32" s="68">
        <f>+P32/$P$20</f>
        <v>0.66575325629642967</v>
      </c>
      <c r="R32" s="68">
        <f>IF(P32=0,"",(M32-P32)/ABS(P32))</f>
        <v>-0.69476036666857344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0</v>
      </c>
      <c r="D34" s="68" t="str">
        <f>IF($C$20=0," ",C34/$C$20)</f>
        <v xml:space="preserve"> </v>
      </c>
      <c r="E34" s="32">
        <f>E28+E32</f>
        <v>347274.4</v>
      </c>
      <c r="F34" s="68">
        <f>+E34/$E$20</f>
        <v>0.89184220363565625</v>
      </c>
      <c r="G34" s="68" t="str">
        <f>IF(C34=0,"",(E34-C34)/ABS(C34)+1)</f>
        <v/>
      </c>
      <c r="H34" s="32">
        <v>302560</v>
      </c>
      <c r="I34" s="68">
        <f>+H34/$H$20</f>
        <v>0.96341040149529855</v>
      </c>
      <c r="J34" s="68">
        <f>IF(H34=0,"",(E34-H34)/ABS(H34))</f>
        <v>0.14778688524590172</v>
      </c>
      <c r="K34" s="32">
        <f>K28+K32</f>
        <v>0</v>
      </c>
      <c r="L34" s="68" t="str">
        <f>IF($K$20=0," ",K34/$K$20)</f>
        <v xml:space="preserve"> </v>
      </c>
      <c r="M34" s="32">
        <f>M28+M32</f>
        <v>638366.15</v>
      </c>
      <c r="N34" s="68">
        <f>+M34/$M$20</f>
        <v>0.94094091681719361</v>
      </c>
      <c r="O34" s="68" t="str">
        <f>IF(K34=0,"",(M34-K34)/ABS(K34)+1)</f>
        <v/>
      </c>
      <c r="P34" s="32">
        <v>1854982</v>
      </c>
      <c r="Q34" s="68">
        <f>+P34/$P$20</f>
        <v>0.80276048424020907</v>
      </c>
      <c r="R34" s="68">
        <f>IF(P34=0,"",(M34-P34)/ABS(P34))</f>
        <v>-0.65586396525680579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0</v>
      </c>
      <c r="D36" s="68" t="str">
        <f>IF($C$20=0," ",C36/$C$20)</f>
        <v xml:space="preserve"> </v>
      </c>
      <c r="E36" s="32">
        <f>E24-E34</f>
        <v>42115.559999999939</v>
      </c>
      <c r="F36" s="68">
        <f>+E36/$E$20</f>
        <v>0.10815779636434371</v>
      </c>
      <c r="G36" s="68" t="str">
        <f>IF(C36=0,"",(E36-C36)/ABS(C36)+1)</f>
        <v/>
      </c>
      <c r="H36" s="32">
        <v>11491</v>
      </c>
      <c r="I36" s="68">
        <f>+H36/$H$20</f>
        <v>3.6589598504701469E-2</v>
      </c>
      <c r="J36" s="68">
        <f>IF(H36=0,"",(E36-H36)/ABS(H36))</f>
        <v>2.6650909407362229</v>
      </c>
      <c r="K36" s="32">
        <f>K24-K34</f>
        <v>0</v>
      </c>
      <c r="L36" s="68" t="str">
        <f>IF($K$20=0," ",K36/$K$20)</f>
        <v xml:space="preserve"> </v>
      </c>
      <c r="M36" s="32">
        <f>M24-M34</f>
        <v>40067.679999999935</v>
      </c>
      <c r="N36" s="68">
        <f>+M36/$M$20</f>
        <v>5.90590831828064E-2</v>
      </c>
      <c r="O36" s="68" t="str">
        <f>IF(K36=0,"",(M36-K36)/ABS(K36)+1)</f>
        <v/>
      </c>
      <c r="P36" s="32">
        <v>455772</v>
      </c>
      <c r="Q36" s="68">
        <f>+P36/$P$20</f>
        <v>0.19723951575979096</v>
      </c>
      <c r="R36" s="68">
        <f>IF(P36=0,"",(M36-P36)/ABS(P36))</f>
        <v>-0.91208832486418667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 t="str">
        <f>IF($C$20=0," ",C38/$C$20)</f>
        <v xml:space="preserve"> </v>
      </c>
      <c r="E38" s="32">
        <v>108424</v>
      </c>
      <c r="F38" s="68">
        <f>+E38/$E$20</f>
        <v>0.27844580276286529</v>
      </c>
      <c r="G38" s="68" t="str">
        <f>IF(C38=0,"",(E38-C38)/ABS(C38)+1)</f>
        <v/>
      </c>
      <c r="H38" s="32">
        <v>13655</v>
      </c>
      <c r="I38" s="68">
        <f>+H38/$H$20</f>
        <v>4.348019907594626E-2</v>
      </c>
      <c r="J38" s="68">
        <f>IF(H38=0,"",(E38-H38)/ABS(H38))</f>
        <v>6.940241669718052</v>
      </c>
      <c r="K38" s="32">
        <f>+S28+C38</f>
        <v>0</v>
      </c>
      <c r="L38" s="68" t="str">
        <f>IF($K$20=0," ",K38/$K$20)</f>
        <v xml:space="preserve"> </v>
      </c>
      <c r="M38" s="32">
        <v>222697</v>
      </c>
      <c r="N38" s="68">
        <f>+M38/$M$20</f>
        <v>0.32825161445737461</v>
      </c>
      <c r="O38" s="68" t="str">
        <f>IF(K38=0,"",(M38-K38)/ABS(K38)+1)</f>
        <v/>
      </c>
      <c r="P38" s="32">
        <v>315765</v>
      </c>
      <c r="Q38" s="68">
        <f>+P38/$P$20</f>
        <v>0.13665020162250072</v>
      </c>
      <c r="R38" s="68">
        <f>IF(P38=0,"",(M38-P38)/ABS(P38))</f>
        <v>-0.29473817554193782</v>
      </c>
      <c r="AD38" s="55"/>
    </row>
    <row r="39" spans="2:30" x14ac:dyDescent="0.2">
      <c r="B39" s="3" t="s">
        <v>57</v>
      </c>
      <c r="C39" s="32"/>
      <c r="D39" s="68" t="str">
        <f>IF($C$20=0," ",C39/$C$20)</f>
        <v xml:space="preserve"> </v>
      </c>
      <c r="E39" s="32">
        <v>336</v>
      </c>
      <c r="F39" s="68">
        <f>+E39/$E$20</f>
        <v>8.6288819567921071E-4</v>
      </c>
      <c r="G39" s="68" t="str">
        <f>IF(C39=0,"",(E39-C39)/ABS(C39)+1)</f>
        <v/>
      </c>
      <c r="H39" s="32">
        <v>6344</v>
      </c>
      <c r="I39" s="68">
        <f>+H39/$H$20</f>
        <v>2.0200540676514323E-2</v>
      </c>
      <c r="J39" s="68">
        <f>IF(H39=0,"",(E39-H39)/ABS(H39))</f>
        <v>-0.94703656998738961</v>
      </c>
      <c r="K39" s="32"/>
      <c r="L39" s="68" t="str">
        <f>IF($K$20=0," ",K39/$K$20)</f>
        <v xml:space="preserve"> </v>
      </c>
      <c r="M39" s="32">
        <v>597</v>
      </c>
      <c r="N39" s="68">
        <f>+M39/$M$20</f>
        <v>8.7996791079831627E-4</v>
      </c>
      <c r="O39" s="68" t="str">
        <f>IF(K39=0,"",(M39-K39)/ABS(K39)+1)</f>
        <v/>
      </c>
      <c r="P39" s="32">
        <v>57430</v>
      </c>
      <c r="Q39" s="68">
        <f>+P39/$P$20</f>
        <v>2.4853359552769357E-2</v>
      </c>
      <c r="R39" s="68">
        <f>IF(P39=0,"",(M39-P39)/ABS(P39))</f>
        <v>-0.98960473620059197</v>
      </c>
    </row>
    <row r="41" spans="2:30" x14ac:dyDescent="0.2">
      <c r="B41" s="3" t="s">
        <v>58</v>
      </c>
      <c r="C41" s="32">
        <f>C36+C38-C39</f>
        <v>0</v>
      </c>
      <c r="D41" s="68" t="str">
        <f>IF($C$20=0," ",C41/$C$20)</f>
        <v xml:space="preserve"> </v>
      </c>
      <c r="E41" s="32">
        <f>E36+E38-E39</f>
        <v>150203.55999999994</v>
      </c>
      <c r="F41" s="68">
        <f>+E41/$E$20</f>
        <v>0.38574071093152978</v>
      </c>
      <c r="G41" s="68" t="str">
        <f>IF(C41=0,"",(E41-C41)/ABS(C41)+1)</f>
        <v/>
      </c>
      <c r="H41" s="32">
        <v>18802</v>
      </c>
      <c r="I41" s="68">
        <f>+H41/$H$20</f>
        <v>5.9869256904133403E-2</v>
      </c>
      <c r="J41" s="68">
        <f>IF(H41=0,"",(E41-H41)/ABS(H41))</f>
        <v>6.9887012019997838</v>
      </c>
      <c r="K41" s="32">
        <f>K36+K38-K39</f>
        <v>0</v>
      </c>
      <c r="L41" s="68" t="str">
        <f>IF($K$20=0," ",K41/$K$20)</f>
        <v xml:space="preserve"> </v>
      </c>
      <c r="M41" s="32">
        <f>M36+M38-M39</f>
        <v>262167.67999999993</v>
      </c>
      <c r="N41" s="68">
        <f>+M41/$M$20</f>
        <v>0.38643072972938269</v>
      </c>
      <c r="O41" s="68" t="str">
        <f>IF(K41=0,"",(M41-K41)/ABS(K41)+1)</f>
        <v/>
      </c>
      <c r="P41" s="32">
        <v>714108</v>
      </c>
      <c r="Q41" s="68">
        <f>+P41/$P$20</f>
        <v>0.30903679058869959</v>
      </c>
      <c r="R41" s="68">
        <f>IF(P41=0,"",(M41-P41)/ABS(P41))</f>
        <v>-0.63287390702806867</v>
      </c>
    </row>
    <row r="42" spans="2:30" x14ac:dyDescent="0.2">
      <c r="B42" s="3" t="s">
        <v>44</v>
      </c>
      <c r="C42" s="32"/>
      <c r="D42" s="68" t="str">
        <f>IF($C$20=0," ",C42/$C$20)</f>
        <v xml:space="preserve"> </v>
      </c>
      <c r="E42" s="32"/>
      <c r="F42" s="68">
        <f>+E42/$E$20</f>
        <v>0</v>
      </c>
      <c r="G42" s="68" t="str">
        <f>IF(C42=0,"",(E42-C42)/ABS(C42)+1)</f>
        <v/>
      </c>
      <c r="H42" s="32">
        <v>319749</v>
      </c>
      <c r="I42" s="68">
        <f>+H42/$H$20</f>
        <v>1.0181435499329727</v>
      </c>
      <c r="J42" s="68">
        <f>IF(H42=0,"",(E42-H42)/ABS(H42))</f>
        <v>-1</v>
      </c>
      <c r="K42" s="32"/>
      <c r="L42" s="68" t="str">
        <f>IF($K$20=0," ",K42/$K$20)</f>
        <v xml:space="preserve"> </v>
      </c>
      <c r="M42" s="32"/>
      <c r="N42" s="68">
        <f>+M42/$M$20</f>
        <v>0</v>
      </c>
      <c r="O42" s="68" t="str">
        <f>IF(K42=0,"",(M42-K42)/ABS(K42)+1)</f>
        <v/>
      </c>
      <c r="P42" s="32">
        <v>319749</v>
      </c>
      <c r="Q42" s="68">
        <f>+P42/$P$20</f>
        <v>0.13837431418489377</v>
      </c>
      <c r="R42" s="68">
        <f>IF(P42=0,"",(M42-P42)/ABS(P42))</f>
        <v>-1</v>
      </c>
    </row>
    <row r="43" spans="2:30" x14ac:dyDescent="0.2">
      <c r="B43" s="20" t="s">
        <v>59</v>
      </c>
      <c r="C43" s="69">
        <f>C41-C42</f>
        <v>0</v>
      </c>
      <c r="D43" s="72" t="str">
        <f>IF($C$20=0," ",C43/$C$20)</f>
        <v xml:space="preserve"> </v>
      </c>
      <c r="E43" s="69">
        <f>+E41-E42</f>
        <v>150203.55999999994</v>
      </c>
      <c r="F43" s="72">
        <f>+E43/$E$20</f>
        <v>0.38574071093152978</v>
      </c>
      <c r="G43" s="72" t="str">
        <f>IF(C43=0,"",(E43-C43)/ABS(C43)+1)</f>
        <v/>
      </c>
      <c r="H43" s="69">
        <v>-300947</v>
      </c>
      <c r="I43" s="72">
        <f>+H43/$H$20</f>
        <v>-0.95827429302883926</v>
      </c>
      <c r="J43" s="72">
        <f>IF(H43=0,"",(E43-H43)/ABS(H43))</f>
        <v>1.4991030314307834</v>
      </c>
      <c r="K43" s="69">
        <f>+K41-K42</f>
        <v>0</v>
      </c>
      <c r="L43" s="72" t="str">
        <f>IF($K$20=0," ",K43/$K$20)</f>
        <v xml:space="preserve"> </v>
      </c>
      <c r="M43" s="69">
        <f>+M41-M42</f>
        <v>262167.67999999993</v>
      </c>
      <c r="N43" s="72">
        <f>+M43/$M$20</f>
        <v>0.38643072972938269</v>
      </c>
      <c r="O43" s="72" t="str">
        <f>IF(K43=0,"",(M43-K43)/ABS(K43)+1)</f>
        <v/>
      </c>
      <c r="P43" s="69">
        <v>394359</v>
      </c>
      <c r="Q43" s="72">
        <f>+P43/$P$20</f>
        <v>0.17066247640380586</v>
      </c>
      <c r="R43" s="72">
        <f>IF(P43=0,"",(M43-P43)/ABS(P43))</f>
        <v>-0.33520553607246206</v>
      </c>
    </row>
    <row r="45" spans="2:30" x14ac:dyDescent="0.2">
      <c r="B45" s="3" t="s">
        <v>60</v>
      </c>
      <c r="C45" s="32"/>
      <c r="D45" s="68" t="str">
        <f>IF($C$20=0," ",C45/$C$20)</f>
        <v xml:space="preserve"> </v>
      </c>
      <c r="E45" s="32">
        <v>150661.93000000002</v>
      </c>
      <c r="F45" s="68">
        <f>+E45/$E$20</f>
        <v>0.38691785992633204</v>
      </c>
      <c r="G45" s="68" t="str">
        <f>IF(C45=0,"",(E45-C45)/ABS(C45)+1)</f>
        <v/>
      </c>
      <c r="H45" s="32">
        <v>-300947</v>
      </c>
      <c r="I45" s="68">
        <f>+H45/$H$20</f>
        <v>-0.95827429302883926</v>
      </c>
      <c r="J45" s="68">
        <f>IF(H45=0,"",(E45-H45)/ABS(H45))</f>
        <v>1.5006261235367027</v>
      </c>
      <c r="K45" s="32">
        <f>+K43</f>
        <v>0</v>
      </c>
      <c r="L45" s="68" t="str">
        <f>IF($K$20=0," ",K45/$K$20)</f>
        <v xml:space="preserve"> </v>
      </c>
      <c r="M45" s="32">
        <v>263055.02999999991</v>
      </c>
      <c r="N45" s="68">
        <f>+M45/$M$20</f>
        <v>0.3877386686333138</v>
      </c>
      <c r="O45" s="68" t="str">
        <f>IF(K45=0,"",(M45-K45)/ABS(K45)+1)</f>
        <v/>
      </c>
      <c r="P45" s="32">
        <v>700347</v>
      </c>
      <c r="Q45" s="68">
        <f>+P45/$P$20</f>
        <v>0.30308159154977121</v>
      </c>
      <c r="R45" s="68">
        <f>IF(P45=0,"",(M45-P45)/ABS(P45))</f>
        <v>-0.62439329361016771</v>
      </c>
    </row>
    <row r="46" spans="2:30" x14ac:dyDescent="0.2">
      <c r="B46" s="3" t="s">
        <v>35</v>
      </c>
      <c r="C46" s="32"/>
      <c r="D46" s="68"/>
      <c r="E46" s="32">
        <v>104621.50000000001</v>
      </c>
      <c r="F46" s="68">
        <f>+E46/$E$20</f>
        <v>0.26868052786979929</v>
      </c>
      <c r="G46" s="68"/>
      <c r="H46" s="32">
        <v>90513</v>
      </c>
      <c r="I46" s="68">
        <f>+H46/$H$20</f>
        <v>0.28821115041824419</v>
      </c>
      <c r="J46" s="68"/>
      <c r="K46" s="32"/>
      <c r="L46" s="68"/>
      <c r="M46" s="32">
        <v>199898.66000000003</v>
      </c>
      <c r="N46" s="68">
        <f>+M46/$M$20</f>
        <v>0.29464724658556612</v>
      </c>
      <c r="O46" s="68" t="str">
        <f>IF(K46=0,"",(M46-K46)/ABS(K46)+1)</f>
        <v/>
      </c>
      <c r="P46" s="32">
        <v>737463</v>
      </c>
      <c r="Q46" s="68"/>
      <c r="R46" s="68">
        <f>IF(P46=0,"",(M46-P46)/ABS(P46))</f>
        <v>-0.72893737041722761</v>
      </c>
    </row>
    <row r="47" spans="2:30" x14ac:dyDescent="0.2"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32" t="s">
        <v>61</v>
      </c>
      <c r="N47" s="61"/>
      <c r="O47" s="61"/>
      <c r="P47" s="61"/>
      <c r="Q47" s="61"/>
      <c r="R47" s="61"/>
    </row>
    <row r="48" spans="2:30" x14ac:dyDescent="0.2"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1B892-2B19-4C85-9D54-93D4F4874351}">
  <sheetPr>
    <tabColor theme="2" tint="-0.249977111117893"/>
  </sheetPr>
  <dimension ref="A1:AY109"/>
  <sheetViews>
    <sheetView showGridLines="0" topLeftCell="A8" zoomScale="96" zoomScaleNormal="96" workbookViewId="0">
      <selection activeCell="E15" sqref="E15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6.140625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129</v>
      </c>
      <c r="S3" s="54"/>
      <c r="T3" s="18" t="s">
        <v>129</v>
      </c>
      <c r="AF3" s="2" t="str">
        <f>+B6</f>
        <v>FEBRERO de 2025</v>
      </c>
      <c r="AG3" s="2" t="s">
        <v>132</v>
      </c>
      <c r="AH3" s="106">
        <f>_xlfn.XLOOKUP(Paramet!E3,'VENEZUELA USD'!AL94:AL105,'VENEZUELA USD'!AM94:AM105,0,0)</f>
        <v>68.3</v>
      </c>
      <c r="AI3" s="2" t="s">
        <v>133</v>
      </c>
    </row>
    <row r="4" spans="1:35" x14ac:dyDescent="0.2">
      <c r="B4" s="2" t="s">
        <v>87</v>
      </c>
      <c r="S4" s="54"/>
      <c r="T4" s="3" t="s">
        <v>21</v>
      </c>
      <c r="AG4" s="2" t="s">
        <v>134</v>
      </c>
      <c r="AH4" s="106">
        <f>_xlfn.XLOOKUP(Paramet!E3,'VENEZUELA USD'!AL70:AL81,'VENEZUELA USD'!AM70:AM81,0,0)</f>
        <v>38.92</v>
      </c>
    </row>
    <row r="5" spans="1:35" ht="13.5" thickBot="1" x14ac:dyDescent="0.25">
      <c r="B5" s="3" t="s">
        <v>135</v>
      </c>
      <c r="S5" s="54"/>
      <c r="T5" s="3" t="s">
        <v>136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FEBRERO de 2025</v>
      </c>
      <c r="C6" s="91"/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FEBRERO de 2025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2025</v>
      </c>
      <c r="E7" s="2" t="str">
        <f>+'VZLA BFS'!E7</f>
        <v>Real 2025</v>
      </c>
      <c r="G7" s="2" t="str">
        <f>+'VZLA BFS'!G7</f>
        <v>Cump</v>
      </c>
      <c r="H7" s="2" t="str">
        <f>+'VZLA BFS'!H7</f>
        <v>Real 2024</v>
      </c>
      <c r="J7" s="51" t="s">
        <v>25</v>
      </c>
      <c r="K7" s="2" t="str">
        <f>+C7</f>
        <v>Ppto 2025</v>
      </c>
      <c r="M7" s="2" t="str">
        <f>+E7</f>
        <v>Real 2025</v>
      </c>
      <c r="O7" s="2" t="str">
        <f>+G7</f>
        <v>Cump</v>
      </c>
      <c r="P7" s="2" t="str">
        <f>+H7</f>
        <v>Real 2024</v>
      </c>
      <c r="Q7" s="51"/>
      <c r="R7" s="51" t="s">
        <v>25</v>
      </c>
      <c r="S7" s="51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54"/>
      <c r="AE7" s="54"/>
      <c r="AH7" s="2">
        <v>2819322440</v>
      </c>
      <c r="AI7" s="107">
        <f>1/AH4</f>
        <v>2.5693730729701953E-2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8">
        <f>+AI7*AH7</f>
        <v>72438911.613566294</v>
      </c>
    </row>
    <row r="9" spans="1:35" x14ac:dyDescent="0.2">
      <c r="S9" s="68"/>
      <c r="AD9" s="68"/>
      <c r="AE9" s="68"/>
      <c r="AH9" s="2">
        <f>+AH7/AH4</f>
        <v>72438911.613566279</v>
      </c>
    </row>
    <row r="10" spans="1:35" x14ac:dyDescent="0.2">
      <c r="B10" s="3" t="s">
        <v>65</v>
      </c>
      <c r="C10" s="32">
        <f>'VZLA BFS'!C10/'VENEZUELA USD'!$AH$3</f>
        <v>0</v>
      </c>
      <c r="D10" s="34" t="str">
        <f t="shared" ref="D10:D20" si="0">IF(DD19&lt;=0," ",C10/$C$20)</f>
        <v xml:space="preserve"> </v>
      </c>
      <c r="E10" s="32">
        <f>'VZLA BFS'!E10/'VENEZUELA USD'!$AH$3</f>
        <v>2424.1288433382138</v>
      </c>
      <c r="F10" s="34">
        <f t="shared" ref="F10:F20" si="1">+E10/$E$20</f>
        <v>0.42519843089945103</v>
      </c>
      <c r="G10" s="34" t="str">
        <f>IF(C10=0,"",(E10-C10)/ABS(C10)+1)</f>
        <v/>
      </c>
      <c r="H10" s="63">
        <f>+'VZLA BFS'!H10/'VENEZUELA USD'!$AH$4</f>
        <v>2383.8129496402876</v>
      </c>
      <c r="I10" s="34">
        <f t="shared" ref="I10:I20" si="2">IF($H$20&lt;=0," ",H10/$H$20)</f>
        <v>0.29542335480542969</v>
      </c>
      <c r="J10" s="34">
        <f>IF(E10=0,"",(E10-H10)/ABS(H10))</f>
        <v>1.6912356191373896E-2</v>
      </c>
      <c r="K10" s="32">
        <f>'VZLA BFS'!K10/'VENEZUELA USD'!$AH$3</f>
        <v>0</v>
      </c>
      <c r="L10" s="34" t="str">
        <f t="shared" ref="L10:L22" si="3">IF($K$20&lt;=0," ",K10/$K$20)</f>
        <v xml:space="preserve"> </v>
      </c>
      <c r="M10" s="32">
        <f>'VZLA BFS'!M10/'VENEZUELA USD'!$AH$3</f>
        <v>4605.314787701318</v>
      </c>
      <c r="N10" s="34">
        <f t="shared" ref="N10:N15" si="4">+M10/$M$20</f>
        <v>0.46363106627510015</v>
      </c>
      <c r="O10" s="34" t="str">
        <f>IF(K10=0,"",(M10-K10)/ABS(K10)+1)</f>
        <v/>
      </c>
      <c r="P10" s="63">
        <f>+'VZLA BFS'!P10/'VENEZUELA USD'!$AH$4</f>
        <v>27039.285714285714</v>
      </c>
      <c r="Q10" s="34">
        <f t="shared" ref="Q10:Q22" si="5">IF($P$20&lt;=0," ",P10/$P$20)</f>
        <v>0.45542234266390969</v>
      </c>
      <c r="R10" s="34">
        <f>IF(M10=0,"",(M10-P10)/ABS(P10))</f>
        <v>-0.82968060486641537</v>
      </c>
      <c r="S10" s="68"/>
      <c r="T10" s="3" t="s">
        <v>31</v>
      </c>
      <c r="U10" s="32">
        <f>+'VZLA BFS'!U10/'VENEZUELA USD'!$AH$3</f>
        <v>0</v>
      </c>
      <c r="V10" s="32">
        <f>+'VZLA BFS'!V10/'VENEZUELA USD'!$AH$3</f>
        <v>3851.7519765739389</v>
      </c>
      <c r="W10" s="32">
        <f>+'VZLA BFS'!W10/'VENEZUELA USD'!$AH$3</f>
        <v>2008.1112737920937</v>
      </c>
      <c r="X10" s="32">
        <f>+'VZLA BFS'!X10/'VENEZUELA USD'!$AH$3</f>
        <v>3464.8901903367496</v>
      </c>
      <c r="Y10" s="32">
        <f>+'VZLA BFS'!Y10/'VENEZUELA USD'!$AH$3</f>
        <v>3497.2913616398246</v>
      </c>
      <c r="Z10" s="63">
        <f>+Y10-X10</f>
        <v>32.401171303074989</v>
      </c>
      <c r="AA10" s="68">
        <f>IF(X10=0,"",(Y10-X10)/ABS(X10)+1)</f>
        <v>1.0093512837415277</v>
      </c>
      <c r="AB10" s="32">
        <f>+'VZLA BFS'!AB10/'VENEZUELA USD'!$AH$3</f>
        <v>542.10834553440702</v>
      </c>
      <c r="AC10" s="68">
        <f>IF(W10=0,"",(Y10-AB10)/ABS(AB10))</f>
        <v>5.4512774806892459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0</v>
      </c>
      <c r="D11" s="34" t="str">
        <f t="shared" si="0"/>
        <v xml:space="preserve"> </v>
      </c>
      <c r="E11" s="32">
        <f>'VZLA BFS'!E11/'VENEZUELA USD'!$AH$3</f>
        <v>651.31449487554903</v>
      </c>
      <c r="F11" s="34">
        <f t="shared" si="1"/>
        <v>0.11424223675412688</v>
      </c>
      <c r="G11" s="34" t="str">
        <f t="shared" ref="G11:G22" si="6">IF(C11=0,"",(E11-C11)/ABS(C11)+1)</f>
        <v/>
      </c>
      <c r="H11" s="63">
        <f>+'VZLA BFS'!H11/'VENEZUELA USD'!$AH$4</f>
        <v>1881.3463514902362</v>
      </c>
      <c r="I11" s="34">
        <f t="shared" si="2"/>
        <v>0.23315321396843186</v>
      </c>
      <c r="J11" s="34">
        <f t="shared" ref="J11:J20" si="7">IF(E11=0,"",(E11-H11)/ABS(H11))</f>
        <v>-0.65380404604413467</v>
      </c>
      <c r="K11" s="32">
        <f>'VZLA BFS'!K11/'VENEZUELA USD'!$AH$3</f>
        <v>0</v>
      </c>
      <c r="L11" s="34" t="str">
        <f t="shared" si="3"/>
        <v xml:space="preserve"> </v>
      </c>
      <c r="M11" s="32">
        <f>'VZLA BFS'!M11/'VENEZUELA USD'!$AH$3</f>
        <v>1226.7565153733528</v>
      </c>
      <c r="N11" s="34">
        <f t="shared" si="4"/>
        <v>0.12350131478555543</v>
      </c>
      <c r="O11" s="34" t="str">
        <f t="shared" ref="O11:O22" si="8">IF(K11=0,"",(M11-K11)/ABS(K11)+1)</f>
        <v/>
      </c>
      <c r="P11" s="63">
        <f>+'VZLA BFS'!P11/'VENEZUELA USD'!$AH$4</f>
        <v>10322.738951695786</v>
      </c>
      <c r="Q11" s="34">
        <f t="shared" si="5"/>
        <v>0.17386575983423594</v>
      </c>
      <c r="R11" s="34">
        <f t="shared" ref="R11:R22" si="9">IF(M11=0,"",(M11-P11)/ABS(P11))</f>
        <v>-0.88115978510026893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5520.789604685212</v>
      </c>
      <c r="W11" s="32">
        <f>+'VZLA BFS'!W11/'VENEZUELA USD'!$AH$3</f>
        <v>2954.2459736456808</v>
      </c>
      <c r="X11" s="32">
        <f>+'VZLA BFS'!X11/'VENEZUELA USD'!$AH$3</f>
        <v>0</v>
      </c>
      <c r="Y11" s="32">
        <f>+'VZLA BFS'!Y11/'VENEZUELA USD'!$AH$3</f>
        <v>10541.478770131773</v>
      </c>
      <c r="Z11" s="63">
        <f>+Y11-X11</f>
        <v>10541.478770131773</v>
      </c>
      <c r="AA11" s="68" t="str">
        <f>IF(X11=0,"",(Y11-X11)/ABS(X11)+1)</f>
        <v/>
      </c>
      <c r="AB11" s="32">
        <f>+'VZLA BFS'!AB11/'VENEZUELA USD'!$AH$3</f>
        <v>31913.162518301611</v>
      </c>
      <c r="AC11" s="68">
        <f>IF(AB11=0,"",(Y11-AB11)/ABS(AB11))</f>
        <v>-0.66968241508228998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0</v>
      </c>
      <c r="D12" s="34" t="str">
        <f t="shared" si="0"/>
        <v xml:space="preserve"> </v>
      </c>
      <c r="E12" s="32">
        <f>'VZLA BFS'!E12/'VENEZUELA USD'!$AH$3</f>
        <v>632.5714494875549</v>
      </c>
      <c r="F12" s="34">
        <f t="shared" si="1"/>
        <v>0.1109546584097854</v>
      </c>
      <c r="G12" s="34" t="str">
        <f t="shared" si="6"/>
        <v/>
      </c>
      <c r="H12" s="63">
        <f>+'VZLA BFS'!H12/'VENEZUELA USD'!$AH$4</f>
        <v>881.08941418293932</v>
      </c>
      <c r="I12" s="34">
        <f t="shared" si="2"/>
        <v>0.10919245600236904</v>
      </c>
      <c r="J12" s="34">
        <f t="shared" si="7"/>
        <v>-0.28205759903022171</v>
      </c>
      <c r="K12" s="32">
        <f>'VZLA BFS'!K12/'VENEZUELA USD'!$AH$3</f>
        <v>0</v>
      </c>
      <c r="L12" s="34" t="str">
        <f t="shared" si="3"/>
        <v xml:space="preserve"> </v>
      </c>
      <c r="M12" s="32">
        <f>'VZLA BFS'!M12/'VENEZUELA USD'!$AH$3</f>
        <v>1192.9081991215228</v>
      </c>
      <c r="N12" s="34">
        <f t="shared" si="4"/>
        <v>0.12009370169527071</v>
      </c>
      <c r="O12" s="34" t="str">
        <f t="shared" si="8"/>
        <v/>
      </c>
      <c r="P12" s="63">
        <f>+'VZLA BFS'!P12/'VENEZUELA USD'!$AH$4</f>
        <v>8668.8335046248703</v>
      </c>
      <c r="Q12" s="34">
        <f t="shared" si="5"/>
        <v>0.14600905159095254</v>
      </c>
      <c r="R12" s="34">
        <f t="shared" si="9"/>
        <v>-0.86239115118716958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0</v>
      </c>
      <c r="D13" s="34" t="str">
        <f t="shared" si="0"/>
        <v xml:space="preserve"> </v>
      </c>
      <c r="E13" s="32">
        <f>'VZLA BFS'!E13/'VENEZUELA USD'!$AH$3</f>
        <v>1074.8033674963399</v>
      </c>
      <c r="F13" s="34">
        <f t="shared" si="1"/>
        <v>0.18852327368687166</v>
      </c>
      <c r="G13" s="34" t="str">
        <f t="shared" si="6"/>
        <v/>
      </c>
      <c r="H13" s="63">
        <f>+'VZLA BFS'!H13/'VENEZUELA USD'!$AH$4</f>
        <v>2043.9362795477903</v>
      </c>
      <c r="I13" s="34">
        <f t="shared" si="2"/>
        <v>0.25330280750578726</v>
      </c>
      <c r="J13" s="34">
        <f t="shared" si="7"/>
        <v>-0.47415025690813889</v>
      </c>
      <c r="K13" s="32">
        <f>'VZLA BFS'!K13/'VENEZUELA USD'!$AH$3</f>
        <v>0</v>
      </c>
      <c r="L13" s="34" t="str">
        <f t="shared" si="3"/>
        <v xml:space="preserve"> </v>
      </c>
      <c r="M13" s="32">
        <f>'VZLA BFS'!M13/'VENEZUELA USD'!$AH$3</f>
        <v>1167.4431918008786</v>
      </c>
      <c r="N13" s="34">
        <f t="shared" si="4"/>
        <v>0.11753006184847829</v>
      </c>
      <c r="O13" s="34" t="str">
        <f t="shared" si="8"/>
        <v/>
      </c>
      <c r="P13" s="63">
        <f>+'VZLA BFS'!P13/'VENEZUELA USD'!$AH$4</f>
        <v>4235.4059609455289</v>
      </c>
      <c r="Q13" s="34">
        <f t="shared" si="5"/>
        <v>7.1336888305721852E-2</v>
      </c>
      <c r="R13" s="34">
        <f t="shared" si="9"/>
        <v>-0.7243609697474539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3036.2664714494877</v>
      </c>
      <c r="AC13" s="68">
        <f>IF(AB13=0,"",(Y13-AB13)/ABS(AB13))</f>
        <v>-1</v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 t="str">
        <f t="shared" si="3"/>
        <v xml:space="preserve"> 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0</v>
      </c>
      <c r="D15" s="34" t="str">
        <f t="shared" si="0"/>
        <v xml:space="preserve"> </v>
      </c>
      <c r="E15" s="32">
        <f>'VZLA BFS'!E15/'VENEZUELA USD'!$AH$3</f>
        <v>918.35256222547594</v>
      </c>
      <c r="F15" s="34">
        <f t="shared" si="1"/>
        <v>0.16108140024976506</v>
      </c>
      <c r="G15" s="34" t="str">
        <f t="shared" si="6"/>
        <v/>
      </c>
      <c r="H15" s="63">
        <f>+'VZLA BFS'!H15/'VENEZUELA USD'!$AH$4</f>
        <v>878.95683453237405</v>
      </c>
      <c r="I15" s="34">
        <f t="shared" si="2"/>
        <v>0.10892816771798211</v>
      </c>
      <c r="J15" s="34">
        <f t="shared" si="7"/>
        <v>4.4821003882473197E-2</v>
      </c>
      <c r="K15" s="32">
        <f>'VZLA BFS'!K15/'VENEZUELA USD'!$AH$3</f>
        <v>0</v>
      </c>
      <c r="L15" s="34" t="str">
        <f t="shared" si="3"/>
        <v xml:space="preserve"> </v>
      </c>
      <c r="M15" s="32">
        <f>'VZLA BFS'!M15/'VENEZUELA USD'!$AH$3</f>
        <v>1740.7226939970719</v>
      </c>
      <c r="N15" s="34">
        <f t="shared" si="4"/>
        <v>0.17524385539559548</v>
      </c>
      <c r="O15" s="34" t="str">
        <f t="shared" si="8"/>
        <v/>
      </c>
      <c r="P15" s="63">
        <f>+'VZLA BFS'!P15/'VENEZUELA USD'!$AH$4</f>
        <v>9105.6526207605348</v>
      </c>
      <c r="Q15" s="34">
        <f t="shared" si="5"/>
        <v>0.15336639036435726</v>
      </c>
      <c r="R15" s="34">
        <f t="shared" si="9"/>
        <v>-0.80883054005066135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1397.2647144948755</v>
      </c>
      <c r="W15" s="32">
        <f>+'VZLA BFS'!W15/'VENEZUELA USD'!$AH$3</f>
        <v>2100.3074670571009</v>
      </c>
      <c r="X15" s="32">
        <f>+'VZLA BFS'!X15/'VENEZUELA USD'!$AH$3</f>
        <v>0</v>
      </c>
      <c r="Y15" s="32">
        <f>+'VZLA BFS'!Y15/'VENEZUELA USD'!$AH$3</f>
        <v>3248.3748169838946</v>
      </c>
      <c r="Z15" s="63">
        <f>+X15-Y15</f>
        <v>-3248.3748169838946</v>
      </c>
      <c r="AA15" s="68" t="str">
        <f>IF(X15=0,"",(Y15-X15)/ABS(X15)+1)</f>
        <v/>
      </c>
      <c r="AB15" s="32">
        <f>+'VZLA BFS'!AB15/'VENEZUELA USD'!$AH$3</f>
        <v>9015.827232796486</v>
      </c>
      <c r="AC15" s="68">
        <f>IF(AB15=0,"",(Y15-AB15)/ABS(AB15))</f>
        <v>-0.63970307625600664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 t="str">
        <f t="shared" si="3"/>
        <v xml:space="preserve"> 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2348.7411420204976</v>
      </c>
      <c r="W16" s="32">
        <f>+'VZLA BFS'!W16/'VENEZUELA USD'!$AH$3</f>
        <v>874.09956076134699</v>
      </c>
      <c r="X16" s="32">
        <f>+'VZLA BFS'!X16/'VENEZUELA USD'!$AH$3</f>
        <v>0</v>
      </c>
      <c r="Y16" s="32">
        <f>+'VZLA BFS'!Y16/'VENEZUELA USD'!$AH$3</f>
        <v>4751.9765739385066</v>
      </c>
      <c r="Z16" s="63">
        <f>+X16-Y16</f>
        <v>-4751.9765739385066</v>
      </c>
      <c r="AA16" s="68" t="str">
        <f>IF(X16=0,"",(Y16-X16)/ABS(X16)+1)</f>
        <v/>
      </c>
      <c r="AB16" s="32">
        <f>+'VZLA BFS'!AB16/'VENEZUELA USD'!$AH$3</f>
        <v>15478.316251830161</v>
      </c>
      <c r="AC16" s="68">
        <f>IF(AB16=0,"",(Y16-AB16)/ABS(AB16))</f>
        <v>-0.69299137602407934</v>
      </c>
      <c r="AD16" s="68"/>
      <c r="AE16" s="68"/>
    </row>
    <row r="17" spans="2:33" x14ac:dyDescent="0.2">
      <c r="B17" s="3" t="s">
        <v>77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 t="str">
        <f t="shared" si="3"/>
        <v xml:space="preserve"> 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3746.0058565153731</v>
      </c>
      <c r="W17" s="32">
        <f>+'VZLA BFS'!W17/'VENEZUELA USD'!$AH$3</f>
        <v>2974.4070278184481</v>
      </c>
      <c r="X17" s="32">
        <f>+'VZLA BFS'!X17/'VENEZUELA USD'!$AH$3</f>
        <v>0</v>
      </c>
      <c r="Y17" s="32">
        <f>+'VZLA BFS'!Y17/'VENEZUELA USD'!$AH$3</f>
        <v>8000.3513909224012</v>
      </c>
      <c r="Z17" s="63">
        <f>+Y17-X17</f>
        <v>8000.3513909224012</v>
      </c>
      <c r="AA17" s="68" t="str">
        <f>IF(X17=0,"",(Y17-X17)/ABS(X17)+1)</f>
        <v/>
      </c>
      <c r="AB17" s="32">
        <f>+'VZLA BFS'!AB17/'VENEZUELA USD'!$AH$3</f>
        <v>27530.409956076135</v>
      </c>
      <c r="AC17" s="68">
        <f>IF(AB17=0,"",(Y17-AB17)/ABS(AB17))</f>
        <v>-0.70939948211135617</v>
      </c>
      <c r="AD17" s="68"/>
      <c r="AE17" s="68"/>
    </row>
    <row r="18" spans="2:33" x14ac:dyDescent="0.2">
      <c r="B18" s="3" t="s">
        <v>131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 t="str">
        <f t="shared" si="3"/>
        <v xml:space="preserve"> 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81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 t="str">
        <f t="shared" si="3"/>
        <v xml:space="preserve"> 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1774.7837481698389</v>
      </c>
      <c r="W19" s="32">
        <f>+'VZLA BFS'!W19/'VENEZUELA USD'!$AH$3</f>
        <v>-20.175695461200586</v>
      </c>
      <c r="X19" s="32">
        <f>+'VZLA BFS'!X19/'VENEZUELA USD'!$AH$3</f>
        <v>0</v>
      </c>
      <c r="Y19" s="32">
        <f>Y11-Y17</f>
        <v>2541.1273792093716</v>
      </c>
      <c r="Z19" s="63">
        <f>+Y19-X19</f>
        <v>2541.1273792093716</v>
      </c>
      <c r="AA19" s="68" t="str">
        <f>IF(X19=0,"",(Y19-X19)/ABS(X19)+1)</f>
        <v/>
      </c>
      <c r="AB19" s="32">
        <f>+'VZLA BFS'!AB19/'VENEZUELA USD'!$AH$3</f>
        <v>4382.7525622254761</v>
      </c>
      <c r="AC19" s="68">
        <f>IF(AB19=0,"",(Y19-AB19)/ABS(AB19))</f>
        <v>-0.42019830160819371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0</v>
      </c>
      <c r="D20" s="34" t="str">
        <f t="shared" si="0"/>
        <v xml:space="preserve"> </v>
      </c>
      <c r="E20" s="32">
        <f>'VZLA BFS'!E20/'VENEZUELA USD'!$AH$3</f>
        <v>5701.1707174231333</v>
      </c>
      <c r="F20" s="34">
        <f t="shared" si="1"/>
        <v>1</v>
      </c>
      <c r="G20" s="34" t="str">
        <f t="shared" si="6"/>
        <v/>
      </c>
      <c r="H20" s="63">
        <f>+'VZLA BFS'!H20/'VENEZUELA USD'!$AH$4</f>
        <v>8069.1418293936276</v>
      </c>
      <c r="I20" s="34">
        <f t="shared" si="2"/>
        <v>1</v>
      </c>
      <c r="J20" s="34">
        <f t="shared" si="7"/>
        <v>-0.29346009303549947</v>
      </c>
      <c r="K20" s="32">
        <f>'VZLA BFS'!K20/'VENEZUELA USD'!$AH$3</f>
        <v>0</v>
      </c>
      <c r="L20" s="34" t="str">
        <f t="shared" si="3"/>
        <v xml:space="preserve"> </v>
      </c>
      <c r="M20" s="32">
        <f>'VZLA BFS'!M20/'VENEZUELA USD'!$AH$3</f>
        <v>9933.1453879941437</v>
      </c>
      <c r="N20" s="34">
        <f>+M20/$M$20</f>
        <v>1</v>
      </c>
      <c r="O20" s="34" t="str">
        <f t="shared" si="8"/>
        <v/>
      </c>
      <c r="P20" s="63">
        <f>+'VZLA BFS'!P20/'VENEZUELA USD'!$AH$4</f>
        <v>59371.891058581707</v>
      </c>
      <c r="Q20" s="34">
        <f t="shared" si="5"/>
        <v>1</v>
      </c>
      <c r="R20" s="34">
        <f t="shared" si="9"/>
        <v>-0.83269615956491605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 t="str">
        <f t="shared" si="3"/>
        <v xml:space="preserve"> 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0</v>
      </c>
      <c r="V21" s="32">
        <f>+V10+V19</f>
        <v>5626.5357247437778</v>
      </c>
      <c r="W21" s="32">
        <f>+'VZLA BFS'!W21/'VENEZUELA USD'!$AH$3</f>
        <v>1987.9355783308931</v>
      </c>
      <c r="X21" s="32">
        <f>+'VZLA BFS'!X21/'VENEZUELA USD'!$AH$3</f>
        <v>3464.8901903367496</v>
      </c>
      <c r="Y21" s="32">
        <f>+Y10+Y19</f>
        <v>6038.4187408491962</v>
      </c>
      <c r="Z21" s="63">
        <f>+Y21-X21</f>
        <v>2573.5285505124466</v>
      </c>
      <c r="AA21" s="68">
        <f>IF(X21=0,"",(Y21-X21)/ABS(X21)+1)</f>
        <v>1.7427446207934016</v>
      </c>
      <c r="AB21" s="32">
        <f>+'VZLA BFS'!AB21/'VENEZUELA USD'!$AH$3</f>
        <v>4924.860907759883</v>
      </c>
      <c r="AC21" s="68">
        <f>IF(AB21=0,"",(Y21-AB21)/ABS(AB21))</f>
        <v>0.22610949912001166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 t="str">
        <f t="shared" si="3"/>
        <v xml:space="preserve"> 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5701.1707174231333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8069.1418293936276</v>
      </c>
      <c r="I24" s="34">
        <f>IF($H$20&lt;=0," ",H24/$H$20)</f>
        <v>1</v>
      </c>
      <c r="J24" s="34">
        <f>IF(E24=0,"",(E24-H24)/ABS(H24))</f>
        <v>-0.29346009303549947</v>
      </c>
      <c r="K24" s="32">
        <f>'VZLA BFS'!K22/'VENEZUELA USD'!$AH$3</f>
        <v>0</v>
      </c>
      <c r="L24" s="34" t="str">
        <f>IF($K$20&lt;=0," ",K24/$K$20)</f>
        <v xml:space="preserve"> </v>
      </c>
      <c r="M24" s="32">
        <f>'VZLA BFS'!M24/'VENEZUELA USD'!$AH$3</f>
        <v>9933.1453879941437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59371.891058581707</v>
      </c>
      <c r="Q24" s="34">
        <f>IF($P$20&lt;=0," ",P24/$P$20)</f>
        <v>1</v>
      </c>
      <c r="R24" s="34">
        <f>IF(M24=0,"",(M24-P24)/ABS(P24))</f>
        <v>-0.83269615956491605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127.04245973645682</v>
      </c>
      <c r="X25" s="32">
        <f>+'VZLA BFS'!X25/'VENEZUELA USD'!$AH$3</f>
        <v>0</v>
      </c>
      <c r="Y25" s="32">
        <f>+'VZLA BFS'!Y25/'VENEZUELA USD'!$AH$3</f>
        <v>827.14494875549053</v>
      </c>
      <c r="Z25" s="63">
        <f>+Y25-X25</f>
        <v>827.14494875549053</v>
      </c>
      <c r="AA25" s="68" t="str">
        <f>IF(X25=0,"",(Y25-X25)/ABS(X25)+1)</f>
        <v/>
      </c>
      <c r="AB25" s="32">
        <f>+'VZLA BFS'!AB25/'VENEZUELA USD'!$AH$3</f>
        <v>3151.800878477306</v>
      </c>
      <c r="AC25" s="68">
        <f>IF(AB25=0,"",(Y25-AB25)/ABS(AB25))</f>
        <v>-0.73756433840607982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70.163982430453899</v>
      </c>
      <c r="F26" s="34">
        <f>+E26/$E$20</f>
        <v>1.2306942890874745E-2</v>
      </c>
      <c r="G26" s="34" t="str">
        <f>IF(C26=0,"",(E26-C26)/ABS(C26)+1)</f>
        <v/>
      </c>
      <c r="H26" s="63">
        <f>+'VZLA BFS'!H26/'VENEZUELA USD'!$AH$4</f>
        <v>100.48818088386433</v>
      </c>
      <c r="I26" s="34">
        <f>IF($H$20&lt;=0," ",H26/$H$20)</f>
        <v>1.2453391328160075E-2</v>
      </c>
      <c r="J26" s="34">
        <f>IF(E26=0,"",(E26-H26)/ABS(H26))</f>
        <v>-0.30176880690532704</v>
      </c>
      <c r="K26" s="32">
        <f>'VZLA BFS'!K23/'VENEZUELA USD'!$AH$3</f>
        <v>0</v>
      </c>
      <c r="L26" s="34" t="str">
        <f>IF($K$20&lt;=0," ",K26/$K$20)</f>
        <v xml:space="preserve"> </v>
      </c>
      <c r="M26" s="32">
        <f>'VZLA BFS'!M26/'VENEZUELA USD'!$AH$3</f>
        <v>131.09326500732067</v>
      </c>
      <c r="N26" s="34">
        <f>+M26/$M$20</f>
        <v>1.3197558264451527E-2</v>
      </c>
      <c r="O26" s="34" t="str">
        <f>IF(K26=0,"",(M26-K26)/ABS(K26)+1)</f>
        <v/>
      </c>
      <c r="P26" s="63">
        <f>+'VZLA BFS'!P26/'VENEZUELA USD'!$AH$4</f>
        <v>1181.808838643371</v>
      </c>
      <c r="Q26" s="34">
        <f>IF($P$20&lt;=0," ",P26/$P$20)</f>
        <v>1.9905191119435475E-2</v>
      </c>
      <c r="R26" s="34">
        <f>IF(M26=0,"",(M26-P26)/ABS(P26))</f>
        <v>-0.88907405265490647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0</v>
      </c>
      <c r="D27" s="34" t="str">
        <f>IF(DD33&lt;=0," ",C27/$C$20)</f>
        <v xml:space="preserve"> </v>
      </c>
      <c r="E27" s="32">
        <f>'VZLA BFS'!E27/'VENEZUELA USD'!$AH$3</f>
        <v>1407.1859443631038</v>
      </c>
      <c r="F27" s="34">
        <f>+E27/$E$20</f>
        <v>0.24682403213477816</v>
      </c>
      <c r="G27" s="34" t="str">
        <f>IF(C27=0,"",(E27-C27)/ABS(C27)+1)</f>
        <v/>
      </c>
      <c r="H27" s="63">
        <f>+'VZLA BFS'!H27/'VENEZUELA USD'!$AH$4</f>
        <v>1304.5734840698869</v>
      </c>
      <c r="I27" s="34">
        <f>IF($H$20&lt;=0," ",H27/$H$20)</f>
        <v>0.16167437772845814</v>
      </c>
      <c r="J27" s="34">
        <f>IF(E27=0,"",(E27-H27)/ABS(H27))</f>
        <v>7.8655945062669846E-2</v>
      </c>
      <c r="K27" s="32">
        <f>'VZLA BFS'!K24/'VENEZUELA USD'!$AH$3</f>
        <v>0</v>
      </c>
      <c r="L27" s="34" t="str">
        <f>IF($K$20&lt;=0," ",K27/$K$20)</f>
        <v xml:space="preserve"> </v>
      </c>
      <c r="M27" s="32">
        <f>'VZLA BFS'!M27/'VENEZUELA USD'!$AH$3</f>
        <v>2340.179648609077</v>
      </c>
      <c r="N27" s="34">
        <f>+M27/$M$20</f>
        <v>0.23559301280715905</v>
      </c>
      <c r="O27" s="34" t="str">
        <f>IF(K27=0,"",(M27-K27)/ABS(K27)+1)</f>
        <v/>
      </c>
      <c r="P27" s="63">
        <f>+'VZLA BFS'!P27/'VENEZUELA USD'!$AH$4</f>
        <v>6952.5693730729699</v>
      </c>
      <c r="Q27" s="34">
        <f>IF($P$20&lt;=0," ",P27/$P$20)</f>
        <v>0.11710203682434391</v>
      </c>
      <c r="R27" s="34">
        <f>IF(M27=0,"",(M27-P27)/ABS(P27))</f>
        <v>-0.6634079398513445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1477.3499267935576</v>
      </c>
      <c r="F28" s="34">
        <f>+E28/$E$20</f>
        <v>0.25913097502565291</v>
      </c>
      <c r="G28" s="34" t="str">
        <f>IF(C28=0,"",(E28-C28)/ABS(C28)+1)</f>
        <v/>
      </c>
      <c r="H28" s="63">
        <f>+'VZLA BFS'!H28/'VENEZUELA USD'!$AH$4</f>
        <v>1405.0616649537512</v>
      </c>
      <c r="I28" s="34">
        <f>IF($H$20&lt;=0," ",H28/$H$20)</f>
        <v>0.1741277690566182</v>
      </c>
      <c r="J28" s="34">
        <f>IF(E28=0,"",(E28-H28)/ABS(H28))</f>
        <v>5.1448462115850149E-2</v>
      </c>
      <c r="K28" s="32">
        <f>'VZLA BFS'!K25/'VENEZUELA USD'!$AH$3</f>
        <v>0</v>
      </c>
      <c r="L28" s="34" t="str">
        <f>IF($K$20&lt;=0," ",K28/$K$20)</f>
        <v xml:space="preserve"> </v>
      </c>
      <c r="M28" s="32">
        <f>'VZLA BFS'!M28/'VENEZUELA USD'!$AH$3</f>
        <v>2471.272913616398</v>
      </c>
      <c r="N28" s="34">
        <f>+M28/$M$20</f>
        <v>0.24879057107161059</v>
      </c>
      <c r="O28" s="34" t="str">
        <f>IF(K28=0,"",(M28-K28)/ABS(K28)+1)</f>
        <v/>
      </c>
      <c r="P28" s="63">
        <f>+'VZLA BFS'!P28/'VENEZUELA USD'!$AH$4</f>
        <v>8134.378211716341</v>
      </c>
      <c r="Q28" s="34">
        <f>IF($P$20&lt;=0," ",P28/$P$20)</f>
        <v>0.1370072279437794</v>
      </c>
      <c r="R28" s="34">
        <f>IF(M28=0,"",(M28-P28)/ABS(P28))</f>
        <v>-0.69619399918522307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0</v>
      </c>
      <c r="D30" s="34" t="str">
        <f>IF(DD35&lt;=0," ",C30/$C$20)</f>
        <v xml:space="preserve"> </v>
      </c>
      <c r="E30" s="32">
        <f>'VZLA BFS'!E30/'VENEZUELA USD'!$AH$3</f>
        <v>2524.1541727672038</v>
      </c>
      <c r="F30" s="34">
        <f>+E30/$E$20</f>
        <v>0.44274313081929495</v>
      </c>
      <c r="G30" s="34" t="str">
        <f>IF(C30=0,"",(E30-C30)/ABS(C30)+1)</f>
        <v/>
      </c>
      <c r="H30" s="63">
        <f>+'VZLA BFS'!H30/'VENEZUELA USD'!$AH$4</f>
        <v>5496.0945529290848</v>
      </c>
      <c r="I30" s="34">
        <f>IF($H$20&lt;=0," ",H30/$H$20)</f>
        <v>0.68112504020047693</v>
      </c>
      <c r="J30" s="34">
        <f>IF(E30=0,"",(E30-H30)/ABS(H30))</f>
        <v>-0.54073676344924182</v>
      </c>
      <c r="K30" s="32">
        <f>'VZLA BFS'!K26/'VENEZUELA USD'!$AH$3</f>
        <v>0</v>
      </c>
      <c r="L30" s="34" t="str">
        <f>IF($K$20&lt;=0," ",K30/$K$20)</f>
        <v xml:space="preserve"> </v>
      </c>
      <c r="M30" s="32">
        <f>'VZLA BFS'!M30/'VENEZUELA USD'!$AH$3</f>
        <v>4825.8374816983905</v>
      </c>
      <c r="N30" s="34">
        <f>+M30/$M$20</f>
        <v>0.48583175753485064</v>
      </c>
      <c r="O30" s="34" t="str">
        <f>IF(K30=0,"",(M30-K30)/ABS(K30)+1)</f>
        <v/>
      </c>
      <c r="P30" s="63">
        <f>+'VZLA BFS'!P30/'VENEZUELA USD'!$AH$4</f>
        <v>31563.900308324766</v>
      </c>
      <c r="Q30" s="34">
        <f>IF($P$20&lt;=0," ",P30/$P$20)</f>
        <v>0.53163036826940469</v>
      </c>
      <c r="R30" s="34">
        <f>IF(M30=0,"",(M30-P30)/ABS(P30))</f>
        <v>-0.84710896199271002</v>
      </c>
      <c r="S30" s="68"/>
      <c r="T30" s="3" t="s">
        <v>51</v>
      </c>
      <c r="U30" s="32">
        <f>+'VZLA BFS'!U30/'VENEZUELA USD'!$AH$3</f>
        <v>0</v>
      </c>
      <c r="V30" s="32">
        <f>+V21-V25-V23+V27</f>
        <v>3890.4457247437776</v>
      </c>
      <c r="W30" s="32">
        <f>+W21-W25-W23+W27</f>
        <v>1860.8931185944364</v>
      </c>
      <c r="X30" s="32">
        <f>+X21-X25-X23-X27</f>
        <v>3464.8901903367496</v>
      </c>
      <c r="Y30" s="32">
        <f>+Y21-Y25-Y23+Y27</f>
        <v>5211.2737920937052</v>
      </c>
      <c r="Z30" s="63">
        <f>+Y30-X30</f>
        <v>1746.3836017569556</v>
      </c>
      <c r="AA30" s="68" t="str">
        <f>IF(U30=0,"",(V30-U30)/ABS(U30)+1)</f>
        <v/>
      </c>
      <c r="AB30" s="32">
        <f>+AB21-AB25-AB23-AB27</f>
        <v>1773.060029282577</v>
      </c>
      <c r="AC30" s="68">
        <f>IF(AB30=0,"",(Y30-AB30)/ABS(AB30))</f>
        <v>1.9391412056151942</v>
      </c>
    </row>
    <row r="31" spans="2:33" x14ac:dyDescent="0.2">
      <c r="B31" s="3" t="s">
        <v>52</v>
      </c>
      <c r="C31" s="32">
        <f>'VZLA BFS'!C27/'VENEZUELA USD'!$AH$3</f>
        <v>0</v>
      </c>
      <c r="D31" s="34" t="str">
        <f>IF(DD36&lt;=0," ",C31/$C$20)</f>
        <v xml:space="preserve"> </v>
      </c>
      <c r="E31" s="32">
        <f>'VZLA BFS'!E31/'VENEZUELA USD'!$AH$3</f>
        <v>1083.0405563689606</v>
      </c>
      <c r="F31" s="34">
        <f>+E31/$E$20</f>
        <v>0.18996809779070833</v>
      </c>
      <c r="G31" s="34" t="str">
        <f>IF(C31=0,"",(E31-C31)/ABS(C31)+1)</f>
        <v/>
      </c>
      <c r="H31" s="63">
        <f>+'VZLA BFS'!H31/'VENEZUELA USD'!$AH$4</f>
        <v>872.73895169578623</v>
      </c>
      <c r="I31" s="34">
        <f>IF($H$20&lt;=0," ",H31/$H$20)</f>
        <v>0.10815759223820336</v>
      </c>
      <c r="J31" s="34">
        <f>IF(E31=0,"",(E31-H31)/ABS(H31))</f>
        <v>0.24096736402625915</v>
      </c>
      <c r="K31" s="32">
        <f>'VZLA BFS'!K27/'VENEZUELA USD'!$AH$3</f>
        <v>0</v>
      </c>
      <c r="L31" s="34" t="str">
        <f>IF($K$20&lt;=0," ",K31/$K$20)</f>
        <v xml:space="preserve"> </v>
      </c>
      <c r="M31" s="32">
        <f>'VZLA BFS'!M31/'VENEZUELA USD'!$AH$3</f>
        <v>2049.3925329428994</v>
      </c>
      <c r="N31" s="34">
        <f>+M31/$M$20</f>
        <v>0.2063185882107324</v>
      </c>
      <c r="O31" s="34" t="str">
        <f>IF(K31=0,"",(M31-K31)/ABS(K31)+1)</f>
        <v/>
      </c>
      <c r="P31" s="63">
        <f>+'VZLA BFS'!P31/'VENEZUELA USD'!$AH$4</f>
        <v>7963.103802672148</v>
      </c>
      <c r="Q31" s="34">
        <f>IF($P$20&lt;=0," ",P31/$P$20)</f>
        <v>0.13412245526784763</v>
      </c>
      <c r="R31" s="34">
        <f>IF(M31=0,"",(M31-P31)/ABS(P31))</f>
        <v>-0.74263897800061418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0</v>
      </c>
      <c r="D32" s="34" t="str">
        <f>IF(DD37&lt;=0," ",C32/$C$20)</f>
        <v xml:space="preserve"> </v>
      </c>
      <c r="E32" s="32">
        <f>'VZLA BFS'!E32/'VENEZUELA USD'!$AH$3</f>
        <v>3607.1947291361644</v>
      </c>
      <c r="F32" s="34">
        <f>+E32/$E$20</f>
        <v>0.63271122861000328</v>
      </c>
      <c r="G32" s="34" t="str">
        <f>IF(C32=0,"",(E32-C32)/ABS(C32)+1)</f>
        <v/>
      </c>
      <c r="H32" s="63">
        <f>+'VZLA BFS'!H32/'VENEZUELA USD'!$AH$4</f>
        <v>6368.8335046248712</v>
      </c>
      <c r="I32" s="34">
        <f>IF($H$20&lt;=0," ",H32/$H$20)</f>
        <v>0.78928263243868035</v>
      </c>
      <c r="J32" s="34">
        <f>IF(E32=0,"",(E32-H32)/ABS(H32))</f>
        <v>-0.43361767480391517</v>
      </c>
      <c r="K32" s="32">
        <f>'VZLA BFS'!K28/'VENEZUELA USD'!$AH$3</f>
        <v>0</v>
      </c>
      <c r="L32" s="34" t="str">
        <f>IF($K$20&lt;=0," ",K32/$K$20)</f>
        <v xml:space="preserve"> </v>
      </c>
      <c r="M32" s="32">
        <f>'VZLA BFS'!M32/'VENEZUELA USD'!$AH$3</f>
        <v>6875.2300146412899</v>
      </c>
      <c r="N32" s="34">
        <f>+M32/$M$20</f>
        <v>0.69215034574558298</v>
      </c>
      <c r="O32" s="34" t="str">
        <f>IF(K32=0,"",(M32-K32)/ABS(K32)+1)</f>
        <v/>
      </c>
      <c r="P32" s="63">
        <f>+'VZLA BFS'!P32/'VENEZUELA USD'!$AH$4</f>
        <v>39527.029804727645</v>
      </c>
      <c r="Q32" s="34">
        <f>IF($P$20&lt;=0," ",P32/$P$20)</f>
        <v>0.66575325629642956</v>
      </c>
      <c r="R32" s="34">
        <f>IF(M32=0,"",(M32-P32)/ABS(P32))</f>
        <v>-0.8260625691177288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5084.5446559297225</v>
      </c>
      <c r="F34" s="34">
        <f>+E34/$E$20</f>
        <v>0.89184220363565625</v>
      </c>
      <c r="G34" s="34" t="str">
        <f>IF(C34=0,"",(E34-C34)/ABS(C34)+1)</f>
        <v/>
      </c>
      <c r="H34" s="63">
        <f>+'VZLA BFS'!H34/'VENEZUELA USD'!$AH$4</f>
        <v>7773.8951695786227</v>
      </c>
      <c r="I34" s="34">
        <f>IF($H$20&lt;=0," ",H34/$H$20)</f>
        <v>0.96341040149529855</v>
      </c>
      <c r="J34" s="34">
        <f>IF(E34=0,"",(E34-H34)/ABS(H34))</f>
        <v>-0.3459463312771523</v>
      </c>
      <c r="K34" s="32">
        <f>'VZLA BFS'!K29/'VENEZUELA USD'!$AH$3</f>
        <v>0</v>
      </c>
      <c r="L34" s="34" t="str">
        <f>IF($K$20&lt;=0," ",K34/$K$20)</f>
        <v xml:space="preserve"> </v>
      </c>
      <c r="M34" s="32">
        <f>'VZLA BFS'!M34/'VENEZUELA USD'!$AH$3</f>
        <v>9346.502928257687</v>
      </c>
      <c r="N34" s="34">
        <f>+M34/$M$20</f>
        <v>0.9409409168171935</v>
      </c>
      <c r="O34" s="34" t="str">
        <f>IF(K34=0,"",(M34-K34)/ABS(K34)+1)</f>
        <v/>
      </c>
      <c r="P34" s="63">
        <f>+'VZLA BFS'!P34/'VENEZUELA USD'!$AH$4</f>
        <v>47661.408016443987</v>
      </c>
      <c r="Q34" s="34">
        <f>IF($P$20&lt;=0," ",P34/$P$20)</f>
        <v>0.80276048424020907</v>
      </c>
      <c r="R34" s="34">
        <f>IF(M34=0,"",(M34-P34)/ABS(P34))</f>
        <v>-0.80389788474077417</v>
      </c>
      <c r="S34" s="68"/>
      <c r="AL34" s="79" t="s">
        <v>137</v>
      </c>
      <c r="AT34" s="79" t="s">
        <v>138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9" t="s">
        <v>6</v>
      </c>
      <c r="AM35" s="110">
        <v>1788641</v>
      </c>
      <c r="AN35"/>
      <c r="AO35"/>
      <c r="AP35"/>
      <c r="AQ35"/>
      <c r="AT35" s="109" t="s">
        <v>6</v>
      </c>
      <c r="AU35" s="110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0</v>
      </c>
      <c r="D36" s="34" t="str">
        <f>IF(DD39&lt;=0," ",C36/$C$20)</f>
        <v xml:space="preserve"> </v>
      </c>
      <c r="E36" s="32">
        <f>'VZLA BFS'!E36/'VENEZUELA USD'!$AH$3</f>
        <v>616.62606149341059</v>
      </c>
      <c r="F36" s="34">
        <f>+E36/$E$20</f>
        <v>0.10815779636434371</v>
      </c>
      <c r="G36" s="34" t="str">
        <f>IF(C36=0,"",(E36-C36)/ABS(C36)+1)</f>
        <v/>
      </c>
      <c r="H36" s="63">
        <f>+'VZLA BFS'!H36/'VENEZUELA USD'!$AH$4</f>
        <v>295.2466598150051</v>
      </c>
      <c r="I36" s="34">
        <f>IF($H$20&lt;=0," ",H36/$H$20)</f>
        <v>3.6589598504701462E-2</v>
      </c>
      <c r="J36" s="34">
        <f>IF(E36=0,"",(E36-H36)/ABS(H36))</f>
        <v>1.0885115580300708</v>
      </c>
      <c r="K36" s="32">
        <f>'VZLA BFS'!K30/'VENEZUELA USD'!$AH$3</f>
        <v>0</v>
      </c>
      <c r="L36" s="34" t="str">
        <f>IF($K$20&lt;=0," ",K36/$K$20)</f>
        <v xml:space="preserve"> </v>
      </c>
      <c r="M36" s="32">
        <f>'VZLA BFS'!M36/'VENEZUELA USD'!$AH$3</f>
        <v>586.64245973645586</v>
      </c>
      <c r="N36" s="34">
        <f>+M36/$M$20</f>
        <v>5.90590831828064E-2</v>
      </c>
      <c r="O36" s="34" t="str">
        <f>IF(K36=0,"",(M36-K36)/ABS(K36)+1)</f>
        <v/>
      </c>
      <c r="P36" s="63">
        <f>+'VZLA BFS'!P36/'VENEZUELA USD'!$AH$4</f>
        <v>11710.483042137717</v>
      </c>
      <c r="Q36" s="34">
        <f>IF($P$20&lt;=0," ",P36/$P$20)</f>
        <v>0.19723951575979093</v>
      </c>
      <c r="R36" s="34">
        <f>IF(M36=0,"",(M36-P36)/ABS(P36))</f>
        <v>-0.94990450371470192</v>
      </c>
      <c r="AL36" s="109" t="s">
        <v>7</v>
      </c>
      <c r="AM36" s="110">
        <v>1899023</v>
      </c>
      <c r="AN36"/>
      <c r="AO36"/>
      <c r="AP36"/>
      <c r="AQ36"/>
      <c r="AT36" s="109" t="s">
        <v>7</v>
      </c>
      <c r="AU36" s="110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9" t="s">
        <v>9</v>
      </c>
      <c r="AM37" s="110">
        <v>2115582</v>
      </c>
      <c r="AN37"/>
      <c r="AO37"/>
      <c r="AP37"/>
      <c r="AQ37"/>
      <c r="AT37" s="109" t="s">
        <v>9</v>
      </c>
      <c r="AU37" s="110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0</v>
      </c>
      <c r="D38" s="34" t="str">
        <f>IF(DD40&lt;=0," ",C38/$C$20)</f>
        <v xml:space="preserve"> </v>
      </c>
      <c r="E38" s="32">
        <f>'VZLA BFS'!E38/'VENEZUELA USD'!$AH$3</f>
        <v>1587.4670571010249</v>
      </c>
      <c r="F38" s="34">
        <f>+E38/$E$20</f>
        <v>0.27844580276286529</v>
      </c>
      <c r="G38" s="34" t="str">
        <f>IF(C38=0,"",(E38-C38)/ABS(C38)+1)</f>
        <v/>
      </c>
      <c r="H38" s="63">
        <f>+'VZLA BFS'!H38/'VENEZUELA USD'!$AH$4</f>
        <v>350.84789311408014</v>
      </c>
      <c r="I38" s="34">
        <f>IF($H$20&lt;=0," ",H38/$H$20)</f>
        <v>4.348019907594626E-2</v>
      </c>
      <c r="J38" s="34">
        <f>IF(E38=0,"",(E38-H38)/ABS(H38))</f>
        <v>3.5246589426856021</v>
      </c>
      <c r="K38" s="32">
        <f>'VZLA BFS'!K31/'VENEZUELA USD'!$AH$3</f>
        <v>0</v>
      </c>
      <c r="L38" s="34" t="str">
        <f>IF($K$20&lt;=0," ",K38/$K$20)</f>
        <v xml:space="preserve"> </v>
      </c>
      <c r="M38" s="32">
        <f>'VZLA BFS'!M38/'VENEZUELA USD'!$AH$3</f>
        <v>3260.571010248902</v>
      </c>
      <c r="N38" s="34">
        <f>+M38/$M$20</f>
        <v>0.32825161445737455</v>
      </c>
      <c r="O38" s="34" t="str">
        <f>IF(K38=0,"",(M38-K38)/ABS(K38)+1)</f>
        <v/>
      </c>
      <c r="P38" s="63">
        <f>+'VZLA BFS'!P38/'VENEZUELA USD'!$AH$4</f>
        <v>8113.1808838643365</v>
      </c>
      <c r="Q38" s="34">
        <f>IF($P$20&lt;=0," ",P38/$P$20)</f>
        <v>0.13665020162250069</v>
      </c>
      <c r="R38" s="34">
        <f>IF(M38=0,"",(M38-P38)/ABS(P38))</f>
        <v>-0.59811434541862696</v>
      </c>
      <c r="AL38" s="109" t="s">
        <v>10</v>
      </c>
      <c r="AM38" s="110">
        <v>2900823</v>
      </c>
      <c r="AN38"/>
      <c r="AO38"/>
      <c r="AP38"/>
      <c r="AQ38"/>
      <c r="AT38" s="109" t="s">
        <v>10</v>
      </c>
      <c r="AU38" s="110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0</v>
      </c>
      <c r="D39" s="34" t="str">
        <f>IF(DD41&lt;=0," ",C39/$C$20)</f>
        <v xml:space="preserve"> </v>
      </c>
      <c r="E39" s="32">
        <f>'VZLA BFS'!E39/'VENEZUELA USD'!$AH$3</f>
        <v>4.9194729136163984</v>
      </c>
      <c r="F39" s="34">
        <f>+E39/$E$20</f>
        <v>8.628881956792106E-4</v>
      </c>
      <c r="G39" s="34" t="str">
        <f>IF(C39=0,"",(E39-C39)/ABS(C39)+1)</f>
        <v/>
      </c>
      <c r="H39" s="63">
        <f>+'VZLA BFS'!H39/'VENEZUELA USD'!$AH$4</f>
        <v>163.00102774922919</v>
      </c>
      <c r="I39" s="34">
        <f>IF($H$20&lt;=0," ",H39/$H$20)</f>
        <v>2.0200540676514327E-2</v>
      </c>
      <c r="J39" s="34">
        <f>IF(E39=0,"",(E39-H39)/ABS(H39))</f>
        <v>-0.96981937487421965</v>
      </c>
      <c r="K39" s="32">
        <f>'VZLA BFS'!K32/'VENEZUELA USD'!$AH$3</f>
        <v>0</v>
      </c>
      <c r="L39" s="34" t="str">
        <f>IF($K$20&lt;=0," ",K39/$K$20)</f>
        <v xml:space="preserve"> </v>
      </c>
      <c r="M39" s="32">
        <f>'VZLA BFS'!M39/'VENEZUELA USD'!$AH$3</f>
        <v>8.7408491947291367</v>
      </c>
      <c r="N39" s="34">
        <f>+M39/$M$20</f>
        <v>8.7996791079831616E-4</v>
      </c>
      <c r="O39" s="34" t="str">
        <f>IF(K39=0,"",(M39-K39)/ABS(K39)+1)</f>
        <v/>
      </c>
      <c r="P39" s="63">
        <f>+'VZLA BFS'!P39/'VENEZUELA USD'!$AH$4</f>
        <v>1475.5909558067831</v>
      </c>
      <c r="Q39" s="34">
        <f>IF($P$20&lt;=0," ",P39/$P$20)</f>
        <v>2.4853359552769353E-2</v>
      </c>
      <c r="R39" s="34">
        <f>IF(M39=0,"",(M39-P39)/ABS(P39))</f>
        <v>-0.99407637383494929</v>
      </c>
      <c r="AL39" s="109" t="s">
        <v>11</v>
      </c>
      <c r="AM39" s="110">
        <v>3143738</v>
      </c>
      <c r="AN39"/>
      <c r="AO39"/>
      <c r="AP39"/>
      <c r="AQ39"/>
      <c r="AT39" s="109" t="s">
        <v>11</v>
      </c>
      <c r="AU39" s="110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9" t="s">
        <v>12</v>
      </c>
      <c r="AM40" s="110">
        <v>3267940</v>
      </c>
      <c r="AN40"/>
      <c r="AO40"/>
      <c r="AP40"/>
      <c r="AQ40"/>
      <c r="AT40" s="109" t="s">
        <v>12</v>
      </c>
      <c r="AU40" s="110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2199.1736456808189</v>
      </c>
      <c r="F41" s="34">
        <f>+E41/$E$20</f>
        <v>0.38574071093152973</v>
      </c>
      <c r="G41" s="34" t="str">
        <f>IF(C41=0,"",(E41-C41)/ABS(C41)+1)</f>
        <v/>
      </c>
      <c r="H41" s="63">
        <f>+'VZLA BFS'!H41/'VENEZUELA USD'!$AH$4</f>
        <v>483.0935251798561</v>
      </c>
      <c r="I41" s="34">
        <f>IF($H$20&lt;=0," ",H41/$H$20)</f>
        <v>5.9869256904133403E-2</v>
      </c>
      <c r="J41" s="34">
        <f>IF(E41=0,"",(E41-H41)/ABS(H41))</f>
        <v>3.5522730714763044</v>
      </c>
      <c r="K41" s="32">
        <f>'VZLA BFS'!K33/'VENEZUELA USD'!$AH$3</f>
        <v>0</v>
      </c>
      <c r="L41" s="34" t="str">
        <f>IF($K$20&lt;=0," ",K41/$K$20)</f>
        <v xml:space="preserve"> </v>
      </c>
      <c r="M41" s="32">
        <f>'VZLA BFS'!M41/'VENEZUELA USD'!$AH$3</f>
        <v>3838.4726207906288</v>
      </c>
      <c r="N41" s="34">
        <f>+M41/$M$20</f>
        <v>0.38643072972938264</v>
      </c>
      <c r="O41" s="34" t="str">
        <f>IF(K41=0,"",(M41-K41)/ABS(K41)+1)</f>
        <v/>
      </c>
      <c r="P41" s="63">
        <f>+'VZLA BFS'!P41/'VENEZUELA USD'!$AH$4</f>
        <v>18348.098663926001</v>
      </c>
      <c r="Q41" s="34">
        <f>IF($P$20&lt;=0," ",P41/$P$20)</f>
        <v>0.30903679058869959</v>
      </c>
      <c r="R41" s="34">
        <f>IF(M41=0,"",(M41-P41)/ABS(P41))</f>
        <v>-0.79079725419520397</v>
      </c>
      <c r="AL41" s="109" t="s">
        <v>13</v>
      </c>
      <c r="AM41" s="110">
        <v>4139112</v>
      </c>
      <c r="AN41"/>
      <c r="AO41"/>
      <c r="AP41"/>
      <c r="AQ41"/>
      <c r="AT41" s="109" t="s">
        <v>13</v>
      </c>
      <c r="AU41" s="110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0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 t="str">
        <f>IF(C42=0,"",(E42-C42)/ABS(C42)+1)</f>
        <v/>
      </c>
      <c r="H42" s="63">
        <f>+'VZLA BFS'!H42/'VENEZUELA USD'!$AH$4</f>
        <v>8215.5447070914688</v>
      </c>
      <c r="I42" s="34">
        <f>IF($H$20&lt;=0," ",H42/$H$20)</f>
        <v>1.0181435499329725</v>
      </c>
      <c r="J42" s="34" t="str">
        <f>IF(E42=0,"",(E42-H42)/ABS(H42))</f>
        <v/>
      </c>
      <c r="K42" s="32">
        <f>'VZLA BFS'!K34/'VENEZUELA USD'!$AH$3</f>
        <v>0</v>
      </c>
      <c r="L42" s="34" t="str">
        <f>IF($K$20&lt;=0," ",K42/$K$20)</f>
        <v xml:space="preserve"> </v>
      </c>
      <c r="M42" s="32">
        <f>'VZLA BFS'!M42/'VENEZUELA USD'!$AH$3</f>
        <v>0</v>
      </c>
      <c r="N42" s="34">
        <f>+M42/$M$20</f>
        <v>0</v>
      </c>
      <c r="O42" s="34" t="str">
        <f>IF(K42=0,"",(M42-K42)/ABS(K42)+1)</f>
        <v/>
      </c>
      <c r="P42" s="63">
        <f>+'VZLA BFS'!P42/'VENEZUELA USD'!$AH$4</f>
        <v>8215.5447070914688</v>
      </c>
      <c r="Q42" s="34">
        <f>IF($P$20&lt;=0," ",P42/$P$20)</f>
        <v>0.13837431418489374</v>
      </c>
      <c r="R42" s="34" t="str">
        <f>IF(M42=0,"",(M42-P42)/ABS(P42))</f>
        <v/>
      </c>
      <c r="AL42" s="109" t="s">
        <v>14</v>
      </c>
      <c r="AM42" s="110">
        <v>4148043</v>
      </c>
      <c r="AN42"/>
      <c r="AO42"/>
      <c r="AP42"/>
      <c r="AQ42"/>
      <c r="AT42" s="109" t="s">
        <v>14</v>
      </c>
      <c r="AU42" s="110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2199.1736456808189</v>
      </c>
      <c r="F43" s="34">
        <f>+E43/$E$20</f>
        <v>0.38574071093152973</v>
      </c>
      <c r="G43" s="34" t="str">
        <f>IF(C43=0,"",(E43-C43)/ABS(C43)+1)</f>
        <v/>
      </c>
      <c r="H43" s="63">
        <f>+'VZLA BFS'!H43/'VENEZUELA USD'!$AH$4</f>
        <v>-7732.4511819116133</v>
      </c>
      <c r="I43" s="34">
        <f>IF($H$20&lt;=0," ",H43/$H$20)</f>
        <v>-0.95827429302883926</v>
      </c>
      <c r="J43" s="34">
        <f>IF(E43=0,"",(E43-H43)/ABS(H43))</f>
        <v>1.2844083452896937</v>
      </c>
      <c r="K43" s="32">
        <f>'VZLA BFS'!K35/'VENEZUELA USD'!$AH$3</f>
        <v>0</v>
      </c>
      <c r="L43" s="34" t="str">
        <f>IF($K$20&lt;=0," ",K43/$K$20)</f>
        <v xml:space="preserve"> </v>
      </c>
      <c r="M43" s="32">
        <f>'VZLA BFS'!M43/'VENEZUELA USD'!$AH$3</f>
        <v>3838.4726207906288</v>
      </c>
      <c r="N43" s="34">
        <f>+M43/$M$20</f>
        <v>0.38643072972938264</v>
      </c>
      <c r="O43" s="34" t="str">
        <f>IF(K43=0,"",(M43-K43)/ABS(K43)+1)</f>
        <v/>
      </c>
      <c r="P43" s="63">
        <f>+'VZLA BFS'!P43/'VENEZUELA USD'!$AH$4</f>
        <v>10132.553956834532</v>
      </c>
      <c r="Q43" s="34">
        <f>IF($P$20&lt;=0," ",P43/$P$20)</f>
        <v>0.17066247640380586</v>
      </c>
      <c r="R43" s="34">
        <f>IF(M43=0,"",(M43-P43)/ABS(P43))</f>
        <v>-0.6211742234837514</v>
      </c>
      <c r="AL43" s="109" t="s">
        <v>15</v>
      </c>
      <c r="AM43" s="110">
        <v>4549688</v>
      </c>
      <c r="AN43"/>
      <c r="AO43"/>
      <c r="AP43"/>
      <c r="AQ43"/>
      <c r="AT43" s="109" t="s">
        <v>15</v>
      </c>
      <c r="AU43" s="110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9" t="s">
        <v>16</v>
      </c>
      <c r="AM44" s="110">
        <v>4.5599999999999996</v>
      </c>
      <c r="AN44"/>
      <c r="AO44"/>
      <c r="AP44"/>
      <c r="AQ44"/>
      <c r="AT44" s="109" t="s">
        <v>16</v>
      </c>
      <c r="AU44" s="110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0</v>
      </c>
      <c r="D45" s="34" t="str">
        <f>IF(DD45&lt;=0," ",C45/$C$20)</f>
        <v xml:space="preserve"> </v>
      </c>
      <c r="E45" s="32">
        <f>'VZLA BFS'!E45/'VENEZUELA USD'!$AH$3</f>
        <v>2205.8847730600296</v>
      </c>
      <c r="F45" s="34">
        <f>+E45/$E$20</f>
        <v>0.38691785992633199</v>
      </c>
      <c r="G45" s="34" t="str">
        <f>IF(C45=0,"",(E45-C45)/ABS(C45)+1)</f>
        <v/>
      </c>
      <c r="H45" s="63">
        <f>+'VZLA BFS'!H45/'VENEZUELA USD'!$AH$4</f>
        <v>-7732.4511819116133</v>
      </c>
      <c r="I45" s="34">
        <f>IF($H$20&lt;=0," ",H45/$H$20)</f>
        <v>-0.95827429302883926</v>
      </c>
      <c r="J45" s="34">
        <f>IF(E45=0,"",(E45-H45)/ABS(H45))</f>
        <v>1.2852762624897285</v>
      </c>
      <c r="K45" s="32">
        <f>'VZLA BFS'!K36/'VENEZUELA USD'!$AH$3</f>
        <v>0</v>
      </c>
      <c r="L45" s="34" t="str">
        <f>IF($K$20&lt;=0," ",K45/$K$20)</f>
        <v xml:space="preserve"> </v>
      </c>
      <c r="M45" s="32">
        <f>'VZLA BFS'!M45/'VENEZUELA USD'!$AH$3</f>
        <v>3851.4645680819899</v>
      </c>
      <c r="N45" s="34">
        <f>+M45/$M$20</f>
        <v>0.38773866863331374</v>
      </c>
      <c r="O45" s="34" t="str">
        <f>IF(K45=0,"",(M45-K45)/ABS(K45)+1)</f>
        <v/>
      </c>
      <c r="P45" s="63">
        <f>+'VZLA BFS'!P45/'VENEZUELA USD'!$AH$4</f>
        <v>17994.527235354573</v>
      </c>
      <c r="Q45" s="34">
        <f>IF($P$20&lt;=0," ",P45/$P$20)</f>
        <v>0.30308159154977121</v>
      </c>
      <c r="R45" s="34">
        <f>IF(M45=0,"",(M45-P45)/ABS(P45))</f>
        <v>-0.78596467038517892</v>
      </c>
      <c r="AL45" s="109" t="s">
        <v>17</v>
      </c>
      <c r="AM45" s="110">
        <v>4.99</v>
      </c>
      <c r="AN45"/>
      <c r="AO45"/>
      <c r="AP45" s="111" t="s">
        <v>139</v>
      </c>
      <c r="AQ45" t="s">
        <v>140</v>
      </c>
      <c r="AT45" s="109" t="s">
        <v>17</v>
      </c>
      <c r="AU45" s="110">
        <v>13.1</v>
      </c>
      <c r="AV45"/>
      <c r="AW45"/>
      <c r="AX45" s="111" t="s">
        <v>139</v>
      </c>
      <c r="AY45" t="s">
        <v>140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1531.7935578330896</v>
      </c>
      <c r="F46" s="34">
        <f>+E46/$E$20</f>
        <v>0.26868052786979923</v>
      </c>
      <c r="G46" s="34" t="str">
        <f>IF(C46=0,"",(E46-C46)/ABS(C46)+1)</f>
        <v/>
      </c>
      <c r="H46" s="63">
        <f>+'VZLA BFS'!H46/'VENEZUELA USD'!$AH$4</f>
        <v>2325.6166495375128</v>
      </c>
      <c r="I46" s="34">
        <f>IF($H$20&lt;=0," ",H46/$H$20)</f>
        <v>0.28821115041824419</v>
      </c>
      <c r="J46" s="34">
        <f>IF(E46=0,"",(E46-H46)/ABS(H46))</f>
        <v>-0.34133875497592775</v>
      </c>
      <c r="K46" s="32">
        <f>'VZLA BFS'!K37/'VENEZUELA USD'!$AH$3</f>
        <v>0</v>
      </c>
      <c r="L46" s="34" t="str">
        <f>IF($K$20&lt;=0," ",K46/$K$20)</f>
        <v xml:space="preserve"> </v>
      </c>
      <c r="M46" s="32">
        <f>'VZLA BFS'!M46/'VENEZUELA USD'!$AH$3</f>
        <v>2926.7739385065893</v>
      </c>
      <c r="N46" s="34">
        <f>+M46/$M$20</f>
        <v>0.29464724658556612</v>
      </c>
      <c r="O46" s="34" t="str">
        <f>IF(K46=0,"",(M46-K46)/ABS(K46)+1)</f>
        <v/>
      </c>
      <c r="P46" s="63">
        <f>+'VZLA BFS'!P46/'VENEZUELA USD'!$AH$4</f>
        <v>18948.175745118191</v>
      </c>
      <c r="Q46" s="34">
        <f>IF($P$20&lt;=0," ",P46/$P$20)</f>
        <v>0.31914388117471615</v>
      </c>
      <c r="R46" s="34">
        <f>IF(M46=0,"",(M46-P46)/ABS(P46))</f>
        <v>-0.84553795690539535</v>
      </c>
      <c r="AL46" s="109" t="s">
        <v>18</v>
      </c>
      <c r="AM46" s="110">
        <v>4.6900000000000004</v>
      </c>
      <c r="AN46" s="112">
        <f>1/AM46</f>
        <v>0.21321961620469082</v>
      </c>
      <c r="AO46" t="s">
        <v>141</v>
      </c>
      <c r="AP46">
        <v>11272</v>
      </c>
      <c r="AQ46" s="113">
        <f>+AP46*AN46</f>
        <v>2403.4115138592751</v>
      </c>
      <c r="AT46" s="109" t="s">
        <v>18</v>
      </c>
      <c r="AU46" s="110">
        <v>18.600000000000001</v>
      </c>
      <c r="AV46" s="112">
        <f>1/AU46</f>
        <v>5.3763440860215048E-2</v>
      </c>
      <c r="AW46" t="s">
        <v>141</v>
      </c>
      <c r="AX46" s="114">
        <v>11272</v>
      </c>
      <c r="AY46" s="113">
        <f>+AX46*AV46</f>
        <v>606.02150537634407</v>
      </c>
    </row>
    <row r="47" spans="2:51" ht="15" x14ac:dyDescent="0.25">
      <c r="E47" s="53"/>
      <c r="M47" s="53"/>
      <c r="P47" s="63">
        <f>+'VZLA BFS'!P47/'VENEZUELA USD'!$AH$4</f>
        <v>0</v>
      </c>
      <c r="AL47" t="s">
        <v>142</v>
      </c>
      <c r="AM47" s="115">
        <f>AVERAGE(AM35:AM46)</f>
        <v>2329383.6866666665</v>
      </c>
      <c r="AN47" s="112">
        <f>1/AM47</f>
        <v>4.2929810392507461E-7</v>
      </c>
      <c r="AO47" t="s">
        <v>143</v>
      </c>
      <c r="AP47" s="116">
        <v>11272</v>
      </c>
      <c r="AQ47" s="117">
        <f>+AP47*AN47</f>
        <v>4.8390482274434411E-3</v>
      </c>
      <c r="AT47" t="s">
        <v>142</v>
      </c>
      <c r="AU47" s="115">
        <f>AVERAGE(AU35:AU46)</f>
        <v>7.725833333333334</v>
      </c>
      <c r="AV47" s="112">
        <f>1/AU47</f>
        <v>0.12943587531010678</v>
      </c>
      <c r="AW47" t="s">
        <v>143</v>
      </c>
      <c r="AX47" s="116">
        <v>11272</v>
      </c>
      <c r="AY47" s="117">
        <f>+AX47*AV47</f>
        <v>1459.0011864955236</v>
      </c>
    </row>
    <row r="51" spans="35:43" x14ac:dyDescent="0.2">
      <c r="AL51" s="79" t="s">
        <v>144</v>
      </c>
    </row>
    <row r="52" spans="35:43" ht="15" x14ac:dyDescent="0.25">
      <c r="AL52" s="109" t="s">
        <v>6</v>
      </c>
      <c r="AM52" s="110">
        <v>23.11</v>
      </c>
      <c r="AN52"/>
      <c r="AO52"/>
      <c r="AP52"/>
      <c r="AQ52"/>
    </row>
    <row r="53" spans="35:43" ht="15" x14ac:dyDescent="0.25">
      <c r="AL53" s="109" t="s">
        <v>7</v>
      </c>
      <c r="AM53" s="110">
        <v>25.1</v>
      </c>
      <c r="AN53"/>
      <c r="AO53"/>
      <c r="AP53"/>
      <c r="AQ53"/>
    </row>
    <row r="54" spans="35:43" ht="15" x14ac:dyDescent="0.25">
      <c r="AL54" s="109" t="s">
        <v>9</v>
      </c>
      <c r="AM54" s="110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09" t="s">
        <v>10</v>
      </c>
      <c r="AM55" s="110">
        <v>28.23</v>
      </c>
      <c r="AN55"/>
      <c r="AO55"/>
      <c r="AP55"/>
      <c r="AQ55"/>
    </row>
    <row r="56" spans="35:43" ht="15" x14ac:dyDescent="0.25">
      <c r="AL56" s="109" t="s">
        <v>11</v>
      </c>
      <c r="AM56" s="110">
        <v>28.23</v>
      </c>
      <c r="AN56"/>
      <c r="AO56"/>
      <c r="AP56"/>
      <c r="AQ56"/>
    </row>
    <row r="57" spans="35:43" ht="15" x14ac:dyDescent="0.25">
      <c r="AL57" s="109" t="s">
        <v>12</v>
      </c>
      <c r="AM57" s="110">
        <v>28.35</v>
      </c>
      <c r="AN57"/>
      <c r="AO57"/>
      <c r="AP57"/>
      <c r="AQ57"/>
    </row>
    <row r="58" spans="35:43" ht="15" x14ac:dyDescent="0.25">
      <c r="AL58" s="109" t="s">
        <v>13</v>
      </c>
      <c r="AM58" s="110">
        <v>33.93</v>
      </c>
      <c r="AN58"/>
      <c r="AO58"/>
      <c r="AP58"/>
      <c r="AQ58"/>
    </row>
    <row r="59" spans="35:43" ht="15" x14ac:dyDescent="0.25">
      <c r="AL59" s="109" t="s">
        <v>14</v>
      </c>
      <c r="AM59" s="110">
        <v>34.659999999999997</v>
      </c>
      <c r="AN59"/>
      <c r="AO59"/>
      <c r="AP59"/>
      <c r="AQ59"/>
    </row>
    <row r="60" spans="35:43" ht="15" x14ac:dyDescent="0.25">
      <c r="AL60" s="109" t="s">
        <v>15</v>
      </c>
      <c r="AM60" s="110">
        <v>35.74</v>
      </c>
      <c r="AN60"/>
      <c r="AO60"/>
      <c r="AP60"/>
      <c r="AQ60"/>
    </row>
    <row r="61" spans="35:43" ht="15" x14ac:dyDescent="0.25">
      <c r="AL61" s="109" t="s">
        <v>16</v>
      </c>
      <c r="AM61" s="110">
        <v>37.29</v>
      </c>
      <c r="AN61"/>
      <c r="AO61"/>
      <c r="AP61"/>
      <c r="AQ61"/>
    </row>
    <row r="62" spans="35:43" ht="23.25" x14ac:dyDescent="0.25">
      <c r="AL62" s="109" t="s">
        <v>17</v>
      </c>
      <c r="AM62" s="110">
        <v>37.950000000000003</v>
      </c>
      <c r="AN62"/>
      <c r="AO62"/>
      <c r="AP62" s="111" t="s">
        <v>139</v>
      </c>
      <c r="AQ62" t="s">
        <v>140</v>
      </c>
    </row>
    <row r="63" spans="35:43" ht="15" x14ac:dyDescent="0.25">
      <c r="AL63" s="109" t="s">
        <v>18</v>
      </c>
      <c r="AM63" s="110">
        <v>39.08</v>
      </c>
      <c r="AN63" s="112">
        <f>1/AM63</f>
        <v>2.5588536335721598E-2</v>
      </c>
      <c r="AO63" t="s">
        <v>141</v>
      </c>
      <c r="AP63" s="114">
        <v>394358</v>
      </c>
      <c r="AQ63" s="113">
        <f>+AP63*AN63</f>
        <v>10091.044012282498</v>
      </c>
    </row>
    <row r="64" spans="35:43" ht="15" x14ac:dyDescent="0.25">
      <c r="AL64" t="s">
        <v>142</v>
      </c>
      <c r="AM64" s="115">
        <f>AVERAGE(AM52:AM63)</f>
        <v>31.385000000000002</v>
      </c>
      <c r="AN64" s="112">
        <f>1/AM64</f>
        <v>3.186235462800701E-2</v>
      </c>
      <c r="AO64" t="s">
        <v>143</v>
      </c>
      <c r="AP64" s="114">
        <v>394358</v>
      </c>
      <c r="AQ64" s="117">
        <f>+AP64*AN64</f>
        <v>12565.174446391589</v>
      </c>
    </row>
    <row r="69" spans="38:43" x14ac:dyDescent="0.2">
      <c r="AL69" s="79" t="s">
        <v>145</v>
      </c>
    </row>
    <row r="70" spans="38:43" ht="15" x14ac:dyDescent="0.25">
      <c r="AL70" s="109" t="s">
        <v>6</v>
      </c>
      <c r="AM70" s="110">
        <v>38.53</v>
      </c>
      <c r="AN70"/>
      <c r="AO70"/>
      <c r="AP70"/>
      <c r="AQ70"/>
    </row>
    <row r="71" spans="38:43" ht="15" x14ac:dyDescent="0.25">
      <c r="AL71" s="109" t="s">
        <v>7</v>
      </c>
      <c r="AM71" s="110">
        <v>38.92</v>
      </c>
      <c r="AN71"/>
      <c r="AO71"/>
      <c r="AP71"/>
      <c r="AQ71"/>
    </row>
    <row r="72" spans="38:43" ht="15" x14ac:dyDescent="0.25">
      <c r="AL72" s="109" t="s">
        <v>9</v>
      </c>
      <c r="AM72" s="110">
        <v>39.119999999999997</v>
      </c>
      <c r="AN72"/>
      <c r="AO72"/>
      <c r="AP72"/>
      <c r="AQ72"/>
    </row>
    <row r="73" spans="38:43" ht="15" x14ac:dyDescent="0.25">
      <c r="AL73" s="109" t="s">
        <v>10</v>
      </c>
      <c r="AM73" s="110">
        <v>40.86</v>
      </c>
      <c r="AN73"/>
      <c r="AO73"/>
      <c r="AP73"/>
      <c r="AQ73"/>
    </row>
    <row r="74" spans="38:43" ht="15" x14ac:dyDescent="0.25">
      <c r="AL74" s="109" t="s">
        <v>11</v>
      </c>
      <c r="AM74" s="110">
        <v>36.46</v>
      </c>
      <c r="AN74"/>
      <c r="AO74"/>
      <c r="AP74"/>
      <c r="AQ74"/>
    </row>
    <row r="75" spans="38:43" ht="15" x14ac:dyDescent="0.25">
      <c r="AL75" s="109" t="s">
        <v>12</v>
      </c>
      <c r="AM75" s="110">
        <v>40.46</v>
      </c>
      <c r="AN75"/>
      <c r="AO75"/>
      <c r="AP75"/>
      <c r="AQ75"/>
    </row>
    <row r="76" spans="38:43" ht="15" x14ac:dyDescent="0.25">
      <c r="AL76" s="109" t="s">
        <v>13</v>
      </c>
      <c r="AM76" s="110">
        <v>45.57</v>
      </c>
      <c r="AN76"/>
      <c r="AO76"/>
      <c r="AP76"/>
      <c r="AQ76"/>
    </row>
    <row r="77" spans="38:43" ht="15" x14ac:dyDescent="0.25">
      <c r="AL77" s="109" t="s">
        <v>14</v>
      </c>
      <c r="AM77" s="110">
        <v>43.18</v>
      </c>
      <c r="AN77"/>
      <c r="AO77"/>
      <c r="AP77"/>
      <c r="AQ77"/>
    </row>
    <row r="78" spans="38:43" ht="15" x14ac:dyDescent="0.25">
      <c r="AL78" s="109" t="s">
        <v>15</v>
      </c>
      <c r="AM78" s="110">
        <v>43.1</v>
      </c>
      <c r="AN78"/>
      <c r="AO78"/>
      <c r="AP78"/>
      <c r="AQ78"/>
    </row>
    <row r="79" spans="38:43" ht="15" x14ac:dyDescent="0.25">
      <c r="AL79" s="109" t="s">
        <v>16</v>
      </c>
      <c r="AM79" s="110">
        <v>43.45</v>
      </c>
      <c r="AN79"/>
      <c r="AO79"/>
      <c r="AP79"/>
      <c r="AQ79"/>
    </row>
    <row r="80" spans="38:43" ht="23.25" x14ac:dyDescent="0.25">
      <c r="AL80" s="109" t="s">
        <v>17</v>
      </c>
      <c r="AM80" s="110">
        <v>43.45</v>
      </c>
      <c r="AN80"/>
      <c r="AO80"/>
      <c r="AP80" s="111" t="s">
        <v>139</v>
      </c>
      <c r="AQ80" t="s">
        <v>140</v>
      </c>
    </row>
    <row r="81" spans="38:43" ht="15" x14ac:dyDescent="0.25">
      <c r="AL81" s="109" t="s">
        <v>18</v>
      </c>
      <c r="AM81" s="110">
        <v>53.85</v>
      </c>
      <c r="AN81" s="112">
        <f>1/AM81</f>
        <v>1.8570102135561744E-2</v>
      </c>
      <c r="AO81" t="s">
        <v>141</v>
      </c>
      <c r="AP81" s="114"/>
      <c r="AQ81" s="113">
        <f>+AP81*AN81</f>
        <v>0</v>
      </c>
    </row>
    <row r="82" spans="38:43" ht="15" x14ac:dyDescent="0.25">
      <c r="AL82" t="s">
        <v>142</v>
      </c>
      <c r="AM82" s="115">
        <f>AVERAGE(AM70:AM81)</f>
        <v>42.245833333333337</v>
      </c>
      <c r="AN82" s="112">
        <f>1/AM82</f>
        <v>2.3670973468783902E-2</v>
      </c>
      <c r="AO82" t="s">
        <v>143</v>
      </c>
      <c r="AP82" s="114"/>
      <c r="AQ82" s="117">
        <f>+AP82*AN82</f>
        <v>0</v>
      </c>
    </row>
    <row r="93" spans="38:43" x14ac:dyDescent="0.2">
      <c r="AL93" s="79" t="s">
        <v>146</v>
      </c>
    </row>
    <row r="94" spans="38:43" ht="15" x14ac:dyDescent="0.25">
      <c r="AL94" s="109" t="s">
        <v>6</v>
      </c>
      <c r="AM94" s="110">
        <v>64.319999999999993</v>
      </c>
      <c r="AN94"/>
      <c r="AO94"/>
    </row>
    <row r="95" spans="38:43" ht="15" x14ac:dyDescent="0.25">
      <c r="AL95" s="109" t="s">
        <v>7</v>
      </c>
      <c r="AM95" s="110">
        <v>68.3</v>
      </c>
      <c r="AN95"/>
      <c r="AO95"/>
    </row>
    <row r="96" spans="38:43" ht="15" x14ac:dyDescent="0.25">
      <c r="AL96" s="109" t="s">
        <v>9</v>
      </c>
      <c r="AM96" s="110">
        <v>68.52</v>
      </c>
      <c r="AN96"/>
      <c r="AO96"/>
    </row>
    <row r="97" spans="38:41" ht="15" x14ac:dyDescent="0.25">
      <c r="AL97" s="109" t="s">
        <v>10</v>
      </c>
      <c r="AM97" s="110"/>
      <c r="AN97"/>
      <c r="AO97"/>
    </row>
    <row r="98" spans="38:41" ht="15" x14ac:dyDescent="0.25">
      <c r="AL98" s="109" t="s">
        <v>11</v>
      </c>
      <c r="AM98" s="110"/>
      <c r="AN98"/>
      <c r="AO98"/>
    </row>
    <row r="99" spans="38:41" ht="15" x14ac:dyDescent="0.25">
      <c r="AL99" s="109" t="s">
        <v>12</v>
      </c>
      <c r="AM99" s="110"/>
      <c r="AN99"/>
      <c r="AO99"/>
    </row>
    <row r="100" spans="38:41" ht="15" x14ac:dyDescent="0.25">
      <c r="AL100" s="109" t="s">
        <v>13</v>
      </c>
      <c r="AM100" s="110"/>
      <c r="AN100"/>
      <c r="AO100"/>
    </row>
    <row r="101" spans="38:41" ht="15" x14ac:dyDescent="0.25">
      <c r="AL101" s="109" t="s">
        <v>14</v>
      </c>
      <c r="AM101" s="110"/>
      <c r="AN101"/>
      <c r="AO101"/>
    </row>
    <row r="102" spans="38:41" ht="15" x14ac:dyDescent="0.25">
      <c r="AL102" s="109" t="s">
        <v>15</v>
      </c>
      <c r="AM102" s="110"/>
      <c r="AN102"/>
      <c r="AO102"/>
    </row>
    <row r="103" spans="38:41" ht="15" x14ac:dyDescent="0.25">
      <c r="AL103" s="109" t="s">
        <v>16</v>
      </c>
      <c r="AM103" s="110"/>
      <c r="AN103"/>
      <c r="AO103"/>
    </row>
    <row r="104" spans="38:41" ht="15" x14ac:dyDescent="0.25">
      <c r="AL104" s="109" t="s">
        <v>17</v>
      </c>
      <c r="AM104" s="110"/>
      <c r="AN104"/>
      <c r="AO104"/>
    </row>
    <row r="105" spans="38:41" ht="15" x14ac:dyDescent="0.25">
      <c r="AL105" s="109" t="s">
        <v>18</v>
      </c>
      <c r="AM105" s="110"/>
      <c r="AN105" s="112" t="e">
        <f>1/AM105</f>
        <v>#DIV/0!</v>
      </c>
      <c r="AO105" t="s">
        <v>141</v>
      </c>
    </row>
    <row r="106" spans="38:41" ht="15" x14ac:dyDescent="0.25">
      <c r="AL106" t="s">
        <v>142</v>
      </c>
      <c r="AM106" s="115">
        <f>AVERAGE(AM94:AM105)</f>
        <v>67.046666666666667</v>
      </c>
      <c r="AN106" s="112">
        <f>1/AM106</f>
        <v>1.491498458784926E-2</v>
      </c>
      <c r="AO106" t="s">
        <v>143</v>
      </c>
    </row>
    <row r="108" spans="38:41" x14ac:dyDescent="0.2">
      <c r="AN108" s="2">
        <v>5000</v>
      </c>
    </row>
    <row r="109" spans="38:41" x14ac:dyDescent="0.2">
      <c r="AN109" s="118">
        <f>+AN108*AN106</f>
        <v>74.574922939246292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539A-E518-428A-869D-8530D4F2D546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147</v>
      </c>
      <c r="T3" s="18" t="s">
        <v>147</v>
      </c>
    </row>
    <row r="4" spans="1:34" ht="14.25" customHeight="1" x14ac:dyDescent="0.2">
      <c r="A4" s="78" t="str">
        <f>+Paramet!A3</f>
        <v>202401</v>
      </c>
      <c r="B4" s="2" t="s">
        <v>20</v>
      </c>
      <c r="K4" s="119"/>
      <c r="L4" s="119"/>
      <c r="M4" s="119"/>
      <c r="N4" s="119"/>
      <c r="O4" s="119"/>
      <c r="P4" s="119"/>
      <c r="Q4" s="119"/>
      <c r="R4" s="119"/>
      <c r="S4" s="119"/>
      <c r="T4" s="3" t="s">
        <v>21</v>
      </c>
    </row>
    <row r="5" spans="1:34" ht="14.25" customHeight="1" x14ac:dyDescent="0.2">
      <c r="A5" s="78" t="str">
        <f>+Paramet!A4</f>
        <v>202402</v>
      </c>
      <c r="B5" s="3" t="s">
        <v>148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148</v>
      </c>
    </row>
    <row r="6" spans="1:34" ht="14.25" customHeight="1" thickBot="1" x14ac:dyDescent="0.25">
      <c r="A6" s="78" t="str">
        <f>+Paramet!B3</f>
        <v>202501</v>
      </c>
      <c r="B6" s="20" t="str">
        <f>+'COLOMB$ '!B6</f>
        <v>FEBRERO de 2025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FEBRERO de 2025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202502</v>
      </c>
      <c r="B7" s="61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T7" s="54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120" t="str">
        <f>+K7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0</v>
      </c>
      <c r="Y10" s="32">
        <v>0</v>
      </c>
      <c r="Z10" s="63">
        <f>+Y10-X10</f>
        <v>0</v>
      </c>
      <c r="AA10" s="68" t="str">
        <f>IF(X10=0,"",(Y10-X10)/ABS(X10)+1)</f>
        <v/>
      </c>
      <c r="AB10" s="32">
        <v>9874.7900000000009</v>
      </c>
      <c r="AC10" s="68">
        <f>IF(W10=0,"",(Y10-AB10)/ABS(AB10))</f>
        <v>-1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77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79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81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0</v>
      </c>
      <c r="Y21" s="32">
        <f>+Y10+Y19</f>
        <v>0</v>
      </c>
      <c r="Z21" s="63">
        <f>+Y21-X21</f>
        <v>0</v>
      </c>
      <c r="AA21" s="68" t="str">
        <f>IF(X21=0,"",(Y21-X21)/ABS(X21)+1)</f>
        <v/>
      </c>
      <c r="AB21" s="32">
        <v>52877.79</v>
      </c>
      <c r="AC21" s="68">
        <f>IF(AB21=0,"",(Y21-AB21)/ABS(AB21))</f>
        <v>-1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149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0</v>
      </c>
      <c r="Y30" s="69">
        <f>Y21-Y23-Y25-Y27-Y28</f>
        <v>0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150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2025-03-26T19:02:22Z</dcterms:created>
  <dcterms:modified xsi:type="dcterms:W3CDTF">2025-03-26T19:03:53Z</dcterms:modified>
</cp:coreProperties>
</file>