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5/Consolidados/"/>
    </mc:Choice>
  </mc:AlternateContent>
  <xr:revisionPtr revIDLastSave="0" documentId="8_{71240EEA-DB8A-4E8F-9C01-43B6AF1F5BBD}" xr6:coauthVersionLast="47" xr6:coauthVersionMax="47" xr10:uidLastSave="{00000000-0000-0000-0000-000000000000}"/>
  <bookViews>
    <workbookView xWindow="-28920" yWindow="720" windowWidth="29040" windowHeight="15720" activeTab="1" xr2:uid="{1006FEA6-A993-4230-A2E8-94C3D10D58A1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Efectivo","IN",ctas!$A$544:$A$552)</definedName>
    <definedName name="b2w">'COLOMB$ '!$H$2</definedName>
  </definedNames>
  <calcPr calcId="191029"/>
  <pivotCaches>
    <pivotCache cacheId="2" r:id="rId13"/>
    <pivotCache cacheId="1" r:id="rId14"/>
    <pivotCache cacheId="0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7" i="12" l="1"/>
  <c r="C436" i="12"/>
  <c r="C435" i="12"/>
  <c r="C434" i="12"/>
  <c r="C433" i="12"/>
  <c r="C432" i="12"/>
  <c r="C431" i="12"/>
  <c r="C430" i="12"/>
  <c r="C429" i="12"/>
  <c r="C428" i="12"/>
  <c r="C438" i="12" s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K31" i="10"/>
  <c r="O31" i="10" s="1"/>
  <c r="R30" i="10"/>
  <c r="J30" i="10"/>
  <c r="I30" i="10"/>
  <c r="C30" i="10"/>
  <c r="R29" i="10"/>
  <c r="I29" i="10"/>
  <c r="G29" i="10"/>
  <c r="R28" i="10"/>
  <c r="P28" i="10"/>
  <c r="H28" i="10"/>
  <c r="J28" i="10" s="1"/>
  <c r="E28" i="10"/>
  <c r="I28" i="10" s="1"/>
  <c r="AC27" i="10"/>
  <c r="AA27" i="10"/>
  <c r="Y27" i="10"/>
  <c r="X27" i="10"/>
  <c r="R27" i="10"/>
  <c r="K27" i="10"/>
  <c r="O27" i="10" s="1"/>
  <c r="J27" i="10"/>
  <c r="I27" i="10"/>
  <c r="G27" i="10"/>
  <c r="C27" i="10"/>
  <c r="R26" i="10"/>
  <c r="J26" i="10"/>
  <c r="I26" i="10"/>
  <c r="C26" i="10"/>
  <c r="C28" i="10" s="1"/>
  <c r="AC25" i="10"/>
  <c r="AA25" i="10"/>
  <c r="Y25" i="10"/>
  <c r="X25" i="10"/>
  <c r="Z25" i="10" s="1"/>
  <c r="R25" i="10"/>
  <c r="I25" i="10"/>
  <c r="G25" i="10"/>
  <c r="AC23" i="10"/>
  <c r="AA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N105" i="9"/>
  <c r="AM104" i="9"/>
  <c r="AM103" i="9"/>
  <c r="AM106" i="9" s="1"/>
  <c r="AN106" i="9" s="1"/>
  <c r="AN109" i="9" s="1"/>
  <c r="AF96" i="9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Y47" i="9"/>
  <c r="AV47" i="9"/>
  <c r="AU47" i="9"/>
  <c r="AN47" i="9"/>
  <c r="AQ47" i="9" s="1"/>
  <c r="AM47" i="9"/>
  <c r="AV46" i="9"/>
  <c r="AY46" i="9" s="1"/>
  <c r="AQ46" i="9"/>
  <c r="AN46" i="9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D14" i="9"/>
  <c r="D13" i="9"/>
  <c r="D12" i="9"/>
  <c r="D11" i="9"/>
  <c r="D10" i="9"/>
  <c r="G7" i="9"/>
  <c r="O7" i="9" s="1"/>
  <c r="AH4" i="9"/>
  <c r="P31" i="9" s="1"/>
  <c r="AH3" i="9"/>
  <c r="M46" i="9" s="1"/>
  <c r="R46" i="8"/>
  <c r="O46" i="8"/>
  <c r="I46" i="8"/>
  <c r="R45" i="8"/>
  <c r="Q45" i="8"/>
  <c r="J45" i="8"/>
  <c r="I45" i="8"/>
  <c r="G45" i="8"/>
  <c r="Q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L34" i="8"/>
  <c r="I34" i="8"/>
  <c r="Q32" i="8"/>
  <c r="M32" i="8"/>
  <c r="R32" i="8" s="1"/>
  <c r="K32" i="8"/>
  <c r="I32" i="8"/>
  <c r="E32" i="8"/>
  <c r="C32" i="8"/>
  <c r="G32" i="8" s="1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R28" i="8" s="1"/>
  <c r="K28" i="8"/>
  <c r="K34" i="8" s="1"/>
  <c r="O34" i="8" s="1"/>
  <c r="I28" i="8"/>
  <c r="G28" i="8"/>
  <c r="E28" i="8"/>
  <c r="C28" i="8"/>
  <c r="AC27" i="8"/>
  <c r="X27" i="8"/>
  <c r="AA27" i="8" s="1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AA25" i="8" s="1"/>
  <c r="Q24" i="8"/>
  <c r="I24" i="8"/>
  <c r="AC23" i="8"/>
  <c r="AA23" i="8"/>
  <c r="Z23" i="8"/>
  <c r="R22" i="8"/>
  <c r="Q22" i="8"/>
  <c r="K22" i="8"/>
  <c r="O22" i="8" s="1"/>
  <c r="J22" i="8"/>
  <c r="I22" i="8"/>
  <c r="G22" i="8"/>
  <c r="AC20" i="8"/>
  <c r="Q20" i="8"/>
  <c r="M20" i="8"/>
  <c r="N12" i="8" s="1"/>
  <c r="L20" i="8"/>
  <c r="K20" i="8"/>
  <c r="L36" i="8" s="1"/>
  <c r="I20" i="8"/>
  <c r="E20" i="8"/>
  <c r="E24" i="8" s="1"/>
  <c r="E24" i="9" s="1"/>
  <c r="C20" i="8"/>
  <c r="D10" i="8" s="1"/>
  <c r="V19" i="8"/>
  <c r="V21" i="8" s="1"/>
  <c r="V30" i="8" s="1"/>
  <c r="U19" i="8"/>
  <c r="L19" i="8"/>
  <c r="B19" i="8"/>
  <c r="Y17" i="8"/>
  <c r="Y19" i="8" s="1"/>
  <c r="V17" i="8"/>
  <c r="V17" i="9" s="1"/>
  <c r="U17" i="8"/>
  <c r="U17" i="9" s="1"/>
  <c r="B17" i="8"/>
  <c r="AC16" i="8"/>
  <c r="AA16" i="8"/>
  <c r="X16" i="8"/>
  <c r="Z16" i="8" s="1"/>
  <c r="L16" i="8"/>
  <c r="B16" i="8"/>
  <c r="AC15" i="8"/>
  <c r="X15" i="8"/>
  <c r="R15" i="8"/>
  <c r="Q15" i="8"/>
  <c r="L15" i="8"/>
  <c r="J15" i="8"/>
  <c r="I15" i="8"/>
  <c r="G15" i="8"/>
  <c r="B15" i="8"/>
  <c r="AC14" i="8"/>
  <c r="X14" i="8"/>
  <c r="R14" i="8"/>
  <c r="Q14" i="8"/>
  <c r="O14" i="8"/>
  <c r="L14" i="8"/>
  <c r="J14" i="8"/>
  <c r="I14" i="8"/>
  <c r="G14" i="8"/>
  <c r="F14" i="8"/>
  <c r="B14" i="8"/>
  <c r="AC13" i="8"/>
  <c r="X13" i="8"/>
  <c r="AA13" i="8" s="1"/>
  <c r="R13" i="8"/>
  <c r="Q13" i="8"/>
  <c r="O13" i="8"/>
  <c r="N13" i="8"/>
  <c r="L13" i="8"/>
  <c r="J13" i="8"/>
  <c r="I13" i="8"/>
  <c r="G13" i="8"/>
  <c r="D13" i="8"/>
  <c r="B13" i="8"/>
  <c r="R12" i="8"/>
  <c r="Q12" i="8"/>
  <c r="O12" i="8"/>
  <c r="L12" i="8"/>
  <c r="J12" i="8"/>
  <c r="I12" i="8"/>
  <c r="G12" i="8"/>
  <c r="F12" i="8"/>
  <c r="B12" i="8"/>
  <c r="AC11" i="8"/>
  <c r="X11" i="8"/>
  <c r="R11" i="8"/>
  <c r="Q11" i="8"/>
  <c r="O11" i="8"/>
  <c r="N11" i="8"/>
  <c r="L11" i="8"/>
  <c r="J11" i="8"/>
  <c r="I11" i="8"/>
  <c r="G11" i="8"/>
  <c r="B11" i="8"/>
  <c r="AC10" i="8"/>
  <c r="AA10" i="8"/>
  <c r="Z10" i="8"/>
  <c r="R10" i="8"/>
  <c r="Q10" i="8"/>
  <c r="O10" i="8"/>
  <c r="L10" i="8"/>
  <c r="J10" i="8"/>
  <c r="I10" i="8"/>
  <c r="G10" i="8"/>
  <c r="F10" i="8"/>
  <c r="B10" i="8"/>
  <c r="W39" i="7"/>
  <c r="V39" i="7"/>
  <c r="AD28" i="7"/>
  <c r="AB28" i="7"/>
  <c r="Z28" i="7"/>
  <c r="Y28" i="7"/>
  <c r="AD27" i="7"/>
  <c r="Z27" i="7"/>
  <c r="Y27" i="7"/>
  <c r="AB27" i="7" s="1"/>
  <c r="AD25" i="7"/>
  <c r="AB25" i="7"/>
  <c r="Y25" i="7"/>
  <c r="AD23" i="7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AD16" i="7"/>
  <c r="Y16" i="7"/>
  <c r="AB16" i="7" s="1"/>
  <c r="R16" i="7"/>
  <c r="K16" i="7"/>
  <c r="B16" i="7"/>
  <c r="AD15" i="7"/>
  <c r="Y15" i="7"/>
  <c r="AB15" i="7" s="1"/>
  <c r="B15" i="7"/>
  <c r="AD14" i="7"/>
  <c r="Z14" i="7"/>
  <c r="Y14" i="7"/>
  <c r="AB14" i="7" s="1"/>
  <c r="R14" i="7"/>
  <c r="B14" i="7"/>
  <c r="Z13" i="7"/>
  <c r="Y13" i="7"/>
  <c r="B13" i="7"/>
  <c r="B12" i="7"/>
  <c r="AD11" i="7"/>
  <c r="AB11" i="7"/>
  <c r="Y11" i="7"/>
  <c r="B11" i="7"/>
  <c r="AD10" i="7"/>
  <c r="AB10" i="7"/>
  <c r="B10" i="7"/>
  <c r="U3" i="7"/>
  <c r="AD28" i="6"/>
  <c r="Y28" i="6"/>
  <c r="AD27" i="6"/>
  <c r="AA21" i="11" s="1"/>
  <c r="Y27" i="6"/>
  <c r="AD25" i="6"/>
  <c r="Y25" i="6"/>
  <c r="AD23" i="6"/>
  <c r="Y23" i="6"/>
  <c r="AD21" i="6"/>
  <c r="Y21" i="6"/>
  <c r="AE20" i="6"/>
  <c r="B19" i="6"/>
  <c r="AD17" i="6"/>
  <c r="Y17" i="6"/>
  <c r="B17" i="6"/>
  <c r="AD16" i="6"/>
  <c r="Y16" i="6"/>
  <c r="J16" i="6"/>
  <c r="H16" i="6"/>
  <c r="E16" i="6"/>
  <c r="B16" i="6"/>
  <c r="AD15" i="6"/>
  <c r="Y15" i="6"/>
  <c r="B15" i="6"/>
  <c r="AD14" i="6"/>
  <c r="Y14" i="6"/>
  <c r="P14" i="6"/>
  <c r="M14" i="6"/>
  <c r="B14" i="6"/>
  <c r="AD13" i="6"/>
  <c r="Y13" i="6"/>
  <c r="B13" i="6"/>
  <c r="B12" i="6"/>
  <c r="AD11" i="6"/>
  <c r="Y11" i="6"/>
  <c r="B11" i="6"/>
  <c r="AD10" i="6"/>
  <c r="Z10" i="6"/>
  <c r="Y10" i="6"/>
  <c r="X10" i="6"/>
  <c r="B10" i="6"/>
  <c r="H7" i="6"/>
  <c r="Y7" i="6" s="1"/>
  <c r="AD7" i="6" s="1"/>
  <c r="AJ5" i="6"/>
  <c r="AI5" i="6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O32" i="5" s="1"/>
  <c r="G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R14" i="5"/>
  <c r="P14" i="5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C20" i="4"/>
  <c r="Y12" i="4"/>
  <c r="X12" i="4" s="1"/>
  <c r="U12" i="4"/>
  <c r="AC10" i="4"/>
  <c r="AA10" i="4"/>
  <c r="Z10" i="4"/>
  <c r="U10" i="4"/>
  <c r="I7" i="4"/>
  <c r="F7" i="4"/>
  <c r="N7" i="4" s="1"/>
  <c r="V7" i="4" s="1"/>
  <c r="Y7" i="4" s="1"/>
  <c r="D7" i="4"/>
  <c r="C7" i="6" s="1"/>
  <c r="B6" i="4"/>
  <c r="B6" i="5" s="1"/>
  <c r="T3" i="4"/>
  <c r="AB28" i="3"/>
  <c r="W28" i="3"/>
  <c r="AB27" i="3"/>
  <c r="W27" i="3"/>
  <c r="AB25" i="3"/>
  <c r="W25" i="3"/>
  <c r="AB23" i="3"/>
  <c r="W23" i="3"/>
  <c r="AB21" i="3"/>
  <c r="W21" i="3"/>
  <c r="W30" i="3" s="1"/>
  <c r="AC20" i="3"/>
  <c r="AB19" i="3"/>
  <c r="B19" i="3"/>
  <c r="B18" i="3"/>
  <c r="B18" i="6" s="1"/>
  <c r="AB17" i="3"/>
  <c r="B17" i="3"/>
  <c r="AB16" i="3"/>
  <c r="W16" i="3"/>
  <c r="J16" i="3"/>
  <c r="B16" i="3"/>
  <c r="AB15" i="3"/>
  <c r="W15" i="3"/>
  <c r="B15" i="3"/>
  <c r="AB14" i="3"/>
  <c r="W14" i="3"/>
  <c r="R14" i="3"/>
  <c r="B14" i="3"/>
  <c r="AB13" i="3"/>
  <c r="W13" i="3"/>
  <c r="B13" i="3"/>
  <c r="B12" i="3"/>
  <c r="AB11" i="3"/>
  <c r="W11" i="3"/>
  <c r="B11" i="3"/>
  <c r="AB10" i="3"/>
  <c r="Y10" i="3"/>
  <c r="AA10" i="6" s="1"/>
  <c r="X10" i="3"/>
  <c r="W10" i="3"/>
  <c r="V10" i="3"/>
  <c r="U10" i="3"/>
  <c r="W10" i="6" s="1"/>
  <c r="B10" i="3"/>
  <c r="H7" i="3"/>
  <c r="W7" i="3" s="1"/>
  <c r="AB7" i="3" s="1"/>
  <c r="E7" i="3"/>
  <c r="C7" i="3"/>
  <c r="U7" i="3" s="1"/>
  <c r="X7" i="3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4" i="2"/>
  <c r="A4" i="2" s="1"/>
  <c r="D4" i="2"/>
  <c r="B4" i="2"/>
  <c r="B3" i="2"/>
  <c r="A6" i="10" s="1"/>
  <c r="A3" i="2"/>
  <c r="A4" i="10" s="1"/>
  <c r="E17" i="6" l="1"/>
  <c r="M26" i="6"/>
  <c r="E11" i="6"/>
  <c r="M11" i="6"/>
  <c r="C12" i="6"/>
  <c r="K12" i="6"/>
  <c r="H14" i="6"/>
  <c r="H15" i="6"/>
  <c r="P15" i="6"/>
  <c r="H22" i="6"/>
  <c r="P22" i="6"/>
  <c r="C32" i="6"/>
  <c r="K32" i="6"/>
  <c r="C38" i="6"/>
  <c r="K38" i="6"/>
  <c r="C39" i="6"/>
  <c r="K39" i="6"/>
  <c r="C42" i="6"/>
  <c r="K42" i="6"/>
  <c r="C46" i="6"/>
  <c r="K46" i="6"/>
  <c r="M17" i="6"/>
  <c r="E26" i="6"/>
  <c r="H10" i="6"/>
  <c r="P10" i="6"/>
  <c r="C13" i="6"/>
  <c r="K13" i="6"/>
  <c r="E18" i="6"/>
  <c r="M18" i="6"/>
  <c r="E30" i="6"/>
  <c r="M30" i="6"/>
  <c r="M46" i="6"/>
  <c r="K18" i="6"/>
  <c r="E12" i="6"/>
  <c r="P27" i="6"/>
  <c r="E38" i="6"/>
  <c r="E39" i="6"/>
  <c r="M42" i="6"/>
  <c r="E46" i="6"/>
  <c r="H11" i="6"/>
  <c r="P11" i="6"/>
  <c r="E13" i="6"/>
  <c r="M13" i="6"/>
  <c r="C14" i="6"/>
  <c r="K14" i="6"/>
  <c r="C15" i="6"/>
  <c r="K15" i="6"/>
  <c r="K16" i="6"/>
  <c r="C22" i="6"/>
  <c r="K22" i="6"/>
  <c r="C18" i="6"/>
  <c r="M12" i="6"/>
  <c r="P26" i="6"/>
  <c r="M38" i="6"/>
  <c r="C10" i="6"/>
  <c r="K10" i="6"/>
  <c r="H18" i="6"/>
  <c r="P18" i="6"/>
  <c r="H30" i="6"/>
  <c r="P30" i="6"/>
  <c r="P17" i="6"/>
  <c r="H27" i="6"/>
  <c r="E32" i="6"/>
  <c r="G32" i="6" s="1"/>
  <c r="M39" i="6"/>
  <c r="P12" i="6"/>
  <c r="E15" i="6"/>
  <c r="C16" i="6"/>
  <c r="K17" i="6"/>
  <c r="E22" i="6"/>
  <c r="C26" i="6"/>
  <c r="K26" i="6"/>
  <c r="C27" i="6"/>
  <c r="K27" i="6"/>
  <c r="H32" i="6"/>
  <c r="P32" i="6"/>
  <c r="H38" i="6"/>
  <c r="P38" i="6"/>
  <c r="H39" i="6"/>
  <c r="P39" i="6"/>
  <c r="H42" i="6"/>
  <c r="P42" i="6"/>
  <c r="H46" i="6"/>
  <c r="P46" i="6"/>
  <c r="H17" i="6"/>
  <c r="H26" i="6"/>
  <c r="M32" i="6"/>
  <c r="O32" i="6" s="1"/>
  <c r="E42" i="6"/>
  <c r="H12" i="6"/>
  <c r="E14" i="6"/>
  <c r="M15" i="6"/>
  <c r="C17" i="6"/>
  <c r="H19" i="6"/>
  <c r="M22" i="6"/>
  <c r="E10" i="6"/>
  <c r="M10" i="6"/>
  <c r="C11" i="6"/>
  <c r="K11" i="6"/>
  <c r="H13" i="6"/>
  <c r="P13" i="6"/>
  <c r="E27" i="6"/>
  <c r="M27" i="6"/>
  <c r="C30" i="6"/>
  <c r="K30" i="6"/>
  <c r="AA23" i="6"/>
  <c r="Y23" i="3"/>
  <c r="Y14" i="3"/>
  <c r="AA14" i="6"/>
  <c r="Y13" i="3"/>
  <c r="AC13" i="3" s="1"/>
  <c r="AA13" i="6"/>
  <c r="U28" i="3"/>
  <c r="W28" i="6"/>
  <c r="V16" i="3"/>
  <c r="X16" i="6"/>
  <c r="X28" i="6"/>
  <c r="V28" i="3"/>
  <c r="X27" i="6"/>
  <c r="V27" i="3"/>
  <c r="Z28" i="6"/>
  <c r="X28" i="3"/>
  <c r="AA28" i="3" s="1"/>
  <c r="X11" i="6"/>
  <c r="V11" i="3"/>
  <c r="X15" i="6"/>
  <c r="V15" i="3"/>
  <c r="X25" i="6"/>
  <c r="V25" i="3"/>
  <c r="AA28" i="6"/>
  <c r="Y28" i="3"/>
  <c r="AA16" i="6"/>
  <c r="Y16" i="3"/>
  <c r="X14" i="6"/>
  <c r="V14" i="3"/>
  <c r="X23" i="6"/>
  <c r="V23" i="3"/>
  <c r="Y27" i="3"/>
  <c r="AA27" i="6"/>
  <c r="AA11" i="6"/>
  <c r="Y11" i="3"/>
  <c r="X13" i="6"/>
  <c r="V13" i="3"/>
  <c r="AA15" i="6"/>
  <c r="Y15" i="3"/>
  <c r="Y17" i="3" s="1"/>
  <c r="P16" i="3"/>
  <c r="AA25" i="6"/>
  <c r="Y25" i="3"/>
  <c r="AC25" i="3" s="1"/>
  <c r="K7" i="6"/>
  <c r="W7" i="6"/>
  <c r="Z7" i="6" s="1"/>
  <c r="AC10" i="6"/>
  <c r="AB8" i="11"/>
  <c r="AK8" i="11"/>
  <c r="AC14" i="3"/>
  <c r="A5" i="10"/>
  <c r="A6" i="5"/>
  <c r="B5" i="2"/>
  <c r="C59" i="12"/>
  <c r="A7" i="10"/>
  <c r="B18" i="7"/>
  <c r="C7" i="8"/>
  <c r="E32" i="9"/>
  <c r="J32" i="8"/>
  <c r="AC16" i="3"/>
  <c r="E7" i="10"/>
  <c r="M7" i="10" s="1"/>
  <c r="V7" i="10" s="1"/>
  <c r="Y7" i="10" s="1"/>
  <c r="E7" i="7"/>
  <c r="M7" i="7" s="1"/>
  <c r="W7" i="7" s="1"/>
  <c r="Z7" i="7" s="1"/>
  <c r="P7" i="3"/>
  <c r="H7" i="8"/>
  <c r="A8" i="5"/>
  <c r="A5" i="5"/>
  <c r="E7" i="6"/>
  <c r="M7" i="6" s="1"/>
  <c r="X7" i="6" s="1"/>
  <c r="AA7" i="6" s="1"/>
  <c r="AG13" i="11"/>
  <c r="AG11" i="11"/>
  <c r="X11" i="11"/>
  <c r="X21" i="11"/>
  <c r="AG21" i="11"/>
  <c r="X22" i="11"/>
  <c r="AG22" i="11"/>
  <c r="Y17" i="7"/>
  <c r="AB13" i="7"/>
  <c r="W17" i="3"/>
  <c r="W19" i="3" s="1"/>
  <c r="AC23" i="3"/>
  <c r="P7" i="6"/>
  <c r="Y19" i="6"/>
  <c r="AA10" i="11"/>
  <c r="AE10" i="11" s="1"/>
  <c r="AE13" i="6"/>
  <c r="Z17" i="7"/>
  <c r="AD13" i="7"/>
  <c r="T6" i="3"/>
  <c r="B6" i="11"/>
  <c r="T6" i="4"/>
  <c r="B6" i="10"/>
  <c r="T6" i="10" s="1"/>
  <c r="A7" i="5"/>
  <c r="U21" i="8"/>
  <c r="U19" i="9"/>
  <c r="AC15" i="3"/>
  <c r="L7" i="4"/>
  <c r="C7" i="10"/>
  <c r="C7" i="7"/>
  <c r="V7" i="7" s="1"/>
  <c r="Y7" i="7" s="1"/>
  <c r="U7" i="4"/>
  <c r="X7" i="4" s="1"/>
  <c r="C7" i="5"/>
  <c r="K7" i="5" s="1"/>
  <c r="AE17" i="6"/>
  <c r="Y30" i="6"/>
  <c r="E7" i="5"/>
  <c r="M7" i="5" s="1"/>
  <c r="X8" i="11"/>
  <c r="AG8" i="11"/>
  <c r="AE10" i="6"/>
  <c r="B6" i="7"/>
  <c r="U6" i="7" s="1"/>
  <c r="AA14" i="8"/>
  <c r="X14" i="9"/>
  <c r="X13" i="11" s="1"/>
  <c r="M7" i="3"/>
  <c r="V7" i="3" s="1"/>
  <c r="Y7" i="3" s="1"/>
  <c r="E7" i="8"/>
  <c r="W7" i="4"/>
  <c r="AB7" i="4" s="1"/>
  <c r="H7" i="10"/>
  <c r="H7" i="7"/>
  <c r="H7" i="5"/>
  <c r="P7" i="5" s="1"/>
  <c r="P7" i="4"/>
  <c r="B6" i="6"/>
  <c r="V6" i="6" s="1"/>
  <c r="AA19" i="11"/>
  <c r="B6" i="8"/>
  <c r="X15" i="9"/>
  <c r="AA15" i="9" s="1"/>
  <c r="AA14" i="11" s="1"/>
  <c r="AE14" i="11" s="1"/>
  <c r="AA15" i="8"/>
  <c r="Z15" i="8"/>
  <c r="J24" i="9"/>
  <c r="AC11" i="3"/>
  <c r="AB30" i="3"/>
  <c r="AE14" i="6"/>
  <c r="AA11" i="11"/>
  <c r="AE16" i="6"/>
  <c r="N10" i="8"/>
  <c r="F11" i="8"/>
  <c r="O28" i="8"/>
  <c r="F42" i="8"/>
  <c r="V10" i="9"/>
  <c r="V21" i="9" s="1"/>
  <c r="V30" i="9" s="1"/>
  <c r="H11" i="9"/>
  <c r="V11" i="9"/>
  <c r="V19" i="9" s="1"/>
  <c r="E12" i="9"/>
  <c r="U12" i="9"/>
  <c r="K13" i="9"/>
  <c r="O13" i="9" s="1"/>
  <c r="V13" i="9"/>
  <c r="M15" i="9"/>
  <c r="N15" i="9" s="1"/>
  <c r="X16" i="9"/>
  <c r="AA16" i="9" s="1"/>
  <c r="H17" i="9"/>
  <c r="U18" i="9"/>
  <c r="K20" i="9"/>
  <c r="M21" i="9"/>
  <c r="R21" i="9" s="1"/>
  <c r="K22" i="9"/>
  <c r="O22" i="9" s="1"/>
  <c r="U24" i="9"/>
  <c r="E26" i="9"/>
  <c r="E27" i="9"/>
  <c r="Y28" i="9"/>
  <c r="Z28" i="9" s="1"/>
  <c r="E30" i="9"/>
  <c r="E31" i="9"/>
  <c r="P32" i="9"/>
  <c r="K36" i="9"/>
  <c r="K38" i="9"/>
  <c r="O38" i="9" s="1"/>
  <c r="M39" i="9"/>
  <c r="K41" i="9"/>
  <c r="O41" i="9" s="1"/>
  <c r="E45" i="9"/>
  <c r="H46" i="9"/>
  <c r="AE11" i="6"/>
  <c r="AG19" i="11"/>
  <c r="X19" i="11"/>
  <c r="C32" i="9"/>
  <c r="G32" i="9" s="1"/>
  <c r="F45" i="8"/>
  <c r="H10" i="9"/>
  <c r="W10" i="9"/>
  <c r="W11" i="9"/>
  <c r="H12" i="9"/>
  <c r="C13" i="9"/>
  <c r="G13" i="9" s="1"/>
  <c r="W13" i="9"/>
  <c r="E14" i="9"/>
  <c r="P14" i="9"/>
  <c r="Q14" i="9" s="1"/>
  <c r="C15" i="9"/>
  <c r="G15" i="9" s="1"/>
  <c r="AB15" i="9"/>
  <c r="M16" i="9"/>
  <c r="R16" i="9" s="1"/>
  <c r="Y16" i="9"/>
  <c r="Z16" i="9" s="1"/>
  <c r="K17" i="9"/>
  <c r="O17" i="9" s="1"/>
  <c r="W17" i="9"/>
  <c r="H18" i="9"/>
  <c r="C19" i="9"/>
  <c r="E25" i="9"/>
  <c r="H26" i="9"/>
  <c r="H30" i="9"/>
  <c r="I30" i="9" s="1"/>
  <c r="H31" i="9"/>
  <c r="E33" i="9"/>
  <c r="E37" i="9"/>
  <c r="M38" i="9"/>
  <c r="K46" i="9"/>
  <c r="O46" i="9" s="1"/>
  <c r="AG14" i="11"/>
  <c r="AE28" i="6"/>
  <c r="AA22" i="11"/>
  <c r="AE22" i="11" s="1"/>
  <c r="N45" i="8"/>
  <c r="M20" i="9"/>
  <c r="N46" i="9" s="1"/>
  <c r="J28" i="8"/>
  <c r="E28" i="9"/>
  <c r="C34" i="8"/>
  <c r="K10" i="9"/>
  <c r="O10" i="9" s="1"/>
  <c r="X10" i="9"/>
  <c r="K11" i="9"/>
  <c r="O11" i="9" s="1"/>
  <c r="X11" i="9"/>
  <c r="AA11" i="9" s="1"/>
  <c r="M13" i="9"/>
  <c r="X13" i="9"/>
  <c r="AA13" i="9" s="1"/>
  <c r="U14" i="9"/>
  <c r="P15" i="9"/>
  <c r="R15" i="9" s="1"/>
  <c r="C16" i="9"/>
  <c r="G16" i="9" s="1"/>
  <c r="Y17" i="9"/>
  <c r="K18" i="9"/>
  <c r="O18" i="9" s="1"/>
  <c r="P22" i="9"/>
  <c r="M25" i="9"/>
  <c r="K26" i="9"/>
  <c r="O26" i="9" s="1"/>
  <c r="AB28" i="9"/>
  <c r="AC28" i="9" s="1"/>
  <c r="M31" i="9"/>
  <c r="R31" i="9" s="1"/>
  <c r="P33" i="9"/>
  <c r="P34" i="9"/>
  <c r="Q34" i="9" s="1"/>
  <c r="H37" i="9"/>
  <c r="K43" i="9"/>
  <c r="O43" i="9" s="1"/>
  <c r="AI2" i="9"/>
  <c r="K31" i="9"/>
  <c r="O31" i="9" s="1"/>
  <c r="K28" i="9"/>
  <c r="O28" i="9" s="1"/>
  <c r="AB27" i="9"/>
  <c r="M26" i="9"/>
  <c r="C26" i="9"/>
  <c r="G26" i="9" s="1"/>
  <c r="U23" i="9"/>
  <c r="M22" i="9"/>
  <c r="AB21" i="9"/>
  <c r="E19" i="9"/>
  <c r="E46" i="9"/>
  <c r="F46" i="9" s="1"/>
  <c r="E44" i="9"/>
  <c r="M35" i="9"/>
  <c r="K34" i="9"/>
  <c r="O34" i="9" s="1"/>
  <c r="M33" i="9"/>
  <c r="C31" i="9"/>
  <c r="G31" i="9" s="1"/>
  <c r="K30" i="9"/>
  <c r="O30" i="9" s="1"/>
  <c r="M29" i="9"/>
  <c r="U26" i="9"/>
  <c r="W25" i="9"/>
  <c r="C24" i="9"/>
  <c r="G24" i="9" s="1"/>
  <c r="E23" i="9"/>
  <c r="U20" i="9"/>
  <c r="W19" i="9"/>
  <c r="K19" i="9"/>
  <c r="M17" i="9"/>
  <c r="R17" i="9" s="1"/>
  <c r="C17" i="9"/>
  <c r="G17" i="9" s="1"/>
  <c r="AB14" i="9"/>
  <c r="AC14" i="9" s="1"/>
  <c r="M40" i="9"/>
  <c r="E38" i="9"/>
  <c r="M27" i="9"/>
  <c r="N27" i="9" s="1"/>
  <c r="U25" i="9"/>
  <c r="U22" i="9"/>
  <c r="E22" i="9"/>
  <c r="Y10" i="9"/>
  <c r="Y11" i="9"/>
  <c r="Z11" i="9" s="1"/>
  <c r="K12" i="9"/>
  <c r="O12" i="9" s="1"/>
  <c r="E13" i="9"/>
  <c r="Y13" i="9"/>
  <c r="Z13" i="9" s="1"/>
  <c r="H14" i="9"/>
  <c r="V14" i="9"/>
  <c r="E15" i="9"/>
  <c r="P16" i="9"/>
  <c r="AB16" i="9"/>
  <c r="AC16" i="9" s="1"/>
  <c r="W21" i="9"/>
  <c r="W30" i="9" s="1"/>
  <c r="P25" i="9"/>
  <c r="U27" i="9"/>
  <c r="H28" i="9"/>
  <c r="E29" i="9"/>
  <c r="M30" i="9"/>
  <c r="C34" i="9"/>
  <c r="G34" i="9" s="1"/>
  <c r="E35" i="9"/>
  <c r="M37" i="9"/>
  <c r="C39" i="9"/>
  <c r="G39" i="9" s="1"/>
  <c r="E40" i="9"/>
  <c r="E42" i="9"/>
  <c r="J42" i="9" s="1"/>
  <c r="M45" i="9"/>
  <c r="N45" i="9" s="1"/>
  <c r="AH9" i="9"/>
  <c r="P47" i="9"/>
  <c r="H43" i="9"/>
  <c r="H41" i="9"/>
  <c r="P39" i="9"/>
  <c r="P37" i="9"/>
  <c r="H27" i="9"/>
  <c r="H25" i="9"/>
  <c r="H21" i="9"/>
  <c r="P19" i="9"/>
  <c r="H45" i="9"/>
  <c r="P40" i="9"/>
  <c r="P38" i="9"/>
  <c r="Q38" i="9" s="1"/>
  <c r="P36" i="9"/>
  <c r="P27" i="9"/>
  <c r="P24" i="9"/>
  <c r="H22" i="9"/>
  <c r="P21" i="9"/>
  <c r="P46" i="9"/>
  <c r="P43" i="9"/>
  <c r="P42" i="9"/>
  <c r="Q42" i="9" s="1"/>
  <c r="P41" i="9"/>
  <c r="H35" i="9"/>
  <c r="H34" i="9"/>
  <c r="H33" i="9"/>
  <c r="H29" i="9"/>
  <c r="P26" i="9"/>
  <c r="P20" i="9"/>
  <c r="H19" i="9"/>
  <c r="I19" i="9" s="1"/>
  <c r="M10" i="9"/>
  <c r="N10" i="9" s="1"/>
  <c r="AB10" i="9"/>
  <c r="M11" i="9"/>
  <c r="N11" i="9" s="1"/>
  <c r="AB11" i="9"/>
  <c r="AC11" i="9" s="1"/>
  <c r="P13" i="9"/>
  <c r="W14" i="9"/>
  <c r="U15" i="9"/>
  <c r="E16" i="9"/>
  <c r="P17" i="9"/>
  <c r="AB17" i="9"/>
  <c r="M18" i="9"/>
  <c r="R18" i="9" s="1"/>
  <c r="AB19" i="9"/>
  <c r="H23" i="9"/>
  <c r="H24" i="9"/>
  <c r="X25" i="9"/>
  <c r="AA25" i="9" s="1"/>
  <c r="X27" i="9"/>
  <c r="AA27" i="9" s="1"/>
  <c r="P29" i="9"/>
  <c r="P30" i="9"/>
  <c r="P35" i="9"/>
  <c r="C38" i="9"/>
  <c r="G38" i="9" s="1"/>
  <c r="H40" i="9"/>
  <c r="H42" i="9"/>
  <c r="H44" i="9"/>
  <c r="P45" i="9"/>
  <c r="D26" i="8"/>
  <c r="C20" i="9"/>
  <c r="G20" i="9" s="1"/>
  <c r="F30" i="8"/>
  <c r="M34" i="8"/>
  <c r="C10" i="9"/>
  <c r="G10" i="9" s="1"/>
  <c r="C11" i="9"/>
  <c r="G11" i="9" s="1"/>
  <c r="P11" i="9"/>
  <c r="M12" i="9"/>
  <c r="H13" i="9"/>
  <c r="AB13" i="9"/>
  <c r="AC13" i="9" s="1"/>
  <c r="K14" i="9"/>
  <c r="O14" i="9" s="1"/>
  <c r="H15" i="9"/>
  <c r="J15" i="9" s="1"/>
  <c r="V15" i="9"/>
  <c r="U16" i="9"/>
  <c r="E17" i="9"/>
  <c r="C18" i="9"/>
  <c r="G18" i="9" s="1"/>
  <c r="E21" i="9"/>
  <c r="C22" i="9"/>
  <c r="G22" i="9" s="1"/>
  <c r="M23" i="9"/>
  <c r="K24" i="9"/>
  <c r="O24" i="9" s="1"/>
  <c r="Y25" i="9"/>
  <c r="Z25" i="9" s="1"/>
  <c r="Y27" i="9"/>
  <c r="M28" i="9"/>
  <c r="U29" i="9"/>
  <c r="C36" i="9"/>
  <c r="E39" i="9"/>
  <c r="C41" i="9"/>
  <c r="G41" i="9" s="1"/>
  <c r="K42" i="9"/>
  <c r="O42" i="9" s="1"/>
  <c r="M44" i="9"/>
  <c r="C46" i="9"/>
  <c r="G46" i="9" s="1"/>
  <c r="O32" i="8"/>
  <c r="K39" i="9"/>
  <c r="O39" i="9" s="1"/>
  <c r="P10" i="9"/>
  <c r="C12" i="9"/>
  <c r="G12" i="9" s="1"/>
  <c r="P12" i="9"/>
  <c r="Y14" i="9"/>
  <c r="W15" i="9"/>
  <c r="H16" i="9"/>
  <c r="V16" i="9"/>
  <c r="P18" i="9"/>
  <c r="M19" i="9"/>
  <c r="E20" i="9"/>
  <c r="F24" i="9" s="1"/>
  <c r="P23" i="9"/>
  <c r="AB25" i="9"/>
  <c r="AK24" i="11" s="1"/>
  <c r="P28" i="9"/>
  <c r="C30" i="9"/>
  <c r="G30" i="9" s="1"/>
  <c r="H32" i="9"/>
  <c r="J32" i="9" s="1"/>
  <c r="M42" i="9"/>
  <c r="P44" i="9"/>
  <c r="AA8" i="11"/>
  <c r="AJ8" i="11"/>
  <c r="R14" i="6"/>
  <c r="P14" i="11"/>
  <c r="AA12" i="11"/>
  <c r="AE12" i="11" s="1"/>
  <c r="F13" i="8"/>
  <c r="N28" i="8"/>
  <c r="N32" i="8"/>
  <c r="M32" i="9"/>
  <c r="F39" i="8"/>
  <c r="E10" i="9"/>
  <c r="F10" i="9" s="1"/>
  <c r="U10" i="9"/>
  <c r="E11" i="9"/>
  <c r="F11" i="9" s="1"/>
  <c r="U11" i="9"/>
  <c r="U13" i="9"/>
  <c r="C14" i="9"/>
  <c r="G14" i="9" s="1"/>
  <c r="M14" i="9"/>
  <c r="M14" i="11" s="1"/>
  <c r="K15" i="9"/>
  <c r="O15" i="9" s="1"/>
  <c r="Y15" i="9"/>
  <c r="Z15" i="9" s="1"/>
  <c r="K16" i="9"/>
  <c r="O16" i="9" s="1"/>
  <c r="W16" i="9"/>
  <c r="E18" i="9"/>
  <c r="H20" i="9"/>
  <c r="C28" i="9"/>
  <c r="G28" i="9" s="1"/>
  <c r="U28" i="9"/>
  <c r="K32" i="9"/>
  <c r="O32" i="9" s="1"/>
  <c r="H36" i="9"/>
  <c r="H38" i="9"/>
  <c r="H39" i="9"/>
  <c r="C43" i="9"/>
  <c r="Z23" i="10"/>
  <c r="Z27" i="10"/>
  <c r="G26" i="10"/>
  <c r="AC10" i="10"/>
  <c r="X10" i="10"/>
  <c r="Z10" i="10" s="1"/>
  <c r="G28" i="10"/>
  <c r="K36" i="10"/>
  <c r="N59" i="7" s="1"/>
  <c r="G30" i="10"/>
  <c r="AI7" i="9"/>
  <c r="AI8" i="9" s="1"/>
  <c r="J20" i="9"/>
  <c r="R20" i="9"/>
  <c r="L31" i="9"/>
  <c r="L32" i="9"/>
  <c r="L36" i="9"/>
  <c r="L41" i="9"/>
  <c r="L42" i="9"/>
  <c r="I10" i="9"/>
  <c r="Q10" i="9"/>
  <c r="I26" i="9"/>
  <c r="Q26" i="9"/>
  <c r="I28" i="9"/>
  <c r="Q28" i="9"/>
  <c r="I34" i="9"/>
  <c r="I38" i="9"/>
  <c r="I39" i="9"/>
  <c r="Q39" i="9"/>
  <c r="I45" i="9"/>
  <c r="I46" i="9"/>
  <c r="Q46" i="9"/>
  <c r="J10" i="9"/>
  <c r="R10" i="9"/>
  <c r="Q21" i="9"/>
  <c r="AC25" i="9"/>
  <c r="I27" i="9"/>
  <c r="Q27" i="9"/>
  <c r="F31" i="9"/>
  <c r="N31" i="9"/>
  <c r="F32" i="9"/>
  <c r="N32" i="9"/>
  <c r="F42" i="9"/>
  <c r="J45" i="9"/>
  <c r="J46" i="9"/>
  <c r="R46" i="9"/>
  <c r="J11" i="9"/>
  <c r="R11" i="9"/>
  <c r="I12" i="9"/>
  <c r="Q12" i="9"/>
  <c r="I22" i="9"/>
  <c r="Q22" i="9"/>
  <c r="J27" i="9"/>
  <c r="R27" i="9"/>
  <c r="I24" i="9"/>
  <c r="Q24" i="9"/>
  <c r="Q30" i="9"/>
  <c r="I31" i="9"/>
  <c r="Q31" i="9"/>
  <c r="I32" i="9"/>
  <c r="Q32" i="9"/>
  <c r="Q36" i="9"/>
  <c r="I41" i="9"/>
  <c r="Q41" i="9"/>
  <c r="I42" i="9"/>
  <c r="I43" i="9"/>
  <c r="Q43" i="9"/>
  <c r="J24" i="8"/>
  <c r="F24" i="8"/>
  <c r="Y21" i="8"/>
  <c r="AC19" i="8"/>
  <c r="D14" i="8"/>
  <c r="F15" i="8"/>
  <c r="X17" i="8"/>
  <c r="D19" i="8"/>
  <c r="F22" i="8"/>
  <c r="F26" i="8"/>
  <c r="D28" i="8"/>
  <c r="D30" i="8"/>
  <c r="D36" i="8"/>
  <c r="D39" i="8"/>
  <c r="D42" i="8"/>
  <c r="D45" i="8"/>
  <c r="U7" i="8"/>
  <c r="X7" i="8" s="1"/>
  <c r="Z11" i="8"/>
  <c r="D20" i="8"/>
  <c r="F27" i="8"/>
  <c r="F28" i="8"/>
  <c r="F31" i="8"/>
  <c r="D34" i="8"/>
  <c r="L41" i="8"/>
  <c r="L43" i="8"/>
  <c r="AA11" i="8"/>
  <c r="Z14" i="8"/>
  <c r="N20" i="8"/>
  <c r="L32" i="8"/>
  <c r="E34" i="8"/>
  <c r="E34" i="9" s="1"/>
  <c r="N34" i="8"/>
  <c r="L38" i="8"/>
  <c r="D41" i="8"/>
  <c r="D43" i="8"/>
  <c r="F46" i="8"/>
  <c r="Z13" i="8"/>
  <c r="D17" i="8"/>
  <c r="AC17" i="8"/>
  <c r="F20" i="8"/>
  <c r="O20" i="8"/>
  <c r="K24" i="8"/>
  <c r="K27" i="9" s="1"/>
  <c r="O27" i="9" s="1"/>
  <c r="Z25" i="8"/>
  <c r="L26" i="8"/>
  <c r="Z27" i="8"/>
  <c r="D32" i="8"/>
  <c r="N38" i="8"/>
  <c r="N15" i="8"/>
  <c r="D16" i="8"/>
  <c r="L17" i="8"/>
  <c r="D18" i="8"/>
  <c r="G20" i="8"/>
  <c r="L22" i="8"/>
  <c r="C24" i="8"/>
  <c r="C27" i="9" s="1"/>
  <c r="G27" i="9" s="1"/>
  <c r="L24" i="8"/>
  <c r="N26" i="8"/>
  <c r="L30" i="8"/>
  <c r="D38" i="8"/>
  <c r="L39" i="8"/>
  <c r="L42" i="8"/>
  <c r="N46" i="8"/>
  <c r="D27" i="8"/>
  <c r="D31" i="8"/>
  <c r="D12" i="8"/>
  <c r="N14" i="8"/>
  <c r="L18" i="8"/>
  <c r="R20" i="8"/>
  <c r="N22" i="8"/>
  <c r="D24" i="8"/>
  <c r="M24" i="8"/>
  <c r="M24" i="9" s="1"/>
  <c r="L27" i="8"/>
  <c r="N30" i="8"/>
  <c r="L31" i="8"/>
  <c r="F32" i="8"/>
  <c r="F38" i="8"/>
  <c r="N39" i="8"/>
  <c r="N42" i="8"/>
  <c r="L45" i="8"/>
  <c r="D11" i="8"/>
  <c r="D15" i="8"/>
  <c r="J20" i="8"/>
  <c r="D22" i="8"/>
  <c r="N27" i="8"/>
  <c r="L28" i="8"/>
  <c r="N31" i="8"/>
  <c r="O39" i="7"/>
  <c r="G10" i="7"/>
  <c r="C20" i="7"/>
  <c r="D10" i="7" s="1"/>
  <c r="M28" i="7"/>
  <c r="G46" i="7"/>
  <c r="O13" i="7"/>
  <c r="O15" i="7"/>
  <c r="C28" i="7"/>
  <c r="G26" i="7"/>
  <c r="K28" i="7"/>
  <c r="O26" i="7"/>
  <c r="G27" i="7"/>
  <c r="O27" i="7"/>
  <c r="C32" i="7"/>
  <c r="G30" i="7"/>
  <c r="K32" i="7"/>
  <c r="O30" i="7"/>
  <c r="O10" i="7"/>
  <c r="K20" i="7"/>
  <c r="L30" i="7" s="1"/>
  <c r="L10" i="7"/>
  <c r="R15" i="7"/>
  <c r="J31" i="7"/>
  <c r="R31" i="7"/>
  <c r="J38" i="7"/>
  <c r="R38" i="7"/>
  <c r="G39" i="7"/>
  <c r="G13" i="7"/>
  <c r="E20" i="7"/>
  <c r="F31" i="7" s="1"/>
  <c r="M20" i="7"/>
  <c r="N13" i="7" s="1"/>
  <c r="N10" i="7"/>
  <c r="J42" i="7"/>
  <c r="R42" i="7"/>
  <c r="N46" i="7"/>
  <c r="G12" i="7"/>
  <c r="D12" i="7"/>
  <c r="R11" i="7"/>
  <c r="G22" i="7"/>
  <c r="M32" i="7"/>
  <c r="G11" i="7"/>
  <c r="O11" i="7"/>
  <c r="R13" i="7"/>
  <c r="J26" i="7"/>
  <c r="H28" i="7"/>
  <c r="R26" i="7"/>
  <c r="P28" i="7"/>
  <c r="J27" i="7"/>
  <c r="R27" i="7"/>
  <c r="J30" i="7"/>
  <c r="H32" i="7"/>
  <c r="R30" i="7"/>
  <c r="P32" i="7"/>
  <c r="O12" i="7"/>
  <c r="L12" i="7"/>
  <c r="J11" i="7"/>
  <c r="E28" i="7"/>
  <c r="J12" i="7"/>
  <c r="R12" i="7"/>
  <c r="J13" i="7"/>
  <c r="J15" i="7"/>
  <c r="D31" i="7"/>
  <c r="G31" i="7"/>
  <c r="O31" i="7"/>
  <c r="D38" i="7"/>
  <c r="G38" i="7"/>
  <c r="L38" i="7"/>
  <c r="O38" i="7"/>
  <c r="J39" i="7"/>
  <c r="R39" i="7"/>
  <c r="F42" i="7"/>
  <c r="G15" i="7"/>
  <c r="D15" i="7"/>
  <c r="O22" i="7"/>
  <c r="L22" i="7"/>
  <c r="E32" i="7"/>
  <c r="O46" i="7"/>
  <c r="L46" i="7"/>
  <c r="J10" i="7"/>
  <c r="H20" i="7"/>
  <c r="I38" i="7" s="1"/>
  <c r="P20" i="7"/>
  <c r="R10" i="7"/>
  <c r="N11" i="7"/>
  <c r="J22" i="7"/>
  <c r="I22" i="7"/>
  <c r="R22" i="7"/>
  <c r="G42" i="7"/>
  <c r="O42" i="7"/>
  <c r="L42" i="7"/>
  <c r="J46" i="7"/>
  <c r="R46" i="7"/>
  <c r="Z19" i="7"/>
  <c r="AD17" i="7"/>
  <c r="V38" i="7"/>
  <c r="AB30" i="7"/>
  <c r="K7" i="7"/>
  <c r="T22" i="6"/>
  <c r="G12" i="6"/>
  <c r="O12" i="6"/>
  <c r="AD19" i="6"/>
  <c r="G26" i="6"/>
  <c r="O26" i="6"/>
  <c r="E33" i="6"/>
  <c r="M33" i="6"/>
  <c r="O17" i="6"/>
  <c r="O27" i="6"/>
  <c r="E28" i="6"/>
  <c r="M28" i="6"/>
  <c r="J30" i="6"/>
  <c r="R30" i="6"/>
  <c r="AD30" i="6"/>
  <c r="I27" i="6"/>
  <c r="AB10" i="6"/>
  <c r="I18" i="6"/>
  <c r="J13" i="5"/>
  <c r="H20" i="5"/>
  <c r="I22" i="5" s="1"/>
  <c r="O42" i="5"/>
  <c r="I20" i="5"/>
  <c r="E28" i="5"/>
  <c r="K20" i="5"/>
  <c r="L22" i="5" s="1"/>
  <c r="E32" i="5"/>
  <c r="C20" i="5"/>
  <c r="G10" i="5"/>
  <c r="G22" i="5"/>
  <c r="O22" i="5"/>
  <c r="L32" i="5"/>
  <c r="O18" i="4"/>
  <c r="R11" i="4"/>
  <c r="R15" i="4"/>
  <c r="G17" i="4"/>
  <c r="P28" i="4"/>
  <c r="R26" i="4"/>
  <c r="O42" i="4"/>
  <c r="J27" i="4"/>
  <c r="G31" i="4"/>
  <c r="G38" i="4"/>
  <c r="AC23" i="4"/>
  <c r="R27" i="4"/>
  <c r="O31" i="4"/>
  <c r="O38" i="4"/>
  <c r="L38" i="4"/>
  <c r="O17" i="4"/>
  <c r="J12" i="4"/>
  <c r="AC14" i="4"/>
  <c r="G39" i="4"/>
  <c r="H28" i="4"/>
  <c r="J26" i="4"/>
  <c r="G19" i="4"/>
  <c r="D19" i="4"/>
  <c r="O39" i="4"/>
  <c r="G42" i="4"/>
  <c r="C20" i="4"/>
  <c r="D38" i="4" s="1"/>
  <c r="G10" i="4"/>
  <c r="D10" i="4"/>
  <c r="R12" i="4"/>
  <c r="G18" i="4"/>
  <c r="G46" i="4"/>
  <c r="D46" i="4"/>
  <c r="K20" i="4"/>
  <c r="L42" i="4" s="1"/>
  <c r="O10" i="4"/>
  <c r="J11" i="4"/>
  <c r="Y17" i="4"/>
  <c r="AA17" i="6" s="1"/>
  <c r="AC13" i="4"/>
  <c r="J15" i="4"/>
  <c r="O46" i="4"/>
  <c r="L46" i="4"/>
  <c r="G30" i="4"/>
  <c r="D30" i="4"/>
  <c r="C32" i="4"/>
  <c r="E20" i="4"/>
  <c r="F10" i="4" s="1"/>
  <c r="R14" i="4"/>
  <c r="O16" i="4"/>
  <c r="L16" i="4"/>
  <c r="J22" i="4"/>
  <c r="I20" i="4"/>
  <c r="R22" i="4"/>
  <c r="F38" i="4"/>
  <c r="F39" i="4"/>
  <c r="O30" i="4"/>
  <c r="L30" i="4"/>
  <c r="K32" i="4"/>
  <c r="O12" i="4"/>
  <c r="L12" i="4"/>
  <c r="J13" i="4"/>
  <c r="R13" i="4"/>
  <c r="G16" i="4"/>
  <c r="G26" i="4"/>
  <c r="D26" i="4"/>
  <c r="C28" i="4"/>
  <c r="O26" i="4"/>
  <c r="L26" i="4"/>
  <c r="K28" i="4"/>
  <c r="G27" i="4"/>
  <c r="D27" i="4"/>
  <c r="O27" i="4"/>
  <c r="L27" i="4"/>
  <c r="E32" i="4"/>
  <c r="F32" i="4" s="1"/>
  <c r="M32" i="4"/>
  <c r="M20" i="4"/>
  <c r="N17" i="4" s="1"/>
  <c r="J14" i="4"/>
  <c r="G12" i="4"/>
  <c r="D12" i="4"/>
  <c r="D11" i="4"/>
  <c r="G11" i="4"/>
  <c r="L11" i="4"/>
  <c r="O11" i="4"/>
  <c r="D15" i="4"/>
  <c r="G15" i="4"/>
  <c r="L15" i="4"/>
  <c r="O15" i="4"/>
  <c r="AA28" i="4"/>
  <c r="R10" i="4"/>
  <c r="P20" i="4"/>
  <c r="Q26" i="4" s="1"/>
  <c r="D14" i="4"/>
  <c r="G14" i="4"/>
  <c r="R18" i="4"/>
  <c r="L22" i="4"/>
  <c r="O22" i="4"/>
  <c r="N26" i="4"/>
  <c r="M28" i="4"/>
  <c r="Z28" i="4"/>
  <c r="AC28" i="4"/>
  <c r="J31" i="4"/>
  <c r="R31" i="4"/>
  <c r="J38" i="4"/>
  <c r="R38" i="4"/>
  <c r="J39" i="4"/>
  <c r="R39" i="4"/>
  <c r="J42" i="4"/>
  <c r="R42" i="4"/>
  <c r="J46" i="4"/>
  <c r="I46" i="4"/>
  <c r="R46" i="4"/>
  <c r="J10" i="4"/>
  <c r="H20" i="4"/>
  <c r="I26" i="4" s="1"/>
  <c r="AC16" i="4"/>
  <c r="F11" i="4"/>
  <c r="N11" i="4"/>
  <c r="D13" i="4"/>
  <c r="G13" i="4"/>
  <c r="L13" i="4"/>
  <c r="O13" i="4"/>
  <c r="F15" i="4"/>
  <c r="N15" i="4"/>
  <c r="J17" i="4"/>
  <c r="Q17" i="4"/>
  <c r="R17" i="4"/>
  <c r="X27" i="4"/>
  <c r="AC27" i="4"/>
  <c r="H32" i="4"/>
  <c r="J30" i="4"/>
  <c r="P32" i="4"/>
  <c r="R30" i="4"/>
  <c r="L14" i="4"/>
  <c r="O14" i="4"/>
  <c r="J18" i="4"/>
  <c r="J19" i="4"/>
  <c r="D22" i="4"/>
  <c r="G22" i="4"/>
  <c r="F26" i="4"/>
  <c r="E28" i="4"/>
  <c r="F27" i="4"/>
  <c r="AC11" i="4"/>
  <c r="Y19" i="4"/>
  <c r="V17" i="4"/>
  <c r="F14" i="4"/>
  <c r="N14" i="4"/>
  <c r="AC15" i="4"/>
  <c r="J16" i="4"/>
  <c r="R16" i="4"/>
  <c r="O19" i="4"/>
  <c r="L19" i="4"/>
  <c r="F22" i="4"/>
  <c r="N22" i="4"/>
  <c r="AC25" i="4"/>
  <c r="M28" i="3"/>
  <c r="G12" i="3"/>
  <c r="O12" i="3"/>
  <c r="L12" i="3"/>
  <c r="J14" i="3"/>
  <c r="J15" i="3"/>
  <c r="R15" i="3"/>
  <c r="Q15" i="3"/>
  <c r="G19" i="3"/>
  <c r="O19" i="3"/>
  <c r="J22" i="3"/>
  <c r="I20" i="3"/>
  <c r="R22" i="3"/>
  <c r="G31" i="3"/>
  <c r="O31" i="3"/>
  <c r="G38" i="3"/>
  <c r="O38" i="3"/>
  <c r="G39" i="3"/>
  <c r="O39" i="3"/>
  <c r="G42" i="3"/>
  <c r="O42" i="3"/>
  <c r="G46" i="3"/>
  <c r="O46" i="3"/>
  <c r="E28" i="3"/>
  <c r="H20" i="3"/>
  <c r="H20" i="6" s="1"/>
  <c r="I16" i="6" s="1"/>
  <c r="J10" i="3"/>
  <c r="P20" i="3"/>
  <c r="Q22" i="3" s="1"/>
  <c r="Q10" i="3"/>
  <c r="R10" i="3"/>
  <c r="G13" i="3"/>
  <c r="D13" i="3"/>
  <c r="O13" i="3"/>
  <c r="E32" i="3"/>
  <c r="M32" i="3"/>
  <c r="O18" i="3"/>
  <c r="R27" i="3"/>
  <c r="Q27" i="3"/>
  <c r="J11" i="3"/>
  <c r="R11" i="3"/>
  <c r="Q11" i="3"/>
  <c r="D14" i="3"/>
  <c r="G14" i="3"/>
  <c r="O14" i="3"/>
  <c r="G15" i="3"/>
  <c r="O15" i="3"/>
  <c r="D22" i="3"/>
  <c r="G22" i="3"/>
  <c r="O22" i="3"/>
  <c r="G18" i="3"/>
  <c r="R26" i="3"/>
  <c r="P28" i="3"/>
  <c r="Q26" i="3"/>
  <c r="C20" i="3"/>
  <c r="D26" i="3" s="1"/>
  <c r="G10" i="3"/>
  <c r="K20" i="3"/>
  <c r="L31" i="3" s="1"/>
  <c r="O10" i="3"/>
  <c r="J18" i="3"/>
  <c r="R18" i="3"/>
  <c r="Q18" i="3"/>
  <c r="J30" i="3"/>
  <c r="H32" i="3"/>
  <c r="I30" i="3"/>
  <c r="R30" i="3"/>
  <c r="P32" i="3"/>
  <c r="Q30" i="3"/>
  <c r="R17" i="3"/>
  <c r="Q17" i="3"/>
  <c r="J27" i="3"/>
  <c r="I27" i="3"/>
  <c r="Q12" i="3"/>
  <c r="R12" i="3"/>
  <c r="G16" i="3"/>
  <c r="O17" i="3"/>
  <c r="Q19" i="3"/>
  <c r="R19" i="3"/>
  <c r="C28" i="3"/>
  <c r="G26" i="3"/>
  <c r="K28" i="3"/>
  <c r="L26" i="3"/>
  <c r="O26" i="3"/>
  <c r="D27" i="3"/>
  <c r="G27" i="3"/>
  <c r="L27" i="3"/>
  <c r="O27" i="3"/>
  <c r="J31" i="3"/>
  <c r="I31" i="3"/>
  <c r="R31" i="3"/>
  <c r="Q31" i="3"/>
  <c r="J38" i="3"/>
  <c r="I38" i="3"/>
  <c r="R38" i="3"/>
  <c r="Q38" i="3"/>
  <c r="J39" i="3"/>
  <c r="I39" i="3"/>
  <c r="R39" i="3"/>
  <c r="Q39" i="3"/>
  <c r="J42" i="3"/>
  <c r="I42" i="3"/>
  <c r="R42" i="3"/>
  <c r="Q42" i="3"/>
  <c r="J46" i="3"/>
  <c r="I46" i="3"/>
  <c r="R46" i="3"/>
  <c r="Q46" i="3"/>
  <c r="J17" i="3"/>
  <c r="I17" i="3"/>
  <c r="J26" i="3"/>
  <c r="H28" i="3"/>
  <c r="H28" i="6" s="1"/>
  <c r="I28" i="6" s="1"/>
  <c r="I26" i="3"/>
  <c r="I12" i="3"/>
  <c r="J12" i="3"/>
  <c r="D17" i="3"/>
  <c r="G17" i="3"/>
  <c r="I19" i="3"/>
  <c r="J19" i="3"/>
  <c r="F10" i="3"/>
  <c r="E20" i="3"/>
  <c r="F26" i="3" s="1"/>
  <c r="G11" i="3"/>
  <c r="D11" i="3"/>
  <c r="O11" i="3"/>
  <c r="L11" i="3"/>
  <c r="I13" i="3"/>
  <c r="J13" i="3"/>
  <c r="R13" i="3"/>
  <c r="Q13" i="3"/>
  <c r="F27" i="3"/>
  <c r="G30" i="3"/>
  <c r="C32" i="3"/>
  <c r="D30" i="3"/>
  <c r="O30" i="3"/>
  <c r="K32" i="3"/>
  <c r="AC17" i="3"/>
  <c r="Z10" i="3"/>
  <c r="AC10" i="3"/>
  <c r="K7" i="3"/>
  <c r="AA10" i="3"/>
  <c r="W23" i="6" l="1"/>
  <c r="U23" i="3"/>
  <c r="Z25" i="6"/>
  <c r="X25" i="3"/>
  <c r="W15" i="6"/>
  <c r="W12" i="11" s="1"/>
  <c r="U15" i="3"/>
  <c r="X15" i="3"/>
  <c r="Z15" i="6"/>
  <c r="Z11" i="6"/>
  <c r="X11" i="3"/>
  <c r="W27" i="6"/>
  <c r="W21" i="11" s="1"/>
  <c r="U27" i="3"/>
  <c r="Z23" i="6"/>
  <c r="X23" i="3"/>
  <c r="Z23" i="3" s="1"/>
  <c r="W25" i="6"/>
  <c r="W20" i="11" s="1"/>
  <c r="U25" i="3"/>
  <c r="W11" i="6"/>
  <c r="U11" i="3"/>
  <c r="U16" i="3"/>
  <c r="W16" i="6"/>
  <c r="X14" i="3"/>
  <c r="Z14" i="6"/>
  <c r="W13" i="6"/>
  <c r="W10" i="11" s="1"/>
  <c r="U13" i="3"/>
  <c r="W14" i="6"/>
  <c r="W11" i="11" s="1"/>
  <c r="U14" i="3"/>
  <c r="X16" i="3"/>
  <c r="Z16" i="3" s="1"/>
  <c r="Z16" i="6"/>
  <c r="X13" i="3"/>
  <c r="Z13" i="6"/>
  <c r="R27" i="5"/>
  <c r="J27" i="5"/>
  <c r="I27" i="5"/>
  <c r="P28" i="5"/>
  <c r="R26" i="5"/>
  <c r="H28" i="5"/>
  <c r="I26" i="5"/>
  <c r="J26" i="5"/>
  <c r="P32" i="5"/>
  <c r="R30" i="5"/>
  <c r="J38" i="5"/>
  <c r="I38" i="5"/>
  <c r="R38" i="5"/>
  <c r="J31" i="5"/>
  <c r="R22" i="5"/>
  <c r="J39" i="5"/>
  <c r="R31" i="5"/>
  <c r="P20" i="5"/>
  <c r="Q13" i="5" s="1"/>
  <c r="R13" i="5"/>
  <c r="R39" i="5"/>
  <c r="J30" i="5"/>
  <c r="H32" i="5"/>
  <c r="H24" i="10"/>
  <c r="Q10" i="10"/>
  <c r="P20" i="10"/>
  <c r="Q28" i="10" s="1"/>
  <c r="R10" i="10"/>
  <c r="P24" i="10"/>
  <c r="R19" i="10"/>
  <c r="Q19" i="10"/>
  <c r="R39" i="10"/>
  <c r="J39" i="10"/>
  <c r="R38" i="10"/>
  <c r="Q38" i="10"/>
  <c r="J38" i="10"/>
  <c r="R31" i="10"/>
  <c r="P32" i="10"/>
  <c r="P31" i="11"/>
  <c r="H32" i="10"/>
  <c r="J31" i="10"/>
  <c r="O13" i="5"/>
  <c r="M20" i="5"/>
  <c r="G42" i="5"/>
  <c r="M16" i="3"/>
  <c r="G46" i="5"/>
  <c r="M28" i="5"/>
  <c r="J22" i="5"/>
  <c r="M32" i="5"/>
  <c r="O46" i="5"/>
  <c r="L46" i="5"/>
  <c r="O27" i="5"/>
  <c r="G27" i="5"/>
  <c r="O26" i="5"/>
  <c r="L26" i="5"/>
  <c r="K28" i="5"/>
  <c r="G26" i="5"/>
  <c r="C28" i="5"/>
  <c r="G13" i="5"/>
  <c r="E20" i="5"/>
  <c r="U28" i="10"/>
  <c r="U10" i="10"/>
  <c r="W8" i="11" s="1"/>
  <c r="Y8" i="11"/>
  <c r="AH8" i="11"/>
  <c r="AC16" i="10"/>
  <c r="X16" i="10"/>
  <c r="Y17" i="10"/>
  <c r="C39" i="10"/>
  <c r="G39" i="10" s="1"/>
  <c r="I39" i="10"/>
  <c r="M32" i="10"/>
  <c r="M34" i="10" s="1"/>
  <c r="E32" i="10"/>
  <c r="C31" i="10"/>
  <c r="I31" i="10"/>
  <c r="U16" i="10"/>
  <c r="U17" i="10" s="1"/>
  <c r="V17" i="10"/>
  <c r="AC11" i="10"/>
  <c r="X11" i="10"/>
  <c r="Z11" i="10" s="1"/>
  <c r="Y19" i="10"/>
  <c r="AC28" i="10"/>
  <c r="X28" i="10"/>
  <c r="AA28" i="10" s="1"/>
  <c r="E24" i="10"/>
  <c r="C19" i="10"/>
  <c r="I19" i="10"/>
  <c r="V19" i="10"/>
  <c r="V21" i="10" s="1"/>
  <c r="V30" i="10" s="1"/>
  <c r="W40" i="7" s="1"/>
  <c r="W41" i="7" s="1"/>
  <c r="W42" i="7" s="1"/>
  <c r="U11" i="10"/>
  <c r="U19" i="10" s="1"/>
  <c r="K19" i="10"/>
  <c r="K24" i="10" s="1"/>
  <c r="M24" i="10"/>
  <c r="K10" i="10"/>
  <c r="M20" i="10"/>
  <c r="E20" i="10"/>
  <c r="C10" i="10"/>
  <c r="I10" i="10"/>
  <c r="G11" i="6"/>
  <c r="C11" i="11"/>
  <c r="C20" i="6"/>
  <c r="D11" i="6" s="1"/>
  <c r="J42" i="6"/>
  <c r="H42" i="11"/>
  <c r="M39" i="11"/>
  <c r="H10" i="11"/>
  <c r="J10" i="6"/>
  <c r="R42" i="9"/>
  <c r="N42" i="9"/>
  <c r="N12" i="9"/>
  <c r="R12" i="9"/>
  <c r="Q45" i="9"/>
  <c r="R45" i="9"/>
  <c r="J16" i="9"/>
  <c r="F16" i="9"/>
  <c r="E16" i="11"/>
  <c r="J13" i="9"/>
  <c r="F13" i="9"/>
  <c r="J38" i="9"/>
  <c r="F38" i="9"/>
  <c r="Y19" i="9"/>
  <c r="AA10" i="9"/>
  <c r="AA9" i="11" s="1"/>
  <c r="Z10" i="9"/>
  <c r="X9" i="11"/>
  <c r="AG9" i="11"/>
  <c r="AB17" i="7"/>
  <c r="Y19" i="7"/>
  <c r="AE25" i="6"/>
  <c r="AK20" i="11"/>
  <c r="AB20" i="11"/>
  <c r="AB25" i="6"/>
  <c r="AB21" i="11"/>
  <c r="AK21" i="11"/>
  <c r="AE27" i="6"/>
  <c r="Z28" i="3"/>
  <c r="AC28" i="3"/>
  <c r="J11" i="6"/>
  <c r="H11" i="11"/>
  <c r="I11" i="6"/>
  <c r="G43" i="9"/>
  <c r="C64" i="7"/>
  <c r="J18" i="9"/>
  <c r="F18" i="9"/>
  <c r="G39" i="6"/>
  <c r="C39" i="11"/>
  <c r="I42" i="6"/>
  <c r="J34" i="9"/>
  <c r="F34" i="9"/>
  <c r="J15" i="6"/>
  <c r="H15" i="11"/>
  <c r="I15" i="6"/>
  <c r="T6" i="8"/>
  <c r="B6" i="9"/>
  <c r="O10" i="6"/>
  <c r="K10" i="11"/>
  <c r="K20" i="6"/>
  <c r="X7" i="7"/>
  <c r="AC7" i="7" s="1"/>
  <c r="P7" i="7"/>
  <c r="AB23" i="6"/>
  <c r="AI19" i="11" s="1"/>
  <c r="AB19" i="11"/>
  <c r="AK19" i="11"/>
  <c r="AE23" i="6"/>
  <c r="I12" i="6"/>
  <c r="H12" i="11"/>
  <c r="C27" i="11"/>
  <c r="T19" i="6"/>
  <c r="G27" i="6"/>
  <c r="K16" i="11"/>
  <c r="O16" i="6"/>
  <c r="Q26" i="7"/>
  <c r="Q46" i="7"/>
  <c r="Q22" i="7"/>
  <c r="U7" i="10"/>
  <c r="K7" i="10"/>
  <c r="X7" i="10" s="1"/>
  <c r="M46" i="11"/>
  <c r="H31" i="11"/>
  <c r="E31" i="11"/>
  <c r="L22" i="3"/>
  <c r="D19" i="3"/>
  <c r="V19" i="4"/>
  <c r="V21" i="4" s="1"/>
  <c r="V30" i="4" s="1"/>
  <c r="X17" i="6"/>
  <c r="AH14" i="11" s="1"/>
  <c r="I17" i="4"/>
  <c r="I20" i="6"/>
  <c r="N24" i="9"/>
  <c r="R24" i="9"/>
  <c r="R28" i="9"/>
  <c r="N28" i="9"/>
  <c r="J17" i="9"/>
  <c r="F17" i="9"/>
  <c r="Q20" i="9"/>
  <c r="Q18" i="9"/>
  <c r="Q11" i="9"/>
  <c r="Q17" i="9"/>
  <c r="Q13" i="9"/>
  <c r="Q16" i="9"/>
  <c r="Q15" i="9"/>
  <c r="Q19" i="9"/>
  <c r="R26" i="9"/>
  <c r="N26" i="9"/>
  <c r="AC15" i="9"/>
  <c r="AC10" i="9"/>
  <c r="O36" i="9"/>
  <c r="R58" i="7" s="1"/>
  <c r="N58" i="7"/>
  <c r="P7" i="10"/>
  <c r="W7" i="10"/>
  <c r="AB7" i="10" s="1"/>
  <c r="AG12" i="11"/>
  <c r="K31" i="11"/>
  <c r="P16" i="6"/>
  <c r="R16" i="3"/>
  <c r="AC27" i="3"/>
  <c r="AK22" i="11"/>
  <c r="AB22" i="11"/>
  <c r="AC22" i="11" s="1"/>
  <c r="AB28" i="6"/>
  <c r="Z22" i="11"/>
  <c r="AD22" i="11" s="1"/>
  <c r="AC28" i="6"/>
  <c r="W22" i="11"/>
  <c r="O30" i="6"/>
  <c r="K33" i="6"/>
  <c r="M10" i="11"/>
  <c r="E42" i="11"/>
  <c r="T29" i="6"/>
  <c r="R39" i="6"/>
  <c r="P39" i="11"/>
  <c r="K28" i="6"/>
  <c r="G10" i="6"/>
  <c r="C10" i="11"/>
  <c r="K15" i="11"/>
  <c r="O15" i="6"/>
  <c r="T32" i="6"/>
  <c r="E46" i="11"/>
  <c r="M30" i="11"/>
  <c r="J26" i="6"/>
  <c r="E26" i="11"/>
  <c r="T13" i="6"/>
  <c r="O38" i="6"/>
  <c r="J14" i="6"/>
  <c r="H14" i="11"/>
  <c r="I14" i="6"/>
  <c r="D10" i="3"/>
  <c r="I18" i="4"/>
  <c r="I30" i="4"/>
  <c r="I38" i="4"/>
  <c r="N32" i="4"/>
  <c r="AK14" i="11"/>
  <c r="AB14" i="11"/>
  <c r="I39" i="6"/>
  <c r="I17" i="6"/>
  <c r="I10" i="7"/>
  <c r="F10" i="7"/>
  <c r="I16" i="9"/>
  <c r="Z27" i="9"/>
  <c r="AK26" i="11"/>
  <c r="AC27" i="9"/>
  <c r="G34" i="8"/>
  <c r="C42" i="9"/>
  <c r="G42" i="9" s="1"/>
  <c r="R32" i="9"/>
  <c r="AE8" i="11"/>
  <c r="X12" i="11"/>
  <c r="C31" i="11"/>
  <c r="C30" i="11"/>
  <c r="G30" i="6"/>
  <c r="C33" i="6"/>
  <c r="D33" i="6" s="1"/>
  <c r="E20" i="6"/>
  <c r="E10" i="11"/>
  <c r="J39" i="6"/>
  <c r="H39" i="11"/>
  <c r="C26" i="11"/>
  <c r="C28" i="6"/>
  <c r="H27" i="11"/>
  <c r="M38" i="11"/>
  <c r="C15" i="11"/>
  <c r="G15" i="6"/>
  <c r="M42" i="11"/>
  <c r="E30" i="11"/>
  <c r="T21" i="6"/>
  <c r="R17" i="6"/>
  <c r="M17" i="11"/>
  <c r="G38" i="6"/>
  <c r="C38" i="11"/>
  <c r="K12" i="11"/>
  <c r="I42" i="4"/>
  <c r="I22" i="4"/>
  <c r="I13" i="6"/>
  <c r="AA24" i="11"/>
  <c r="R14" i="11"/>
  <c r="P19" i="11"/>
  <c r="J28" i="9"/>
  <c r="F28" i="9"/>
  <c r="C19" i="11"/>
  <c r="G19" i="9"/>
  <c r="L43" i="9"/>
  <c r="L46" i="9"/>
  <c r="L38" i="9"/>
  <c r="L39" i="9"/>
  <c r="L15" i="9"/>
  <c r="L34" i="9"/>
  <c r="L21" i="9"/>
  <c r="L24" i="9"/>
  <c r="L14" i="9"/>
  <c r="L19" i="9"/>
  <c r="L28" i="9"/>
  <c r="L12" i="9"/>
  <c r="L26" i="9"/>
  <c r="O20" i="9"/>
  <c r="L18" i="9"/>
  <c r="L11" i="9"/>
  <c r="L10" i="9"/>
  <c r="L45" i="9"/>
  <c r="L30" i="9"/>
  <c r="L27" i="9"/>
  <c r="L17" i="9"/>
  <c r="L22" i="9"/>
  <c r="L20" i="9"/>
  <c r="L13" i="9"/>
  <c r="L16" i="9"/>
  <c r="F12" i="9"/>
  <c r="J12" i="9"/>
  <c r="AI8" i="11"/>
  <c r="M7" i="8"/>
  <c r="V7" i="8" s="1"/>
  <c r="Y7" i="8" s="1"/>
  <c r="E7" i="9"/>
  <c r="M7" i="9" s="1"/>
  <c r="V7" i="9" s="1"/>
  <c r="Y7" i="9" s="1"/>
  <c r="AG15" i="11"/>
  <c r="AG10" i="11"/>
  <c r="AE15" i="6"/>
  <c r="AB12" i="11"/>
  <c r="AK12" i="11"/>
  <c r="Y19" i="11"/>
  <c r="AH19" i="11"/>
  <c r="AH21" i="11"/>
  <c r="Y21" i="11"/>
  <c r="AC13" i="6"/>
  <c r="AK10" i="11"/>
  <c r="AB10" i="11"/>
  <c r="R27" i="6"/>
  <c r="M27" i="11"/>
  <c r="M22" i="11"/>
  <c r="I26" i="6"/>
  <c r="H26" i="11"/>
  <c r="R38" i="6"/>
  <c r="P38" i="11"/>
  <c r="E22" i="11"/>
  <c r="T11" i="6"/>
  <c r="P17" i="11"/>
  <c r="P28" i="6"/>
  <c r="P26" i="11"/>
  <c r="O14" i="6"/>
  <c r="K14" i="11"/>
  <c r="T27" i="6"/>
  <c r="E39" i="11"/>
  <c r="M18" i="11"/>
  <c r="O46" i="6"/>
  <c r="C12" i="11"/>
  <c r="L30" i="3"/>
  <c r="F42" i="3"/>
  <c r="D16" i="3"/>
  <c r="I18" i="3"/>
  <c r="I16" i="4"/>
  <c r="AA27" i="4"/>
  <c r="X27" i="3"/>
  <c r="AA27" i="3" s="1"/>
  <c r="Z27" i="6"/>
  <c r="AB27" i="6" s="1"/>
  <c r="AI21" i="11" s="1"/>
  <c r="I10" i="4"/>
  <c r="Q31" i="4"/>
  <c r="Q19" i="4"/>
  <c r="L10" i="4"/>
  <c r="I46" i="6"/>
  <c r="I38" i="6"/>
  <c r="I46" i="7"/>
  <c r="N32" i="7"/>
  <c r="F46" i="7"/>
  <c r="F27" i="7"/>
  <c r="R34" i="8"/>
  <c r="M34" i="9"/>
  <c r="N30" i="9"/>
  <c r="R30" i="9"/>
  <c r="F15" i="9"/>
  <c r="F22" i="9"/>
  <c r="J22" i="9"/>
  <c r="J19" i="9"/>
  <c r="E19" i="11"/>
  <c r="F19" i="9"/>
  <c r="R38" i="9"/>
  <c r="N38" i="9"/>
  <c r="I18" i="9"/>
  <c r="J14" i="9"/>
  <c r="F14" i="9"/>
  <c r="F30" i="9"/>
  <c r="J30" i="9"/>
  <c r="Z8" i="11"/>
  <c r="U30" i="8"/>
  <c r="U21" i="9"/>
  <c r="X10" i="11"/>
  <c r="X14" i="11" s="1"/>
  <c r="V17" i="3"/>
  <c r="J27" i="6"/>
  <c r="E27" i="11"/>
  <c r="H19" i="11"/>
  <c r="J19" i="11" s="1"/>
  <c r="H17" i="11"/>
  <c r="J38" i="6"/>
  <c r="H38" i="11"/>
  <c r="K17" i="11"/>
  <c r="P33" i="6"/>
  <c r="P30" i="11"/>
  <c r="R12" i="6"/>
  <c r="M12" i="11"/>
  <c r="G14" i="6"/>
  <c r="C14" i="11"/>
  <c r="T26" i="6"/>
  <c r="E38" i="11"/>
  <c r="E18" i="11"/>
  <c r="G46" i="6"/>
  <c r="C46" i="11"/>
  <c r="M11" i="11"/>
  <c r="F15" i="3"/>
  <c r="L16" i="3"/>
  <c r="F30" i="3"/>
  <c r="I15" i="3"/>
  <c r="F17" i="3"/>
  <c r="Z27" i="4"/>
  <c r="Q39" i="4"/>
  <c r="N16" i="4"/>
  <c r="F19" i="4"/>
  <c r="J20" i="6"/>
  <c r="N30" i="7"/>
  <c r="R14" i="9"/>
  <c r="N14" i="9"/>
  <c r="K19" i="11"/>
  <c r="O19" i="9"/>
  <c r="AB30" i="9"/>
  <c r="R13" i="9"/>
  <c r="N13" i="9"/>
  <c r="N20" i="9"/>
  <c r="F45" i="9"/>
  <c r="I17" i="9"/>
  <c r="Z14" i="9"/>
  <c r="AA14" i="9"/>
  <c r="AA13" i="11" s="1"/>
  <c r="AE13" i="11" s="1"/>
  <c r="H16" i="11"/>
  <c r="M31" i="11"/>
  <c r="Y10" i="11"/>
  <c r="AH10" i="11"/>
  <c r="Y11" i="11"/>
  <c r="AH11" i="11"/>
  <c r="Y12" i="11"/>
  <c r="AH12" i="11"/>
  <c r="AB11" i="11"/>
  <c r="AK11" i="11"/>
  <c r="R13" i="6"/>
  <c r="P13" i="11"/>
  <c r="G17" i="6"/>
  <c r="C17" i="11"/>
  <c r="R46" i="6"/>
  <c r="P46" i="11"/>
  <c r="R32" i="6"/>
  <c r="C16" i="11"/>
  <c r="G16" i="11" s="1"/>
  <c r="G16" i="6"/>
  <c r="H33" i="6"/>
  <c r="H30" i="11"/>
  <c r="G18" i="6"/>
  <c r="C18" i="11"/>
  <c r="M13" i="11"/>
  <c r="P27" i="11"/>
  <c r="O13" i="6"/>
  <c r="K13" i="11"/>
  <c r="O42" i="6"/>
  <c r="R22" i="6"/>
  <c r="P22" i="11"/>
  <c r="E11" i="11"/>
  <c r="I11" i="3"/>
  <c r="I10" i="3"/>
  <c r="I22" i="3"/>
  <c r="Q46" i="4"/>
  <c r="I31" i="4"/>
  <c r="F17" i="4"/>
  <c r="I22" i="6"/>
  <c r="I32" i="6"/>
  <c r="F11" i="7"/>
  <c r="I39" i="7"/>
  <c r="D22" i="7"/>
  <c r="F39" i="7"/>
  <c r="D27" i="7"/>
  <c r="I36" i="9"/>
  <c r="F20" i="9"/>
  <c r="J39" i="9"/>
  <c r="F39" i="9"/>
  <c r="AC17" i="9"/>
  <c r="I14" i="9"/>
  <c r="N22" i="9"/>
  <c r="R22" i="9"/>
  <c r="F27" i="9"/>
  <c r="AG23" i="11"/>
  <c r="X24" i="11"/>
  <c r="W7" i="8"/>
  <c r="AB7" i="8" s="1"/>
  <c r="H7" i="9"/>
  <c r="P7" i="8"/>
  <c r="Y19" i="3"/>
  <c r="AA16" i="3"/>
  <c r="V19" i="3"/>
  <c r="V21" i="3" s="1"/>
  <c r="V30" i="3" s="1"/>
  <c r="Y22" i="11"/>
  <c r="AH22" i="11"/>
  <c r="J13" i="6"/>
  <c r="H13" i="11"/>
  <c r="M15" i="11"/>
  <c r="J46" i="6"/>
  <c r="H46" i="11"/>
  <c r="J32" i="6"/>
  <c r="E15" i="11"/>
  <c r="R18" i="6"/>
  <c r="P18" i="11"/>
  <c r="O22" i="6"/>
  <c r="K22" i="11"/>
  <c r="E13" i="11"/>
  <c r="J12" i="6"/>
  <c r="E12" i="11"/>
  <c r="G13" i="6"/>
  <c r="C13" i="11"/>
  <c r="G42" i="6"/>
  <c r="C42" i="11"/>
  <c r="J22" i="6"/>
  <c r="H22" i="11"/>
  <c r="R26" i="6"/>
  <c r="M26" i="11"/>
  <c r="L15" i="3"/>
  <c r="I10" i="6"/>
  <c r="I39" i="4"/>
  <c r="I15" i="4"/>
  <c r="I30" i="6"/>
  <c r="I26" i="7"/>
  <c r="N22" i="7"/>
  <c r="AA17" i="8"/>
  <c r="X17" i="9"/>
  <c r="AA17" i="9" s="1"/>
  <c r="I20" i="9"/>
  <c r="I15" i="9"/>
  <c r="I13" i="9"/>
  <c r="I11" i="9"/>
  <c r="M19" i="11"/>
  <c r="R19" i="9"/>
  <c r="G36" i="9"/>
  <c r="C58" i="7"/>
  <c r="J31" i="9"/>
  <c r="R39" i="9"/>
  <c r="N39" i="9"/>
  <c r="J26" i="9"/>
  <c r="F26" i="9"/>
  <c r="AE11" i="11"/>
  <c r="K7" i="8"/>
  <c r="C7" i="9"/>
  <c r="AA19" i="6"/>
  <c r="AB9" i="11"/>
  <c r="AK9" i="11"/>
  <c r="AB11" i="6"/>
  <c r="AI9" i="11" s="1"/>
  <c r="AK13" i="11"/>
  <c r="AB13" i="11"/>
  <c r="X19" i="6"/>
  <c r="Y9" i="11"/>
  <c r="AH9" i="11"/>
  <c r="Y13" i="11"/>
  <c r="AH13" i="11"/>
  <c r="AA23" i="3"/>
  <c r="O11" i="6"/>
  <c r="K11" i="11"/>
  <c r="E14" i="11"/>
  <c r="R42" i="6"/>
  <c r="P42" i="11"/>
  <c r="K27" i="11"/>
  <c r="P12" i="11"/>
  <c r="J18" i="6"/>
  <c r="H18" i="11"/>
  <c r="G22" i="6"/>
  <c r="C22" i="11"/>
  <c r="R11" i="6"/>
  <c r="P11" i="11"/>
  <c r="O18" i="6"/>
  <c r="K18" i="11"/>
  <c r="P10" i="11"/>
  <c r="P20" i="6"/>
  <c r="R10" i="6"/>
  <c r="O39" i="6"/>
  <c r="R15" i="6"/>
  <c r="P15" i="11"/>
  <c r="J17" i="6"/>
  <c r="E17" i="11"/>
  <c r="AC30" i="10"/>
  <c r="AC19" i="10"/>
  <c r="AA10" i="10"/>
  <c r="K28" i="10"/>
  <c r="O24" i="10"/>
  <c r="X19" i="10"/>
  <c r="AA19" i="10" s="1"/>
  <c r="AA11" i="10"/>
  <c r="U21" i="10"/>
  <c r="U30" i="10" s="1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R24" i="10"/>
  <c r="Q24" i="10"/>
  <c r="K41" i="10"/>
  <c r="O36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42" i="10"/>
  <c r="Q27" i="10"/>
  <c r="Q12" i="10"/>
  <c r="Y21" i="10"/>
  <c r="P34" i="10"/>
  <c r="P36" i="10" s="1"/>
  <c r="R32" i="10"/>
  <c r="Q32" i="10"/>
  <c r="K20" i="10"/>
  <c r="O10" i="10"/>
  <c r="AC17" i="10"/>
  <c r="H36" i="10"/>
  <c r="J24" i="10"/>
  <c r="I24" i="10"/>
  <c r="Q31" i="10"/>
  <c r="Z16" i="10"/>
  <c r="X17" i="10"/>
  <c r="AA17" i="10" s="1"/>
  <c r="AA16" i="10"/>
  <c r="C20" i="10"/>
  <c r="G10" i="10"/>
  <c r="G19" i="10"/>
  <c r="C24" i="10"/>
  <c r="H34" i="10"/>
  <c r="J34" i="10" s="1"/>
  <c r="J32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AC19" i="9"/>
  <c r="Z17" i="8"/>
  <c r="AC21" i="8"/>
  <c r="Y30" i="8"/>
  <c r="K36" i="8"/>
  <c r="K45" i="9" s="1"/>
  <c r="O45" i="9" s="1"/>
  <c r="O24" i="8"/>
  <c r="J34" i="8"/>
  <c r="F34" i="8"/>
  <c r="E36" i="8"/>
  <c r="E36" i="9" s="1"/>
  <c r="J36" i="9" s="1"/>
  <c r="N24" i="8"/>
  <c r="R24" i="8"/>
  <c r="M36" i="8"/>
  <c r="M36" i="9" s="1"/>
  <c r="N36" i="9" s="1"/>
  <c r="C36" i="8"/>
  <c r="C45" i="9" s="1"/>
  <c r="G45" i="9" s="1"/>
  <c r="G24" i="8"/>
  <c r="X19" i="8"/>
  <c r="X19" i="9" s="1"/>
  <c r="D42" i="7"/>
  <c r="F32" i="7"/>
  <c r="Q39" i="7"/>
  <c r="L31" i="7"/>
  <c r="I12" i="7"/>
  <c r="Q30" i="7"/>
  <c r="Q11" i="7"/>
  <c r="I42" i="7"/>
  <c r="N27" i="7"/>
  <c r="N12" i="7"/>
  <c r="N38" i="7"/>
  <c r="L26" i="7"/>
  <c r="Z21" i="7"/>
  <c r="AD19" i="7"/>
  <c r="Q10" i="7"/>
  <c r="F30" i="7"/>
  <c r="F26" i="7"/>
  <c r="L11" i="7"/>
  <c r="D13" i="7"/>
  <c r="F12" i="7"/>
  <c r="F38" i="7"/>
  <c r="D32" i="7"/>
  <c r="G32" i="7"/>
  <c r="D26" i="7"/>
  <c r="N26" i="7"/>
  <c r="P24" i="7"/>
  <c r="Q20" i="7"/>
  <c r="R20" i="7"/>
  <c r="F28" i="7"/>
  <c r="E34" i="7"/>
  <c r="F34" i="7" s="1"/>
  <c r="J32" i="7"/>
  <c r="I32" i="7"/>
  <c r="Q28" i="7"/>
  <c r="P34" i="7"/>
  <c r="R28" i="7"/>
  <c r="N31" i="7"/>
  <c r="N28" i="7"/>
  <c r="M34" i="7"/>
  <c r="N34" i="7" s="1"/>
  <c r="H24" i="7"/>
  <c r="I20" i="7"/>
  <c r="J20" i="7"/>
  <c r="I11" i="7"/>
  <c r="I30" i="7"/>
  <c r="D11" i="7"/>
  <c r="F22" i="7"/>
  <c r="D39" i="7"/>
  <c r="Q31" i="7"/>
  <c r="L27" i="7"/>
  <c r="C34" i="7"/>
  <c r="D28" i="7"/>
  <c r="G28" i="7"/>
  <c r="H34" i="7"/>
  <c r="J28" i="7"/>
  <c r="I28" i="7"/>
  <c r="C24" i="7"/>
  <c r="D20" i="7"/>
  <c r="G20" i="7"/>
  <c r="Y21" i="7"/>
  <c r="AB19" i="7"/>
  <c r="Q27" i="7"/>
  <c r="M24" i="7"/>
  <c r="N20" i="7"/>
  <c r="N39" i="7"/>
  <c r="I31" i="7"/>
  <c r="K24" i="7"/>
  <c r="L20" i="7"/>
  <c r="O20" i="7"/>
  <c r="X38" i="7"/>
  <c r="Q12" i="7"/>
  <c r="Q42" i="7"/>
  <c r="L32" i="7"/>
  <c r="O32" i="7"/>
  <c r="L13" i="7"/>
  <c r="L39" i="7"/>
  <c r="R32" i="7"/>
  <c r="Q32" i="7"/>
  <c r="I27" i="7"/>
  <c r="E24" i="7"/>
  <c r="F20" i="7"/>
  <c r="Q38" i="7"/>
  <c r="N42" i="7"/>
  <c r="D30" i="7"/>
  <c r="K34" i="7"/>
  <c r="L28" i="7"/>
  <c r="O28" i="7"/>
  <c r="D46" i="7"/>
  <c r="M34" i="6"/>
  <c r="F28" i="6"/>
  <c r="T20" i="6"/>
  <c r="E34" i="6"/>
  <c r="J28" i="6"/>
  <c r="L16" i="6"/>
  <c r="L12" i="6"/>
  <c r="L30" i="6"/>
  <c r="L20" i="6"/>
  <c r="L46" i="6"/>
  <c r="L13" i="6"/>
  <c r="K24" i="6"/>
  <c r="L39" i="6"/>
  <c r="L33" i="6"/>
  <c r="L42" i="6"/>
  <c r="L38" i="6"/>
  <c r="L22" i="6"/>
  <c r="L32" i="6"/>
  <c r="L27" i="6"/>
  <c r="L17" i="6"/>
  <c r="L18" i="6"/>
  <c r="L10" i="6"/>
  <c r="L15" i="6"/>
  <c r="D12" i="6"/>
  <c r="D30" i="6"/>
  <c r="D20" i="6"/>
  <c r="D38" i="6"/>
  <c r="D39" i="6"/>
  <c r="C24" i="6"/>
  <c r="D46" i="6"/>
  <c r="D42" i="6"/>
  <c r="D32" i="6"/>
  <c r="D27" i="6"/>
  <c r="G20" i="6"/>
  <c r="D22" i="6"/>
  <c r="D13" i="6"/>
  <c r="T23" i="6"/>
  <c r="F33" i="6"/>
  <c r="D10" i="6"/>
  <c r="R33" i="6"/>
  <c r="L14" i="6"/>
  <c r="O28" i="6"/>
  <c r="L26" i="6"/>
  <c r="D14" i="6"/>
  <c r="D15" i="6"/>
  <c r="G33" i="6"/>
  <c r="L11" i="6"/>
  <c r="D26" i="6"/>
  <c r="O33" i="6"/>
  <c r="D16" i="5"/>
  <c r="D20" i="5"/>
  <c r="D14" i="5"/>
  <c r="D38" i="5"/>
  <c r="G20" i="5"/>
  <c r="D30" i="5"/>
  <c r="D11" i="5"/>
  <c r="D17" i="5"/>
  <c r="D15" i="5"/>
  <c r="C24" i="5"/>
  <c r="D12" i="5"/>
  <c r="J28" i="5"/>
  <c r="I28" i="5"/>
  <c r="O28" i="5"/>
  <c r="K34" i="5"/>
  <c r="L28" i="5"/>
  <c r="R32" i="5"/>
  <c r="Q32" i="5"/>
  <c r="Q46" i="5"/>
  <c r="P24" i="5"/>
  <c r="Q11" i="5"/>
  <c r="R20" i="5"/>
  <c r="Q15" i="5"/>
  <c r="Q20" i="5"/>
  <c r="Q17" i="5"/>
  <c r="Q10" i="5"/>
  <c r="Q42" i="5"/>
  <c r="Q16" i="5"/>
  <c r="Q30" i="5"/>
  <c r="L17" i="5"/>
  <c r="L31" i="5"/>
  <c r="L20" i="5"/>
  <c r="L12" i="5"/>
  <c r="L10" i="5"/>
  <c r="L39" i="5"/>
  <c r="L16" i="5"/>
  <c r="L11" i="5"/>
  <c r="L14" i="5"/>
  <c r="O20" i="5"/>
  <c r="L30" i="5"/>
  <c r="L19" i="5"/>
  <c r="L38" i="5"/>
  <c r="K24" i="5"/>
  <c r="L15" i="5"/>
  <c r="L42" i="5"/>
  <c r="Q39" i="5"/>
  <c r="D46" i="5"/>
  <c r="D22" i="5"/>
  <c r="D18" i="5"/>
  <c r="G28" i="5"/>
  <c r="C34" i="5"/>
  <c r="D28" i="5"/>
  <c r="Q31" i="5"/>
  <c r="N12" i="5"/>
  <c r="N10" i="5"/>
  <c r="N42" i="5"/>
  <c r="N39" i="5"/>
  <c r="N16" i="5"/>
  <c r="N28" i="5"/>
  <c r="N27" i="5"/>
  <c r="N26" i="5"/>
  <c r="N18" i="5"/>
  <c r="N14" i="5"/>
  <c r="N46" i="5"/>
  <c r="N30" i="5"/>
  <c r="N24" i="5"/>
  <c r="N19" i="5"/>
  <c r="N11" i="5"/>
  <c r="N17" i="5"/>
  <c r="N38" i="5"/>
  <c r="M24" i="5"/>
  <c r="N22" i="5"/>
  <c r="N15" i="5"/>
  <c r="N32" i="5"/>
  <c r="N31" i="5"/>
  <c r="N20" i="5"/>
  <c r="N13" i="5"/>
  <c r="L13" i="5"/>
  <c r="L27" i="5"/>
  <c r="D26" i="5"/>
  <c r="J32" i="5"/>
  <c r="I32" i="5"/>
  <c r="H34" i="5"/>
  <c r="R28" i="5"/>
  <c r="P34" i="5"/>
  <c r="Q28" i="5"/>
  <c r="D10" i="5"/>
  <c r="E34" i="5"/>
  <c r="I11" i="5"/>
  <c r="I15" i="5"/>
  <c r="H24" i="5"/>
  <c r="J20" i="5"/>
  <c r="I12" i="5"/>
  <c r="I10" i="5"/>
  <c r="I16" i="5"/>
  <c r="I14" i="5"/>
  <c r="I46" i="5"/>
  <c r="D32" i="5"/>
  <c r="D42" i="5"/>
  <c r="D13" i="5"/>
  <c r="I13" i="5"/>
  <c r="D27" i="5"/>
  <c r="L18" i="5"/>
  <c r="F45" i="5"/>
  <c r="F42" i="5"/>
  <c r="F14" i="5"/>
  <c r="F46" i="5"/>
  <c r="F30" i="5"/>
  <c r="F12" i="5"/>
  <c r="F10" i="5"/>
  <c r="F43" i="5"/>
  <c r="F28" i="5"/>
  <c r="F27" i="5"/>
  <c r="F26" i="5"/>
  <c r="F11" i="5"/>
  <c r="F17" i="5"/>
  <c r="F15" i="5"/>
  <c r="F38" i="5"/>
  <c r="F24" i="5"/>
  <c r="F36" i="5"/>
  <c r="F31" i="5"/>
  <c r="E24" i="5"/>
  <c r="F22" i="5"/>
  <c r="F41" i="5"/>
  <c r="F39" i="5"/>
  <c r="F34" i="5"/>
  <c r="F32" i="5"/>
  <c r="F20" i="5"/>
  <c r="F19" i="5"/>
  <c r="F18" i="5"/>
  <c r="F16" i="5"/>
  <c r="F13" i="5"/>
  <c r="AA25" i="4"/>
  <c r="Z25" i="4"/>
  <c r="AA15" i="4"/>
  <c r="Z15" i="4"/>
  <c r="X19" i="4"/>
  <c r="Z19" i="4" s="1"/>
  <c r="AA11" i="4"/>
  <c r="Z11" i="4"/>
  <c r="AA23" i="4"/>
  <c r="Z23" i="4"/>
  <c r="AA14" i="4"/>
  <c r="Z14" i="4"/>
  <c r="U17" i="4"/>
  <c r="W17" i="6" s="1"/>
  <c r="AA16" i="4"/>
  <c r="Z16" i="4"/>
  <c r="X17" i="4"/>
  <c r="AA13" i="4"/>
  <c r="Z13" i="4"/>
  <c r="R32" i="4"/>
  <c r="Q32" i="4"/>
  <c r="F12" i="4"/>
  <c r="Q42" i="4"/>
  <c r="Q38" i="4"/>
  <c r="Q18" i="4"/>
  <c r="Q10" i="4"/>
  <c r="F30" i="4"/>
  <c r="G28" i="4"/>
  <c r="D28" i="4"/>
  <c r="C34" i="4"/>
  <c r="N46" i="4"/>
  <c r="N31" i="4"/>
  <c r="N18" i="4"/>
  <c r="G32" i="4"/>
  <c r="D32" i="4"/>
  <c r="D42" i="4"/>
  <c r="D17" i="4"/>
  <c r="AC19" i="4"/>
  <c r="Y21" i="4"/>
  <c r="Q30" i="4"/>
  <c r="J20" i="4"/>
  <c r="H24" i="4"/>
  <c r="I14" i="4"/>
  <c r="I13" i="4"/>
  <c r="F46" i="4"/>
  <c r="F31" i="4"/>
  <c r="F18" i="4"/>
  <c r="AC17" i="4"/>
  <c r="Z17" i="4"/>
  <c r="D18" i="4"/>
  <c r="H34" i="4"/>
  <c r="J28" i="4"/>
  <c r="I28" i="4"/>
  <c r="L17" i="4"/>
  <c r="Q27" i="4"/>
  <c r="N27" i="4"/>
  <c r="N42" i="4"/>
  <c r="Q22" i="4"/>
  <c r="I11" i="4"/>
  <c r="L39" i="4"/>
  <c r="D39" i="4"/>
  <c r="I27" i="4"/>
  <c r="Q15" i="4"/>
  <c r="J32" i="4"/>
  <c r="I32" i="4"/>
  <c r="N28" i="4"/>
  <c r="M34" i="4"/>
  <c r="N34" i="4" s="1"/>
  <c r="N10" i="4"/>
  <c r="F42" i="4"/>
  <c r="Q12" i="4"/>
  <c r="F13" i="4"/>
  <c r="M24" i="4"/>
  <c r="N20" i="4"/>
  <c r="N39" i="4"/>
  <c r="Q14" i="4"/>
  <c r="N19" i="4"/>
  <c r="Q11" i="4"/>
  <c r="F28" i="4"/>
  <c r="E34" i="4"/>
  <c r="F34" i="4" s="1"/>
  <c r="O28" i="4"/>
  <c r="L28" i="4"/>
  <c r="K34" i="4"/>
  <c r="O32" i="4"/>
  <c r="L32" i="4"/>
  <c r="Q16" i="4"/>
  <c r="N12" i="4"/>
  <c r="F16" i="4"/>
  <c r="N30" i="4"/>
  <c r="N38" i="4"/>
  <c r="L20" i="4"/>
  <c r="K24" i="4"/>
  <c r="O20" i="4"/>
  <c r="N13" i="4"/>
  <c r="L31" i="4"/>
  <c r="L18" i="4"/>
  <c r="R20" i="4"/>
  <c r="P24" i="4"/>
  <c r="Q20" i="4"/>
  <c r="Q13" i="4"/>
  <c r="E24" i="4"/>
  <c r="F20" i="4"/>
  <c r="D20" i="4"/>
  <c r="C24" i="4"/>
  <c r="G20" i="4"/>
  <c r="I12" i="4"/>
  <c r="D31" i="4"/>
  <c r="P34" i="4"/>
  <c r="R28" i="4"/>
  <c r="Q28" i="4"/>
  <c r="H34" i="3"/>
  <c r="J28" i="3"/>
  <c r="I28" i="3"/>
  <c r="D20" i="3"/>
  <c r="G20" i="3"/>
  <c r="C24" i="3"/>
  <c r="D18" i="3"/>
  <c r="F39" i="3"/>
  <c r="L13" i="3"/>
  <c r="H24" i="3"/>
  <c r="H24" i="6" s="1"/>
  <c r="I16" i="3"/>
  <c r="J20" i="3"/>
  <c r="L42" i="3"/>
  <c r="L38" i="3"/>
  <c r="O32" i="3"/>
  <c r="L32" i="3"/>
  <c r="D28" i="3"/>
  <c r="G28" i="3"/>
  <c r="C34" i="3"/>
  <c r="F13" i="3"/>
  <c r="F38" i="3"/>
  <c r="D12" i="3"/>
  <c r="E24" i="3"/>
  <c r="F16" i="3"/>
  <c r="F20" i="3"/>
  <c r="F14" i="3"/>
  <c r="F22" i="3"/>
  <c r="D15" i="3"/>
  <c r="E34" i="3"/>
  <c r="F34" i="3" s="1"/>
  <c r="F28" i="3"/>
  <c r="D42" i="3"/>
  <c r="D38" i="3"/>
  <c r="R32" i="3"/>
  <c r="Q32" i="3"/>
  <c r="G32" i="3"/>
  <c r="D32" i="3"/>
  <c r="P34" i="3"/>
  <c r="R28" i="3"/>
  <c r="Q28" i="3"/>
  <c r="L14" i="3"/>
  <c r="F32" i="3"/>
  <c r="L46" i="3"/>
  <c r="L39" i="3"/>
  <c r="F11" i="3"/>
  <c r="F31" i="3"/>
  <c r="K24" i="3"/>
  <c r="L20" i="3"/>
  <c r="F12" i="3"/>
  <c r="Q14" i="3"/>
  <c r="P24" i="3"/>
  <c r="Q16" i="3"/>
  <c r="Q20" i="3"/>
  <c r="L19" i="3"/>
  <c r="I14" i="3"/>
  <c r="L28" i="3"/>
  <c r="O28" i="3"/>
  <c r="K34" i="3"/>
  <c r="L17" i="3"/>
  <c r="J32" i="3"/>
  <c r="I32" i="3"/>
  <c r="L10" i="3"/>
  <c r="F19" i="3"/>
  <c r="F46" i="3"/>
  <c r="L18" i="3"/>
  <c r="F18" i="3"/>
  <c r="D46" i="3"/>
  <c r="D39" i="3"/>
  <c r="D31" i="3"/>
  <c r="M34" i="3"/>
  <c r="R11" i="11" l="1"/>
  <c r="O27" i="11"/>
  <c r="AB15" i="11"/>
  <c r="O22" i="11"/>
  <c r="G14" i="11"/>
  <c r="AA30" i="8"/>
  <c r="U30" i="9"/>
  <c r="AA30" i="9" s="1"/>
  <c r="C34" i="6"/>
  <c r="G28" i="6"/>
  <c r="D28" i="6"/>
  <c r="G30" i="11"/>
  <c r="C32" i="11"/>
  <c r="E28" i="11"/>
  <c r="T6" i="9"/>
  <c r="AF3" i="9"/>
  <c r="G39" i="11"/>
  <c r="AA15" i="11"/>
  <c r="AE9" i="11"/>
  <c r="G11" i="11"/>
  <c r="M34" i="5"/>
  <c r="N34" i="5" s="1"/>
  <c r="R31" i="11"/>
  <c r="Q39" i="10"/>
  <c r="Q27" i="5"/>
  <c r="U17" i="3"/>
  <c r="U19" i="3" s="1"/>
  <c r="U21" i="3" s="1"/>
  <c r="AC15" i="6"/>
  <c r="Z12" i="11"/>
  <c r="AB15" i="6"/>
  <c r="AI12" i="11" s="1"/>
  <c r="AA19" i="9"/>
  <c r="AG18" i="11"/>
  <c r="X18" i="11"/>
  <c r="R42" i="11"/>
  <c r="AK15" i="11"/>
  <c r="G42" i="11"/>
  <c r="J13" i="11"/>
  <c r="P7" i="9"/>
  <c r="W7" i="9"/>
  <c r="AB7" i="9" s="1"/>
  <c r="J30" i="11"/>
  <c r="H32" i="11"/>
  <c r="J17" i="11"/>
  <c r="AD8" i="11"/>
  <c r="R34" i="9"/>
  <c r="N34" i="9"/>
  <c r="E32" i="11"/>
  <c r="G26" i="11"/>
  <c r="C28" i="11"/>
  <c r="G31" i="11"/>
  <c r="K34" i="6"/>
  <c r="L34" i="6" s="1"/>
  <c r="L28" i="6"/>
  <c r="O16" i="11"/>
  <c r="AE19" i="11"/>
  <c r="Z19" i="9"/>
  <c r="Y21" i="9"/>
  <c r="H20" i="11"/>
  <c r="I17" i="11" s="1"/>
  <c r="J10" i="11"/>
  <c r="AA15" i="3"/>
  <c r="Z15" i="3"/>
  <c r="G22" i="11"/>
  <c r="U7" i="9"/>
  <c r="X7" i="9" s="1"/>
  <c r="K7" i="9"/>
  <c r="R36" i="9"/>
  <c r="R18" i="11"/>
  <c r="O13" i="11"/>
  <c r="J33" i="6"/>
  <c r="I33" i="6"/>
  <c r="R13" i="11"/>
  <c r="R12" i="11"/>
  <c r="R38" i="11"/>
  <c r="I39" i="11"/>
  <c r="J39" i="11"/>
  <c r="M32" i="11"/>
  <c r="Z27" i="3"/>
  <c r="Z17" i="9"/>
  <c r="M16" i="6"/>
  <c r="O16" i="3"/>
  <c r="N16" i="3"/>
  <c r="M20" i="3"/>
  <c r="Q38" i="5"/>
  <c r="Z10" i="11"/>
  <c r="AB13" i="6"/>
  <c r="AI10" i="11" s="1"/>
  <c r="Z11" i="11"/>
  <c r="AC14" i="6"/>
  <c r="AB14" i="6"/>
  <c r="AI11" i="11" s="1"/>
  <c r="U19" i="4"/>
  <c r="U21" i="4" s="1"/>
  <c r="U30" i="4" s="1"/>
  <c r="AA30" i="4" s="1"/>
  <c r="M36" i="5"/>
  <c r="N36" i="5" s="1"/>
  <c r="Q10" i="6"/>
  <c r="Q27" i="6"/>
  <c r="Q18" i="6"/>
  <c r="Q42" i="6"/>
  <c r="Q30" i="6"/>
  <c r="Q32" i="6"/>
  <c r="Q22" i="6"/>
  <c r="P24" i="6"/>
  <c r="Q26" i="6"/>
  <c r="Q38" i="6"/>
  <c r="Q46" i="6"/>
  <c r="Q14" i="6"/>
  <c r="Q13" i="6"/>
  <c r="Q17" i="6"/>
  <c r="Q39" i="6"/>
  <c r="Q15" i="6"/>
  <c r="Q20" i="6"/>
  <c r="AH15" i="11"/>
  <c r="X21" i="6"/>
  <c r="G13" i="11"/>
  <c r="Y14" i="11"/>
  <c r="Y15" i="11" s="1"/>
  <c r="Y18" i="11" s="1"/>
  <c r="G46" i="11"/>
  <c r="O14" i="11"/>
  <c r="L12" i="11"/>
  <c r="O12" i="11"/>
  <c r="I14" i="11"/>
  <c r="J14" i="11"/>
  <c r="R39" i="11"/>
  <c r="J15" i="11"/>
  <c r="I15" i="11"/>
  <c r="Z13" i="3"/>
  <c r="X17" i="3"/>
  <c r="X19" i="3" s="1"/>
  <c r="AA13" i="3"/>
  <c r="Z14" i="3"/>
  <c r="AA14" i="3"/>
  <c r="Z19" i="11"/>
  <c r="AD19" i="11" s="1"/>
  <c r="AC23" i="6"/>
  <c r="I24" i="6"/>
  <c r="H36" i="6"/>
  <c r="E36" i="10"/>
  <c r="E59" i="7" s="1"/>
  <c r="X21" i="10"/>
  <c r="G17" i="11"/>
  <c r="F17" i="11"/>
  <c r="P20" i="11"/>
  <c r="Q31" i="11" s="1"/>
  <c r="R10" i="11"/>
  <c r="Q10" i="11"/>
  <c r="J18" i="11"/>
  <c r="I18" i="11"/>
  <c r="O11" i="11"/>
  <c r="AD13" i="11"/>
  <c r="R27" i="11"/>
  <c r="Q27" i="11"/>
  <c r="R30" i="11"/>
  <c r="P32" i="11"/>
  <c r="J26" i="11"/>
  <c r="I26" i="11"/>
  <c r="H28" i="11"/>
  <c r="G38" i="11"/>
  <c r="E20" i="11"/>
  <c r="F10" i="11" s="1"/>
  <c r="G27" i="11"/>
  <c r="J42" i="11"/>
  <c r="I42" i="11"/>
  <c r="AC16" i="6"/>
  <c r="Z13" i="11"/>
  <c r="AC13" i="11" s="1"/>
  <c r="AB16" i="6"/>
  <c r="AI13" i="11" s="1"/>
  <c r="W13" i="11"/>
  <c r="W14" i="11" s="1"/>
  <c r="AA25" i="3"/>
  <c r="Z25" i="3"/>
  <c r="AA17" i="4"/>
  <c r="Z17" i="6"/>
  <c r="O18" i="11"/>
  <c r="M28" i="11"/>
  <c r="J12" i="11"/>
  <c r="F12" i="11"/>
  <c r="F11" i="11"/>
  <c r="AC8" i="11"/>
  <c r="Q33" i="6"/>
  <c r="AC27" i="6"/>
  <c r="Z21" i="11"/>
  <c r="AD21" i="11" s="1"/>
  <c r="D12" i="11"/>
  <c r="G12" i="11"/>
  <c r="R26" i="11"/>
  <c r="P28" i="11"/>
  <c r="D15" i="11"/>
  <c r="G15" i="11"/>
  <c r="F14" i="6"/>
  <c r="E24" i="6"/>
  <c r="J24" i="6" s="1"/>
  <c r="F42" i="6"/>
  <c r="F22" i="6"/>
  <c r="F16" i="6"/>
  <c r="F15" i="6"/>
  <c r="F17" i="6"/>
  <c r="F32" i="6"/>
  <c r="F38" i="6"/>
  <c r="F26" i="6"/>
  <c r="F39" i="6"/>
  <c r="F27" i="6"/>
  <c r="F18" i="6"/>
  <c r="F30" i="6"/>
  <c r="F11" i="6"/>
  <c r="F46" i="6"/>
  <c r="F20" i="6"/>
  <c r="F13" i="6"/>
  <c r="F10" i="6"/>
  <c r="F12" i="6"/>
  <c r="Q16" i="6"/>
  <c r="P16" i="11"/>
  <c r="R16" i="6"/>
  <c r="I12" i="11"/>
  <c r="Q14" i="5"/>
  <c r="Q12" i="5"/>
  <c r="Q26" i="5"/>
  <c r="AC25" i="6"/>
  <c r="R15" i="11"/>
  <c r="Q15" i="11"/>
  <c r="Q12" i="11"/>
  <c r="J46" i="11"/>
  <c r="I46" i="11"/>
  <c r="R22" i="11"/>
  <c r="Q22" i="11"/>
  <c r="R46" i="11"/>
  <c r="F38" i="11"/>
  <c r="L17" i="11"/>
  <c r="Q28" i="6"/>
  <c r="P34" i="6"/>
  <c r="O17" i="11"/>
  <c r="AE19" i="6"/>
  <c r="L15" i="11"/>
  <c r="O15" i="11"/>
  <c r="F42" i="11"/>
  <c r="O31" i="11"/>
  <c r="L31" i="11"/>
  <c r="F31" i="11"/>
  <c r="K20" i="11"/>
  <c r="O10" i="11"/>
  <c r="L10" i="11"/>
  <c r="AC21" i="11"/>
  <c r="AE21" i="11"/>
  <c r="X15" i="11"/>
  <c r="AA11" i="3"/>
  <c r="Z11" i="3"/>
  <c r="E36" i="5"/>
  <c r="R28" i="6"/>
  <c r="E58" i="7"/>
  <c r="F36" i="9"/>
  <c r="AA30" i="10"/>
  <c r="V40" i="7"/>
  <c r="V41" i="7" s="1"/>
  <c r="V42" i="7" s="1"/>
  <c r="X42" i="7" s="1"/>
  <c r="Q11" i="6"/>
  <c r="Q12" i="6"/>
  <c r="J22" i="11"/>
  <c r="I20" i="11"/>
  <c r="I22" i="11"/>
  <c r="F13" i="11"/>
  <c r="AC19" i="3"/>
  <c r="Y21" i="3"/>
  <c r="G18" i="11"/>
  <c r="J16" i="11"/>
  <c r="I16" i="11"/>
  <c r="H34" i="6"/>
  <c r="I38" i="11"/>
  <c r="J38" i="11"/>
  <c r="R17" i="11"/>
  <c r="G19" i="11"/>
  <c r="I27" i="11"/>
  <c r="J27" i="11"/>
  <c r="C20" i="11"/>
  <c r="D42" i="11" s="1"/>
  <c r="G10" i="11"/>
  <c r="D10" i="11"/>
  <c r="I31" i="11"/>
  <c r="J31" i="11"/>
  <c r="J11" i="11"/>
  <c r="I11" i="11"/>
  <c r="M36" i="10"/>
  <c r="Z28" i="10"/>
  <c r="AI22" i="11" s="1"/>
  <c r="G31" i="10"/>
  <c r="C32" i="10"/>
  <c r="W19" i="6"/>
  <c r="W9" i="11"/>
  <c r="Z19" i="6"/>
  <c r="AC19" i="6" s="1"/>
  <c r="Z9" i="11"/>
  <c r="AC11" i="6"/>
  <c r="W19" i="11"/>
  <c r="Q36" i="10"/>
  <c r="P41" i="10"/>
  <c r="P45" i="10"/>
  <c r="R36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H41" i="10"/>
  <c r="H45" i="10"/>
  <c r="J45" i="10" s="1"/>
  <c r="J36" i="10"/>
  <c r="Y30" i="10"/>
  <c r="AC21" i="10"/>
  <c r="Z21" i="10"/>
  <c r="X30" i="10"/>
  <c r="AA21" i="10"/>
  <c r="Z17" i="10"/>
  <c r="K45" i="10"/>
  <c r="O45" i="10" s="1"/>
  <c r="O41" i="10"/>
  <c r="G24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Z19" i="10"/>
  <c r="E45" i="10"/>
  <c r="I45" i="10" s="1"/>
  <c r="I36" i="10"/>
  <c r="E41" i="10"/>
  <c r="Z30" i="10"/>
  <c r="R34" i="10"/>
  <c r="Q34" i="10"/>
  <c r="K32" i="10"/>
  <c r="O28" i="10"/>
  <c r="J36" i="8"/>
  <c r="E41" i="8"/>
  <c r="E41" i="9" s="1"/>
  <c r="F36" i="8"/>
  <c r="AA19" i="8"/>
  <c r="X21" i="8"/>
  <c r="X21" i="9" s="1"/>
  <c r="Z19" i="8"/>
  <c r="G36" i="8"/>
  <c r="C41" i="8"/>
  <c r="K41" i="8"/>
  <c r="O36" i="8"/>
  <c r="R36" i="8"/>
  <c r="M41" i="8"/>
  <c r="M41" i="9" s="1"/>
  <c r="N36" i="8"/>
  <c r="AC30" i="8"/>
  <c r="E36" i="7"/>
  <c r="F24" i="7"/>
  <c r="G24" i="7"/>
  <c r="C36" i="7"/>
  <c r="D24" i="7"/>
  <c r="J24" i="7"/>
  <c r="H36" i="7"/>
  <c r="I24" i="7"/>
  <c r="M36" i="7"/>
  <c r="N24" i="7"/>
  <c r="AD21" i="7"/>
  <c r="Z30" i="7"/>
  <c r="AD30" i="7" s="1"/>
  <c r="L34" i="7"/>
  <c r="O34" i="7"/>
  <c r="J34" i="7"/>
  <c r="I34" i="7"/>
  <c r="Y30" i="7"/>
  <c r="AB21" i="7"/>
  <c r="R34" i="7"/>
  <c r="Q34" i="7"/>
  <c r="R24" i="7"/>
  <c r="P36" i="7"/>
  <c r="Q24" i="7"/>
  <c r="K36" i="7"/>
  <c r="L24" i="7"/>
  <c r="O24" i="7"/>
  <c r="D34" i="7"/>
  <c r="G34" i="7"/>
  <c r="G24" i="6"/>
  <c r="D24" i="6"/>
  <c r="C36" i="6"/>
  <c r="O34" i="6"/>
  <c r="L24" i="6"/>
  <c r="K36" i="6"/>
  <c r="F34" i="6"/>
  <c r="T24" i="6"/>
  <c r="J24" i="5"/>
  <c r="I24" i="5"/>
  <c r="H36" i="5"/>
  <c r="E41" i="5"/>
  <c r="E43" i="5" s="1"/>
  <c r="O34" i="5"/>
  <c r="L34" i="5"/>
  <c r="D34" i="5"/>
  <c r="G34" i="5"/>
  <c r="K36" i="5"/>
  <c r="L24" i="5"/>
  <c r="O24" i="5"/>
  <c r="R34" i="5"/>
  <c r="Q34" i="5"/>
  <c r="M41" i="5"/>
  <c r="C36" i="5"/>
  <c r="D24" i="5"/>
  <c r="G24" i="5"/>
  <c r="J34" i="5"/>
  <c r="I34" i="5"/>
  <c r="R24" i="5"/>
  <c r="Q24" i="5"/>
  <c r="P36" i="5"/>
  <c r="N24" i="4"/>
  <c r="M36" i="4"/>
  <c r="D24" i="4"/>
  <c r="G24" i="4"/>
  <c r="C36" i="4"/>
  <c r="Y30" i="4"/>
  <c r="AC21" i="4"/>
  <c r="G34" i="4"/>
  <c r="D34" i="4"/>
  <c r="AA19" i="4"/>
  <c r="X21" i="4"/>
  <c r="F24" i="4"/>
  <c r="E36" i="4"/>
  <c r="R34" i="4"/>
  <c r="Q34" i="4"/>
  <c r="L24" i="4"/>
  <c r="O24" i="4"/>
  <c r="K36" i="4"/>
  <c r="J34" i="4"/>
  <c r="I34" i="4"/>
  <c r="O34" i="4"/>
  <c r="L34" i="4"/>
  <c r="H36" i="4"/>
  <c r="J24" i="4"/>
  <c r="I24" i="4"/>
  <c r="P36" i="4"/>
  <c r="R24" i="4"/>
  <c r="Q24" i="4"/>
  <c r="G34" i="3"/>
  <c r="D34" i="3"/>
  <c r="R34" i="3"/>
  <c r="Q34" i="3"/>
  <c r="D24" i="3"/>
  <c r="C36" i="3"/>
  <c r="G24" i="3"/>
  <c r="E36" i="3"/>
  <c r="F24" i="3"/>
  <c r="O34" i="3"/>
  <c r="L34" i="3"/>
  <c r="L24" i="3"/>
  <c r="K36" i="3"/>
  <c r="H36" i="3"/>
  <c r="J24" i="3"/>
  <c r="I24" i="3"/>
  <c r="J34" i="3"/>
  <c r="I34" i="3"/>
  <c r="P36" i="3"/>
  <c r="Q24" i="3"/>
  <c r="AA19" i="3" l="1"/>
  <c r="X21" i="3"/>
  <c r="Z19" i="3"/>
  <c r="Z21" i="4"/>
  <c r="Z21" i="6"/>
  <c r="AD9" i="11"/>
  <c r="F16" i="11"/>
  <c r="Q17" i="11"/>
  <c r="D18" i="11"/>
  <c r="K24" i="11"/>
  <c r="L20" i="11"/>
  <c r="Q46" i="11"/>
  <c r="R16" i="11"/>
  <c r="Q16" i="11"/>
  <c r="Q26" i="11"/>
  <c r="F18" i="11"/>
  <c r="L18" i="11"/>
  <c r="D38" i="11"/>
  <c r="F46" i="11"/>
  <c r="D46" i="11"/>
  <c r="AD10" i="11"/>
  <c r="AC10" i="11"/>
  <c r="Q38" i="11"/>
  <c r="L16" i="11"/>
  <c r="I13" i="11"/>
  <c r="AE15" i="11"/>
  <c r="AA18" i="11"/>
  <c r="F26" i="11"/>
  <c r="I10" i="11"/>
  <c r="F30" i="11"/>
  <c r="D30" i="11"/>
  <c r="AC9" i="11"/>
  <c r="Q28" i="11"/>
  <c r="P34" i="11"/>
  <c r="R28" i="11"/>
  <c r="N41" i="9"/>
  <c r="R41" i="9"/>
  <c r="W15" i="11"/>
  <c r="W18" i="11" s="1"/>
  <c r="W23" i="11" s="1"/>
  <c r="Z14" i="11"/>
  <c r="Z15" i="11" s="1"/>
  <c r="AC17" i="6"/>
  <c r="AB17" i="6"/>
  <c r="AI14" i="11" s="1"/>
  <c r="J28" i="11"/>
  <c r="I28" i="11"/>
  <c r="H34" i="11"/>
  <c r="P36" i="6"/>
  <c r="Q24" i="6"/>
  <c r="N46" i="3"/>
  <c r="N12" i="3"/>
  <c r="N11" i="3"/>
  <c r="N17" i="3"/>
  <c r="N42" i="3"/>
  <c r="N10" i="3"/>
  <c r="N13" i="3"/>
  <c r="N31" i="3"/>
  <c r="N28" i="3"/>
  <c r="R20" i="3"/>
  <c r="M24" i="3"/>
  <c r="N38" i="3"/>
  <c r="N14" i="3"/>
  <c r="N30" i="3"/>
  <c r="N19" i="3"/>
  <c r="N20" i="3"/>
  <c r="N32" i="3"/>
  <c r="N39" i="3"/>
  <c r="N15" i="3"/>
  <c r="N22" i="3"/>
  <c r="N18" i="3"/>
  <c r="N26" i="3"/>
  <c r="N27" i="3"/>
  <c r="O20" i="3"/>
  <c r="F19" i="11"/>
  <c r="F32" i="11"/>
  <c r="G32" i="11"/>
  <c r="D32" i="11"/>
  <c r="AB18" i="11"/>
  <c r="AB23" i="11" s="1"/>
  <c r="AA21" i="6"/>
  <c r="Y30" i="3"/>
  <c r="AC21" i="3"/>
  <c r="I36" i="6"/>
  <c r="H41" i="6"/>
  <c r="Z17" i="3"/>
  <c r="AA17" i="3"/>
  <c r="Z21" i="3"/>
  <c r="O26" i="11"/>
  <c r="L26" i="11"/>
  <c r="K28" i="11"/>
  <c r="C24" i="11"/>
  <c r="G20" i="11"/>
  <c r="D20" i="11"/>
  <c r="F15" i="11"/>
  <c r="Q20" i="11"/>
  <c r="P24" i="11"/>
  <c r="Q14" i="11"/>
  <c r="D22" i="11"/>
  <c r="H24" i="11"/>
  <c r="J20" i="11"/>
  <c r="F22" i="11"/>
  <c r="J32" i="11"/>
  <c r="I32" i="11"/>
  <c r="D39" i="11"/>
  <c r="D14" i="11"/>
  <c r="L27" i="11"/>
  <c r="F41" i="9"/>
  <c r="J41" i="9"/>
  <c r="G32" i="10"/>
  <c r="C34" i="10"/>
  <c r="J34" i="6"/>
  <c r="I34" i="6"/>
  <c r="R34" i="6"/>
  <c r="Q34" i="6"/>
  <c r="F24" i="6"/>
  <c r="T12" i="6"/>
  <c r="E36" i="6"/>
  <c r="D27" i="11"/>
  <c r="D13" i="11"/>
  <c r="L13" i="11"/>
  <c r="AH20" i="11"/>
  <c r="Z21" i="9"/>
  <c r="Z20" i="11" s="1"/>
  <c r="AC21" i="9"/>
  <c r="AI20" i="11" s="1"/>
  <c r="Y20" i="11"/>
  <c r="Y23" i="11" s="1"/>
  <c r="AC23" i="11" s="1"/>
  <c r="Y30" i="9"/>
  <c r="D31" i="11"/>
  <c r="F39" i="11"/>
  <c r="AB19" i="6"/>
  <c r="AI15" i="11" s="1"/>
  <c r="AC12" i="11"/>
  <c r="AD12" i="11"/>
  <c r="X20" i="11"/>
  <c r="X23" i="11" s="1"/>
  <c r="AA21" i="9"/>
  <c r="AA20" i="11" s="1"/>
  <c r="AE20" i="11" s="1"/>
  <c r="X30" i="9"/>
  <c r="AG20" i="11"/>
  <c r="R32" i="11"/>
  <c r="Q32" i="11"/>
  <c r="L11" i="11"/>
  <c r="L14" i="11"/>
  <c r="X30" i="6"/>
  <c r="AH18" i="11"/>
  <c r="M16" i="11"/>
  <c r="N16" i="6"/>
  <c r="M20" i="6"/>
  <c r="Q18" i="11"/>
  <c r="I30" i="11"/>
  <c r="D11" i="11"/>
  <c r="D17" i="11"/>
  <c r="Q11" i="11"/>
  <c r="D19" i="11"/>
  <c r="M34" i="11"/>
  <c r="Q30" i="11"/>
  <c r="Q39" i="11"/>
  <c r="AD11" i="11"/>
  <c r="AC11" i="11"/>
  <c r="L19" i="11"/>
  <c r="AC19" i="11"/>
  <c r="G28" i="11"/>
  <c r="D28" i="11"/>
  <c r="C34" i="11"/>
  <c r="Q42" i="11"/>
  <c r="U30" i="3"/>
  <c r="AA30" i="3" s="1"/>
  <c r="W21" i="6"/>
  <c r="W30" i="6" s="1"/>
  <c r="W24" i="11" s="1"/>
  <c r="G34" i="6"/>
  <c r="D34" i="6"/>
  <c r="R59" i="7"/>
  <c r="M45" i="10"/>
  <c r="M41" i="10"/>
  <c r="M43" i="10" s="1"/>
  <c r="F20" i="11"/>
  <c r="E24" i="11"/>
  <c r="F27" i="11"/>
  <c r="F14" i="11"/>
  <c r="Q19" i="11"/>
  <c r="Q13" i="11"/>
  <c r="D26" i="11"/>
  <c r="F28" i="11"/>
  <c r="E34" i="11"/>
  <c r="F34" i="11" s="1"/>
  <c r="L22" i="11"/>
  <c r="N34" i="3"/>
  <c r="E43" i="10"/>
  <c r="I41" i="10"/>
  <c r="O32" i="10"/>
  <c r="K38" i="10"/>
  <c r="K38" i="11" s="1"/>
  <c r="R45" i="10"/>
  <c r="Q45" i="10"/>
  <c r="K30" i="10"/>
  <c r="K30" i="11" s="1"/>
  <c r="O26" i="10"/>
  <c r="H43" i="10"/>
  <c r="J43" i="10" s="1"/>
  <c r="J41" i="10"/>
  <c r="P43" i="10"/>
  <c r="R41" i="10"/>
  <c r="Q41" i="10"/>
  <c r="O41" i="8"/>
  <c r="K43" i="8"/>
  <c r="G41" i="8"/>
  <c r="C43" i="8"/>
  <c r="G43" i="8" s="1"/>
  <c r="AA21" i="8"/>
  <c r="X30" i="8"/>
  <c r="Z30" i="8" s="1"/>
  <c r="Z21" i="8"/>
  <c r="R41" i="8"/>
  <c r="N41" i="8"/>
  <c r="M43" i="8"/>
  <c r="M43" i="9" s="1"/>
  <c r="F41" i="8"/>
  <c r="E43" i="8"/>
  <c r="E43" i="9" s="1"/>
  <c r="J41" i="8"/>
  <c r="E41" i="7"/>
  <c r="E57" i="7"/>
  <c r="E60" i="7" s="1"/>
  <c r="E61" i="7" s="1"/>
  <c r="F36" i="7"/>
  <c r="L36" i="7"/>
  <c r="K41" i="7"/>
  <c r="N57" i="7"/>
  <c r="N60" i="7" s="1"/>
  <c r="O36" i="7"/>
  <c r="D36" i="7"/>
  <c r="G36" i="7"/>
  <c r="C41" i="7"/>
  <c r="C57" i="7"/>
  <c r="M41" i="7"/>
  <c r="N36" i="7"/>
  <c r="R57" i="7"/>
  <c r="R60" i="7" s="1"/>
  <c r="J36" i="7"/>
  <c r="I36" i="7"/>
  <c r="H41" i="7"/>
  <c r="P41" i="7"/>
  <c r="R36" i="7"/>
  <c r="Q36" i="7"/>
  <c r="G36" i="6"/>
  <c r="D36" i="6"/>
  <c r="C41" i="6"/>
  <c r="L36" i="6"/>
  <c r="K41" i="6"/>
  <c r="T25" i="6"/>
  <c r="N45" i="5"/>
  <c r="M43" i="5"/>
  <c r="N43" i="5" s="1"/>
  <c r="N41" i="5"/>
  <c r="J36" i="5"/>
  <c r="I36" i="5"/>
  <c r="H41" i="5"/>
  <c r="R36" i="5"/>
  <c r="Q36" i="5"/>
  <c r="P41" i="5"/>
  <c r="K41" i="5"/>
  <c r="O36" i="5"/>
  <c r="L36" i="5"/>
  <c r="C41" i="5"/>
  <c r="G36" i="5"/>
  <c r="D36" i="5"/>
  <c r="AC30" i="4"/>
  <c r="G36" i="4"/>
  <c r="D36" i="4"/>
  <c r="C41" i="4"/>
  <c r="N36" i="4"/>
  <c r="M41" i="4"/>
  <c r="J36" i="4"/>
  <c r="I36" i="4"/>
  <c r="H41" i="4"/>
  <c r="F36" i="4"/>
  <c r="E41" i="4"/>
  <c r="X30" i="4"/>
  <c r="Z30" i="6" s="1"/>
  <c r="Z24" i="11" s="1"/>
  <c r="AA21" i="4"/>
  <c r="R36" i="4"/>
  <c r="Q36" i="4"/>
  <c r="P41" i="4"/>
  <c r="O36" i="4"/>
  <c r="L36" i="4"/>
  <c r="K41" i="4"/>
  <c r="F36" i="3"/>
  <c r="E41" i="3"/>
  <c r="J36" i="3"/>
  <c r="I36" i="3"/>
  <c r="H41" i="3"/>
  <c r="G36" i="3"/>
  <c r="D36" i="3"/>
  <c r="C41" i="3"/>
  <c r="L36" i="3"/>
  <c r="K41" i="3"/>
  <c r="Q36" i="3"/>
  <c r="P41" i="3"/>
  <c r="K45" i="6" l="1"/>
  <c r="H45" i="6"/>
  <c r="P45" i="6"/>
  <c r="C45" i="6"/>
  <c r="E45" i="6"/>
  <c r="AD15" i="11"/>
  <c r="Z18" i="11"/>
  <c r="AC15" i="11"/>
  <c r="G34" i="10"/>
  <c r="C36" i="10"/>
  <c r="P41" i="6"/>
  <c r="Q36" i="6"/>
  <c r="N16" i="11"/>
  <c r="M20" i="11"/>
  <c r="AC30" i="9"/>
  <c r="Z30" i="9"/>
  <c r="F36" i="6"/>
  <c r="J36" i="6"/>
  <c r="E41" i="6"/>
  <c r="J34" i="11"/>
  <c r="I34" i="11"/>
  <c r="E64" i="7"/>
  <c r="F43" i="9"/>
  <c r="J43" i="9"/>
  <c r="N43" i="9"/>
  <c r="R43" i="9"/>
  <c r="O30" i="11"/>
  <c r="L30" i="11"/>
  <c r="K32" i="11"/>
  <c r="AA23" i="11"/>
  <c r="AE18" i="11"/>
  <c r="AC21" i="6"/>
  <c r="Z30" i="4"/>
  <c r="I43" i="10"/>
  <c r="E65" i="7"/>
  <c r="F24" i="11"/>
  <c r="E36" i="11"/>
  <c r="AC30" i="6"/>
  <c r="AH23" i="11"/>
  <c r="Y24" i="11"/>
  <c r="AE23" i="11"/>
  <c r="J24" i="11"/>
  <c r="I24" i="11"/>
  <c r="H36" i="11"/>
  <c r="J41" i="6"/>
  <c r="I41" i="6"/>
  <c r="H43" i="6"/>
  <c r="I43" i="6" s="1"/>
  <c r="R24" i="3"/>
  <c r="N24" i="3"/>
  <c r="O24" i="3"/>
  <c r="M36" i="3"/>
  <c r="Q34" i="11"/>
  <c r="R34" i="11"/>
  <c r="AD20" i="11"/>
  <c r="AC20" i="11"/>
  <c r="G24" i="11"/>
  <c r="C36" i="11"/>
  <c r="D24" i="11"/>
  <c r="L24" i="11"/>
  <c r="O38" i="11"/>
  <c r="L38" i="11"/>
  <c r="D34" i="11"/>
  <c r="G34" i="11"/>
  <c r="O28" i="11"/>
  <c r="L28" i="11"/>
  <c r="K34" i="11"/>
  <c r="K36" i="11" s="1"/>
  <c r="X30" i="3"/>
  <c r="Z30" i="3" s="1"/>
  <c r="AA21" i="3"/>
  <c r="N34" i="11"/>
  <c r="Q24" i="11"/>
  <c r="P36" i="11"/>
  <c r="AC30" i="3"/>
  <c r="AA30" i="6"/>
  <c r="AD14" i="11"/>
  <c r="AC14" i="11"/>
  <c r="T28" i="6"/>
  <c r="M24" i="6"/>
  <c r="N12" i="6"/>
  <c r="N11" i="6"/>
  <c r="N26" i="6"/>
  <c r="N17" i="6"/>
  <c r="N32" i="6"/>
  <c r="N38" i="6"/>
  <c r="N15" i="6"/>
  <c r="N14" i="6"/>
  <c r="N18" i="6"/>
  <c r="N27" i="6"/>
  <c r="N30" i="6"/>
  <c r="N10" i="6"/>
  <c r="N20" i="6"/>
  <c r="N33" i="6"/>
  <c r="N22" i="6"/>
  <c r="O20" i="6"/>
  <c r="N13" i="6"/>
  <c r="N28" i="6"/>
  <c r="N42" i="6"/>
  <c r="N39" i="6"/>
  <c r="N46" i="6"/>
  <c r="R20" i="6"/>
  <c r="N34" i="6"/>
  <c r="AB21" i="6"/>
  <c r="AI18" i="11" s="1"/>
  <c r="AK18" i="11"/>
  <c r="AE21" i="6"/>
  <c r="AD23" i="11"/>
  <c r="O38" i="10"/>
  <c r="K42" i="10"/>
  <c r="K42" i="11" s="1"/>
  <c r="K34" i="10"/>
  <c r="O30" i="10"/>
  <c r="R43" i="10"/>
  <c r="Q43" i="10"/>
  <c r="F43" i="8"/>
  <c r="J43" i="8"/>
  <c r="R43" i="8"/>
  <c r="N43" i="8"/>
  <c r="K45" i="8"/>
  <c r="O45" i="8" s="1"/>
  <c r="O43" i="8"/>
  <c r="J45" i="7"/>
  <c r="I45" i="7"/>
  <c r="O45" i="7"/>
  <c r="L45" i="7"/>
  <c r="R45" i="7"/>
  <c r="Q45" i="7"/>
  <c r="N45" i="7"/>
  <c r="G45" i="7"/>
  <c r="D45" i="7"/>
  <c r="F45" i="7"/>
  <c r="P43" i="7"/>
  <c r="R41" i="7"/>
  <c r="Q41" i="7"/>
  <c r="M43" i="7"/>
  <c r="N43" i="7" s="1"/>
  <c r="N41" i="7"/>
  <c r="H43" i="7"/>
  <c r="J41" i="7"/>
  <c r="I41" i="7"/>
  <c r="D41" i="7"/>
  <c r="C43" i="7"/>
  <c r="G41" i="7"/>
  <c r="L41" i="7"/>
  <c r="O41" i="7"/>
  <c r="K43" i="7"/>
  <c r="E43" i="7"/>
  <c r="F41" i="7"/>
  <c r="L41" i="6"/>
  <c r="K43" i="6"/>
  <c r="G41" i="6"/>
  <c r="D41" i="6"/>
  <c r="C43" i="6"/>
  <c r="D45" i="5"/>
  <c r="G45" i="5"/>
  <c r="L45" i="5"/>
  <c r="O45" i="5"/>
  <c r="R45" i="5"/>
  <c r="Q45" i="5"/>
  <c r="D41" i="5"/>
  <c r="G41" i="5"/>
  <c r="C43" i="5"/>
  <c r="H43" i="5"/>
  <c r="J41" i="5"/>
  <c r="I41" i="5"/>
  <c r="I42" i="5" s="1"/>
  <c r="L41" i="5"/>
  <c r="O41" i="5"/>
  <c r="K43" i="5"/>
  <c r="P43" i="5"/>
  <c r="R41" i="5"/>
  <c r="Q41" i="5"/>
  <c r="N45" i="4"/>
  <c r="G45" i="4"/>
  <c r="D45" i="4"/>
  <c r="F45" i="4"/>
  <c r="R45" i="4"/>
  <c r="Q45" i="4"/>
  <c r="O45" i="4"/>
  <c r="L45" i="4"/>
  <c r="O41" i="4"/>
  <c r="L41" i="4"/>
  <c r="K43" i="4"/>
  <c r="R41" i="4"/>
  <c r="Q41" i="4"/>
  <c r="P43" i="4"/>
  <c r="G41" i="4"/>
  <c r="D41" i="4"/>
  <c r="C43" i="4"/>
  <c r="F41" i="4"/>
  <c r="E43" i="4"/>
  <c r="F43" i="4" s="1"/>
  <c r="J41" i="4"/>
  <c r="I41" i="4"/>
  <c r="H43" i="4"/>
  <c r="N41" i="4"/>
  <c r="M43" i="4"/>
  <c r="N43" i="4" s="1"/>
  <c r="L45" i="3"/>
  <c r="J45" i="3"/>
  <c r="I45" i="3"/>
  <c r="Q45" i="3"/>
  <c r="G45" i="3"/>
  <c r="D45" i="3"/>
  <c r="F45" i="3"/>
  <c r="F41" i="3"/>
  <c r="E43" i="3"/>
  <c r="F43" i="3" s="1"/>
  <c r="L41" i="3"/>
  <c r="K43" i="3"/>
  <c r="J41" i="3"/>
  <c r="I41" i="3"/>
  <c r="H43" i="3"/>
  <c r="Q41" i="3"/>
  <c r="P43" i="3"/>
  <c r="G41" i="3"/>
  <c r="D41" i="3"/>
  <c r="C43" i="3"/>
  <c r="M45" i="6" l="1"/>
  <c r="R45" i="6" s="1"/>
  <c r="R45" i="3"/>
  <c r="O45" i="3"/>
  <c r="N45" i="3"/>
  <c r="L36" i="11"/>
  <c r="N20" i="11"/>
  <c r="M24" i="11"/>
  <c r="N14" i="11"/>
  <c r="N27" i="11"/>
  <c r="N46" i="11"/>
  <c r="N26" i="11"/>
  <c r="N19" i="11"/>
  <c r="N10" i="11"/>
  <c r="N15" i="11"/>
  <c r="N42" i="11"/>
  <c r="N17" i="11"/>
  <c r="N11" i="11"/>
  <c r="N12" i="11"/>
  <c r="N39" i="11"/>
  <c r="N22" i="11"/>
  <c r="N30" i="11"/>
  <c r="N13" i="11"/>
  <c r="N18" i="11"/>
  <c r="N31" i="11"/>
  <c r="N38" i="11"/>
  <c r="N28" i="11"/>
  <c r="O20" i="11"/>
  <c r="N32" i="11"/>
  <c r="R20" i="11"/>
  <c r="AC18" i="11"/>
  <c r="Z23" i="11"/>
  <c r="AD18" i="11"/>
  <c r="AB30" i="6"/>
  <c r="AB24" i="11"/>
  <c r="AK23" i="11"/>
  <c r="AE30" i="6"/>
  <c r="E41" i="11"/>
  <c r="F36" i="11"/>
  <c r="L32" i="11"/>
  <c r="O32" i="11"/>
  <c r="H41" i="11"/>
  <c r="J36" i="11"/>
  <c r="I36" i="11"/>
  <c r="T31" i="6"/>
  <c r="E45" i="11"/>
  <c r="F45" i="11" s="1"/>
  <c r="F45" i="6"/>
  <c r="Q36" i="11"/>
  <c r="M41" i="3"/>
  <c r="O36" i="3"/>
  <c r="R36" i="3"/>
  <c r="N36" i="3"/>
  <c r="F41" i="6"/>
  <c r="E43" i="6"/>
  <c r="P41" i="11"/>
  <c r="Q41" i="6"/>
  <c r="P43" i="6"/>
  <c r="Q43" i="6" s="1"/>
  <c r="G45" i="6"/>
  <c r="D45" i="6"/>
  <c r="D36" i="11"/>
  <c r="C41" i="11"/>
  <c r="G36" i="11"/>
  <c r="P45" i="11"/>
  <c r="Q45" i="6"/>
  <c r="O42" i="11"/>
  <c r="L42" i="11"/>
  <c r="N24" i="6"/>
  <c r="M36" i="6"/>
  <c r="O24" i="6"/>
  <c r="R24" i="6"/>
  <c r="C59" i="7"/>
  <c r="C60" i="7" s="1"/>
  <c r="C61" i="7" s="1"/>
  <c r="G36" i="10"/>
  <c r="C41" i="10"/>
  <c r="C45" i="10"/>
  <c r="G45" i="10" s="1"/>
  <c r="J45" i="6"/>
  <c r="H45" i="11"/>
  <c r="I45" i="6"/>
  <c r="O34" i="11"/>
  <c r="L34" i="11"/>
  <c r="O45" i="6"/>
  <c r="K45" i="11"/>
  <c r="L45" i="6"/>
  <c r="K39" i="10"/>
  <c r="K39" i="11" s="1"/>
  <c r="O34" i="10"/>
  <c r="O42" i="10"/>
  <c r="K46" i="10"/>
  <c r="O43" i="7"/>
  <c r="L43" i="7"/>
  <c r="J43" i="7"/>
  <c r="I43" i="7"/>
  <c r="G43" i="7"/>
  <c r="C63" i="7"/>
  <c r="D43" i="7"/>
  <c r="R43" i="7"/>
  <c r="Q43" i="7"/>
  <c r="E63" i="7"/>
  <c r="F43" i="7"/>
  <c r="D43" i="6"/>
  <c r="G43" i="6"/>
  <c r="L43" i="6"/>
  <c r="R43" i="5"/>
  <c r="Q43" i="5"/>
  <c r="O43" i="5"/>
  <c r="L43" i="5"/>
  <c r="G43" i="5"/>
  <c r="D43" i="5"/>
  <c r="J43" i="5"/>
  <c r="I43" i="5"/>
  <c r="J43" i="4"/>
  <c r="I43" i="4"/>
  <c r="R43" i="4"/>
  <c r="Q43" i="4"/>
  <c r="O43" i="4"/>
  <c r="L43" i="4"/>
  <c r="G43" i="4"/>
  <c r="D43" i="4"/>
  <c r="L43" i="3"/>
  <c r="Q43" i="3"/>
  <c r="G43" i="3"/>
  <c r="D43" i="3"/>
  <c r="J43" i="3"/>
  <c r="I43" i="3"/>
  <c r="J43" i="6" l="1"/>
  <c r="F43" i="6"/>
  <c r="T30" i="6"/>
  <c r="O39" i="11"/>
  <c r="L39" i="11"/>
  <c r="F41" i="11"/>
  <c r="E43" i="11"/>
  <c r="F43" i="11" s="1"/>
  <c r="K41" i="11"/>
  <c r="L45" i="11"/>
  <c r="C43" i="10"/>
  <c r="G41" i="10"/>
  <c r="C45" i="11"/>
  <c r="O46" i="10"/>
  <c r="K46" i="11"/>
  <c r="Q45" i="11"/>
  <c r="O41" i="3"/>
  <c r="N41" i="3"/>
  <c r="M43" i="3"/>
  <c r="R41" i="3"/>
  <c r="I41" i="11"/>
  <c r="H43" i="11"/>
  <c r="J41" i="11"/>
  <c r="AC24" i="11"/>
  <c r="AI23" i="11"/>
  <c r="J45" i="11"/>
  <c r="I45" i="11"/>
  <c r="O36" i="6"/>
  <c r="N36" i="6"/>
  <c r="M41" i="6"/>
  <c r="R36" i="6"/>
  <c r="G41" i="11"/>
  <c r="D41" i="11"/>
  <c r="C43" i="11"/>
  <c r="Q41" i="11"/>
  <c r="P43" i="11"/>
  <c r="M36" i="11"/>
  <c r="N24" i="11"/>
  <c r="R24" i="11"/>
  <c r="O24" i="11"/>
  <c r="M45" i="11"/>
  <c r="N45" i="11" s="1"/>
  <c r="N45" i="6"/>
  <c r="O39" i="10"/>
  <c r="K43" i="10"/>
  <c r="O43" i="10" s="1"/>
  <c r="E68" i="7"/>
  <c r="K63" i="7"/>
  <c r="E66" i="7"/>
  <c r="J45" i="5"/>
  <c r="I45" i="5"/>
  <c r="J45" i="4"/>
  <c r="I45" i="4"/>
  <c r="N36" i="11" l="1"/>
  <c r="R36" i="11"/>
  <c r="O36" i="11"/>
  <c r="R45" i="11"/>
  <c r="L41" i="11"/>
  <c r="K43" i="11"/>
  <c r="M41" i="11"/>
  <c r="N41" i="6"/>
  <c r="M43" i="6"/>
  <c r="O41" i="6"/>
  <c r="R41" i="6"/>
  <c r="O46" i="11"/>
  <c r="L46" i="11"/>
  <c r="Q43" i="11"/>
  <c r="G45" i="11"/>
  <c r="D45" i="11"/>
  <c r="N43" i="3"/>
  <c r="O43" i="3"/>
  <c r="R43" i="3"/>
  <c r="D43" i="11"/>
  <c r="G43" i="11"/>
  <c r="G43" i="10"/>
  <c r="C65" i="7"/>
  <c r="I43" i="11"/>
  <c r="J43" i="11"/>
  <c r="O45" i="11"/>
  <c r="N43" i="6" l="1"/>
  <c r="R43" i="6"/>
  <c r="O43" i="6"/>
  <c r="C68" i="7"/>
  <c r="F68" i="7" s="1"/>
  <c r="C66" i="7"/>
  <c r="M43" i="11"/>
  <c r="N41" i="11"/>
  <c r="R41" i="11"/>
  <c r="O43" i="11"/>
  <c r="L43" i="11"/>
  <c r="O41" i="11"/>
  <c r="N43" i="11" l="1"/>
  <c r="R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D44C0B05-04CA-4B30-BA6D-2A827A423513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<sst xmlns="http://schemas.openxmlformats.org/spreadsheetml/2006/main" count="1469" uniqueCount="594">
  <si>
    <t>Periodo ant</t>
  </si>
  <si>
    <t>Periodo Actual</t>
  </si>
  <si>
    <t>MES INIC</t>
  </si>
  <si>
    <t>MES FIN</t>
  </si>
  <si>
    <t>AÑO</t>
  </si>
  <si>
    <t>TRM</t>
  </si>
  <si>
    <t>ENERO</t>
  </si>
  <si>
    <t>OCTUBRE</t>
  </si>
  <si>
    <t>PPTO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</si>
  <si>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</si>
  <si>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</si>
  <si>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</si>
  <si>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</si>
  <si>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</si>
  <si>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</si>
  <si>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</si>
  <si>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</si>
  <si>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</si>
  <si>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</si>
  <si>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</si>
  <si>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</si>
  <si>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</si>
  <si>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</si>
  <si>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</si>
  <si>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</si>
  <si>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</si>
  <si>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</si>
  <si>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</si>
  <si>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</si>
  <si>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</si>
  <si>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</si>
  <si>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</si>
  <si>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</si>
  <si>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</si>
  <si>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</si>
  <si>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</si>
  <si>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</si>
  <si>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</si>
  <si>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</si>
  <si>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</si>
  <si>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</si>
  <si>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</si>
  <si>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</si>
  <si>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</si>
  <si>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</si>
  <si>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</si>
  <si>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</si>
  <si>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</si>
  <si>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</si>
  <si>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</si>
  <si>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</si>
  <si>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</si>
  <si>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</si>
  <si>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</si>
  <si>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</si>
  <si>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</si>
  <si>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</si>
  <si>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</si>
  <si>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</si>
  <si>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</si>
  <si>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</si>
  <si>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</si>
  <si>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</si>
  <si>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</si>
  <si>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</si>
  <si>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</si>
  <si>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</si>
  <si>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</si>
  <si>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</si>
  <si>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</si>
  <si>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Dev impuestos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</si>
  <si>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</si>
  <si>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</si>
  <si>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</si>
  <si>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</si>
  <si>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</si>
  <si>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</si>
  <si>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4155951500,4155951600,</t>
  </si>
  <si>
    <t>Visual Experience</t>
  </si>
  <si>
    <t>4155951800,4155952000,4135950600,4135950700</t>
  </si>
  <si>
    <t>Olfa Experience</t>
  </si>
  <si>
    <t>4170252500</t>
  </si>
  <si>
    <t>Locutor virtual</t>
  </si>
  <si>
    <t>OK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</si>
  <si>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</si>
  <si>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</si>
  <si>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</si>
  <si>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</si>
  <si>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</si>
  <si>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</si>
  <si>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</si>
  <si>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</si>
  <si>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</si>
  <si>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</si>
  <si>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</si>
  <si>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</si>
  <si>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</si>
  <si>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</si>
  <si>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</si>
  <si>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</si>
  <si>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</si>
  <si>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</si>
  <si>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</si>
  <si>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</si>
  <si>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</si>
  <si>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</si>
  <si>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</si>
  <si>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2025</t>
  </si>
  <si>
    <t>Real 2024</t>
  </si>
  <si>
    <t>real 2025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</si>
  <si>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</si>
  <si>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</si>
  <si>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</si>
  <si>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</si>
  <si>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</si>
  <si>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</si>
  <si>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</si>
  <si>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</si>
  <si>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</si>
  <si>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</si>
  <si>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</si>
  <si>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</si>
  <si>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</si>
  <si>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</si>
  <si>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</si>
  <si>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</si>
  <si>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</si>
  <si>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</si>
  <si>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</si>
  <si>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</si>
  <si>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</si>
  <si>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</si>
  <si>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</si>
  <si>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</si>
  <si>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2025</t>
  </si>
  <si>
    <t>Dólar implicito tomado dolar today</t>
  </si>
  <si>
    <t>TRM 2024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</si>
  <si>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</si>
  <si>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</si>
  <si>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</si>
  <si>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</si>
  <si>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</si>
  <si>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</si>
  <si>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</si>
  <si>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</si>
  <si>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</si>
  <si>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</si>
  <si>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</si>
  <si>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Año 2025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</si>
  <si>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</si>
  <si>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</si>
  <si>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</si>
  <si>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</si>
  <si>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</si>
  <si>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</si>
  <si>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</si>
  <si>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</si>
  <si>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</si>
  <si>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>4155900000,4155900100,4155900500,4155900600,4170250000,4170250100,4170250200,4170251500,4170251600,4170251700,4170251900,4170251800,4170252000,4170253000,4170253500,4170252100,4170253700,4155900700,4170253800,4155900800,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</si>
  <si>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</si>
  <si>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</si>
  <si>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</si>
  <si>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</si>
  <si>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</si>
  <si>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</si>
  <si>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</si>
  <si>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</si>
  <si>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</si>
  <si>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</si>
  <si>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</si>
  <si>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</si>
  <si>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</si>
  <si>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</si>
  <si>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</si>
  <si>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</si>
  <si>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</si>
  <si>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</si>
  <si>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</si>
  <si>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</si>
  <si>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</si>
  <si>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</si>
  <si>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</si>
  <si>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</si>
  <si>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</si>
  <si>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</si>
  <si>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</si>
  <si>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</si>
  <si>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</si>
  <si>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</si>
  <si>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</si>
  <si>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</si>
  <si>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</si>
  <si>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</si>
  <si>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</si>
  <si>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</si>
  <si>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</si>
  <si>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</si>
  <si>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</si>
  <si>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</si>
  <si>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</si>
  <si>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</si>
  <si>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</si>
  <si>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</si>
  <si>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</si>
  <si>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</si>
  <si>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</si>
  <si>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</si>
  <si>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</si>
  <si>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</si>
  <si>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</si>
  <si>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</si>
  <si>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</si>
  <si>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</si>
  <si>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</si>
  <si>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</si>
  <si>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</si>
  <si>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</si>
  <si>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</si>
  <si>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</si>
  <si>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</si>
  <si>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</si>
  <si>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</si>
  <si>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</si>
  <si>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</si>
  <si>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</si>
  <si>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</si>
  <si>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</si>
  <si>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</si>
  <si>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</si>
  <si>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</si>
  <si>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</si>
  <si>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</si>
  <si>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</si>
  <si>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</si>
  <si>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</si>
  <si>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</si>
  <si>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</si>
  <si>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</si>
  <si>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</si>
  <si>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</si>
  <si>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</si>
  <si>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</si>
  <si>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</si>
  <si>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</si>
  <si>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</si>
  <si>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</si>
  <si>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</si>
  <si>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</si>
  <si>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</si>
  <si>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</si>
  <si>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</si>
  <si>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</si>
  <si>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</si>
  <si>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</si>
  <si>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</si>
  <si>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</si>
  <si>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</si>
  <si>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</si>
  <si>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</si>
  <si>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</si>
  <si>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</si>
  <si>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</si>
  <si>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</si>
  <si>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</si>
  <si>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</si>
  <si>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</si>
  <si>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</si>
  <si>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</si>
  <si>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</si>
  <si>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</si>
  <si>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</si>
  <si>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</si>
  <si>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</si>
  <si>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</si>
  <si>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</si>
  <si>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</si>
  <si>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</si>
  <si>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</si>
  <si>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</si>
  <si>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</si>
  <si>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</si>
  <si>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</si>
  <si>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</si>
  <si>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</si>
  <si>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</si>
  <si>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</si>
  <si>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</si>
  <si>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</si>
  <si>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</si>
  <si>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</si>
  <si>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</si>
  <si>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</si>
  <si>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</si>
  <si>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</si>
  <si>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</si>
  <si>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</si>
  <si>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</si>
  <si>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</si>
  <si>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</si>
  <si>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</si>
  <si>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</si>
  <si>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</si>
  <si>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</si>
  <si>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</si>
  <si>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</si>
  <si>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</si>
  <si>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</si>
  <si>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</si>
  <si>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</si>
  <si>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</si>
  <si>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</si>
  <si>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</si>
  <si>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</si>
  <si>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</si>
  <si>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</si>
  <si>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</si>
  <si>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</si>
  <si>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</si>
  <si>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</si>
  <si>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</si>
  <si>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</si>
  <si>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</si>
  <si>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</si>
  <si>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</si>
  <si>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</si>
  <si>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</si>
  <si>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</si>
  <si>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</si>
  <si>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</si>
  <si>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</si>
  <si>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</si>
  <si>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</si>
  <si>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</si>
  <si>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</si>
  <si>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</si>
  <si>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</si>
  <si>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</si>
  <si>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</si>
  <si>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</si>
  <si>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</si>
  <si>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</si>
  <si>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</si>
  <si>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</si>
  <si>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</si>
  <si>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</si>
  <si>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</si>
  <si>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</si>
  <si>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</si>
  <si>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</si>
  <si>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</si>
  <si>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</si>
  <si>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</si>
  <si>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</si>
  <si>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</si>
  <si>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</si>
  <si>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</si>
  <si>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</si>
  <si>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</si>
  <si>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</si>
  <si>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</si>
  <si>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</si>
  <si>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</si>
  <si>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</si>
  <si>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</si>
  <si>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</si>
  <si>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</si>
  <si>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</si>
  <si>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</si>
  <si>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</si>
  <si>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</si>
  <si>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</si>
  <si>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</si>
  <si>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</si>
  <si>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</si>
  <si>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</si>
  <si>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</si>
  <si>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</si>
  <si>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</si>
  <si>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</si>
  <si>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</si>
  <si>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</si>
  <si>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</si>
  <si>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</si>
  <si>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</si>
  <si>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</si>
  <si>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</si>
  <si>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</si>
  <si>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</si>
  <si>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</si>
  <si>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</si>
  <si>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</si>
  <si>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</si>
  <si>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</si>
  <si>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</si>
  <si>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</si>
  <si>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</si>
  <si>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</si>
  <si>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</si>
  <si>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</si>
  <si>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</si>
  <si>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</si>
  <si>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</si>
  <si>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</si>
  <si>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</si>
  <si>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</si>
  <si>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</si>
  <si>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</si>
  <si>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</si>
  <si>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</si>
  <si>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</si>
  <si>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</si>
  <si>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</si>
  <si>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</si>
  <si>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</si>
  <si>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</si>
  <si>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</si>
  <si>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</si>
  <si>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</si>
  <si>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</si>
  <si>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</si>
  <si>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</si>
  <si>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</si>
  <si>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</si>
  <si>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</si>
  <si>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</si>
  <si>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</si>
  <si>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</si>
  <si>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</si>
  <si>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</si>
  <si>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</si>
  <si>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</si>
  <si>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</si>
  <si>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</si>
  <si>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</si>
  <si>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</si>
  <si>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</si>
  <si>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</si>
  <si>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</si>
  <si>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</si>
  <si>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</si>
  <si>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</si>
  <si>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</si>
  <si>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</si>
  <si>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</si>
  <si>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</si>
  <si>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</si>
  <si>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</si>
  <si>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</si>
  <si>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</si>
  <si>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</si>
  <si>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</si>
  <si>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</si>
  <si>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</si>
  <si>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</si>
  <si>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</si>
  <si>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</si>
  <si>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</si>
  <si>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</si>
  <si>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</si>
  <si>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</si>
  <si>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</si>
  <si>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</si>
  <si>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</si>
  <si>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</si>
  <si>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</si>
  <si>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</si>
  <si>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</si>
  <si>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</si>
  <si>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</si>
  <si>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</si>
  <si>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</si>
  <si>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</si>
  <si>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</si>
  <si>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</si>
  <si>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</si>
  <si>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</si>
  <si>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</si>
  <si>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</si>
  <si>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</si>
  <si>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</si>
  <si>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</si>
  <si>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</si>
  <si>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</si>
  <si>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</si>
  <si>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</si>
  <si>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</si>
  <si>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</si>
  <si>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</si>
  <si>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</si>
  <si>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</si>
  <si>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</si>
  <si>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</si>
  <si>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</si>
  <si>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</si>
  <si>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</si>
  <si>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</si>
  <si>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</si>
  <si>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</si>
  <si>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</si>
  <si>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</si>
  <si>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</si>
  <si>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</si>
  <si>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</si>
  <si>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</si>
  <si>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</si>
  <si>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</si>
  <si>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</si>
  <si>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</si>
  <si>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</si>
  <si>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</si>
  <si>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</si>
  <si>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</si>
  <si>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</si>
  <si>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</si>
  <si>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</si>
  <si>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</si>
  <si>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</si>
  <si>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</si>
  <si>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</si>
  <si>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</si>
  <si>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</si>
  <si>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</si>
  <si>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</si>
  <si>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</si>
  <si>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</si>
  <si>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</si>
  <si>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</si>
  <si>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</si>
  <si>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</si>
  <si>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</si>
  <si>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</si>
  <si>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</si>
  <si>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</si>
  <si>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</si>
  <si>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</si>
  <si>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</si>
  <si>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</si>
  <si>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</si>
  <si>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</si>
  <si>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</si>
  <si>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</si>
  <si>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</si>
  <si>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</si>
  <si>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</si>
  <si>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</si>
  <si>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</si>
  <si>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</si>
  <si>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</si>
  <si>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</si>
  <si>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</si>
  <si>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</si>
  <si>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</si>
  <si>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</si>
  <si>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</si>
  <si>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</si>
  <si>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</si>
  <si>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</si>
  <si>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</si>
  <si>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</si>
  <si>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</si>
  <si>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</si>
  <si>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</si>
  <si>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</si>
  <si>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CORTO PLAZO   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</si>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</sst>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-* #,##0.000000000000_-;\-* #,##0.000000000000_-;_-* &quot;-&quot;????????????_-;_-@_-"/>
    <numFmt numFmtId="175" formatCode="_(* #,##0.00000000_);_(* \(#,##0.00000000\);_(* &quot;-&quot;??_);_(@_)"/>
    <numFmt numFmtId="176" formatCode="_-* #,##0_-;\-* #,##0_-;_-* &quot;-&quot;????????_-;_-@_-"/>
    <numFmt numFmtId="177" formatCode="_(* #,##0.00000_);_(* \(#,##0.00000\);_(* &quot;-&quot;????????_);_(@_)"/>
    <numFmt numFmtId="178" formatCode="_-* #,##0.0_-;\-* #,##0.0_-;_-* &quot;-&quot;??????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42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9" fontId="13" fillId="0" borderId="0" xfId="3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6" applyNumberFormat="1" applyFont="1"/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9" fillId="0" borderId="0" xfId="0" applyNumberFormat="1" applyFont="1"/>
    <xf numFmtId="3" fontId="11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7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3" fontId="17" fillId="0" borderId="0" xfId="0" applyNumberFormat="1" applyFont="1"/>
    <xf numFmtId="9" fontId="17" fillId="0" borderId="0" xfId="3" applyFont="1" applyFill="1" applyBorder="1" applyAlignment="1"/>
    <xf numFmtId="171" fontId="17" fillId="0" borderId="0" xfId="3" applyNumberFormat="1" applyFont="1" applyFill="1" applyBorder="1" applyAlignment="1"/>
    <xf numFmtId="3" fontId="9" fillId="0" borderId="0" xfId="0" applyNumberFormat="1" applyFont="1"/>
    <xf numFmtId="9" fontId="3" fillId="0" borderId="0" xfId="3" applyFont="1" applyFill="1" applyBorder="1" applyAlignme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173" fontId="3" fillId="0" borderId="0" xfId="1" applyNumberFormat="1" applyFont="1" applyFill="1" applyBorder="1"/>
    <xf numFmtId="43" fontId="3" fillId="0" borderId="0" xfId="0" applyNumberFormat="1" applyFont="1"/>
    <xf numFmtId="1" fontId="3" fillId="0" borderId="0" xfId="0" applyNumberFormat="1" applyFont="1"/>
    <xf numFmtId="174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5" fontId="19" fillId="0" borderId="0" xfId="1" applyNumberFormat="1" applyFont="1"/>
    <xf numFmtId="176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7" fontId="18" fillId="0" borderId="0" xfId="0" applyNumberFormat="1" applyFont="1"/>
    <xf numFmtId="178" fontId="3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5F56E4D4-F78C-4B85-830F-84EAD0EF5DAC}"/>
    <cellStyle name="Normal" xfId="0" builtinId="0"/>
    <cellStyle name="Normal 2" xfId="6" xr:uid="{2907D102-23AA-40A5-AD56-0E59EFEA1EF9}"/>
    <cellStyle name="Normal 3" xfId="4" xr:uid="{CF35DBB3-25D3-4BAB-AACA-6BAC7A6DDD4B}"/>
    <cellStyle name="Porcentaje" xfId="3" builtinId="5"/>
  </cellStyles>
  <dxfs count="69"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40</xdr:col>
      <xdr:colOff>704575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46302F-AE21-4450-A253-D123885B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3500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26DF76-3D3C-4CD4-A3D9-AEFD1AA20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446F19-18E3-4163-9C44-B1DC35F6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4754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39</xdr:col>
      <xdr:colOff>865925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5B59421-0FF4-4770-B3C2-3BE77774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040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A8FBDB4-CAFD-4CE5-BD52-144C4DDF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9462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8C736FC-7717-4FE3-BCEA-0AA8EDEC9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26192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FC098DE-B350-46A6-8CE5-C2013392C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6727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520F35B-219E-45E7-9935-F4AB6B70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3930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142876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A253527-D03A-485C-B955-B8318742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0850" y="2228851"/>
          <a:ext cx="4257676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F22A8C3-8241-4975-B29D-8D369FE4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2375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633607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36FE43F-C1D7-47B1-B8FA-0C1E5214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7650" y="2390775"/>
          <a:ext cx="3681607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DFD6991-4B7D-4996-801D-5B2DAD24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8545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418278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0ECC03A-3466-4327-AAD5-0A23F8EE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95399" y="11153776"/>
          <a:ext cx="3180529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B14F725-3557-44A8-AD54-514169DED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1017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44</xdr:col>
      <xdr:colOff>724298</xdr:colOff>
      <xdr:row>71</xdr:row>
      <xdr:rowOff>148829</xdr:rowOff>
    </xdr:from>
    <xdr:to>
      <xdr:col>48</xdr:col>
      <xdr:colOff>590361</xdr:colOff>
      <xdr:row>79</xdr:row>
      <xdr:rowOff>229273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B66ABAD-ACB2-45DA-805C-FD2834B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23948" y="12921854"/>
          <a:ext cx="2914063" cy="160444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257968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011158F-4FE7-4741-87A2-01BAB4368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39125" y="13087963"/>
          <a:ext cx="2876493" cy="1791800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29768</xdr:colOff>
      <xdr:row>73</xdr:row>
      <xdr:rowOff>101674</xdr:rowOff>
    </xdr:from>
    <xdr:to>
      <xdr:col>58</xdr:col>
      <xdr:colOff>198004</xdr:colOff>
      <xdr:row>81</xdr:row>
      <xdr:rowOff>98802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AA3B741B-CD6B-43C3-BC25-E887C32C1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49418" y="13255699"/>
          <a:ext cx="3216236" cy="1625903"/>
        </a:xfrm>
        <a:prstGeom prst="rect">
          <a:avLst/>
        </a:prstGeom>
      </xdr:spPr>
    </xdr:pic>
    <xdr:clientData/>
  </xdr:twoCellAnchor>
  <xdr:twoCellAnchor editAs="oneCell">
    <xdr:from>
      <xdr:col>58</xdr:col>
      <xdr:colOff>49611</xdr:colOff>
      <xdr:row>73</xdr:row>
      <xdr:rowOff>79374</xdr:rowOff>
    </xdr:from>
    <xdr:to>
      <xdr:col>62</xdr:col>
      <xdr:colOff>40017</xdr:colOff>
      <xdr:row>82</xdr:row>
      <xdr:rowOff>35230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04F7B3D-7084-4BC6-971C-56F472F2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017261" y="13233399"/>
          <a:ext cx="3038406" cy="1775131"/>
        </a:xfrm>
        <a:prstGeom prst="rect">
          <a:avLst/>
        </a:prstGeom>
      </xdr:spPr>
    </xdr:pic>
    <xdr:clientData/>
  </xdr:twoCellAnchor>
  <xdr:twoCellAnchor editAs="oneCell">
    <xdr:from>
      <xdr:col>45</xdr:col>
      <xdr:colOff>529344</xdr:colOff>
      <xdr:row>80</xdr:row>
      <xdr:rowOff>138906</xdr:rowOff>
    </xdr:from>
    <xdr:to>
      <xdr:col>49</xdr:col>
      <xdr:colOff>272740</xdr:colOff>
      <xdr:row>90</xdr:row>
      <xdr:rowOff>79376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27943BB-BA06-4305-9618-E61451BD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90994" y="14731206"/>
          <a:ext cx="2791396" cy="1616870"/>
        </a:xfrm>
        <a:prstGeom prst="rect">
          <a:avLst/>
        </a:prstGeom>
      </xdr:spPr>
    </xdr:pic>
    <xdr:clientData/>
  </xdr:twoCellAnchor>
  <xdr:twoCellAnchor editAs="oneCell">
    <xdr:from>
      <xdr:col>50</xdr:col>
      <xdr:colOff>99219</xdr:colOff>
      <xdr:row>83</xdr:row>
      <xdr:rowOff>16642</xdr:rowOff>
    </xdr:from>
    <xdr:to>
      <xdr:col>53</xdr:col>
      <xdr:colOff>724297</xdr:colOff>
      <xdr:row>93</xdr:row>
      <xdr:rowOff>113800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F82E390-C513-405C-9878-8746F97A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70869" y="15151867"/>
          <a:ext cx="2911078" cy="1716408"/>
        </a:xfrm>
        <a:prstGeom prst="rect">
          <a:avLst/>
        </a:prstGeom>
      </xdr:spPr>
    </xdr:pic>
    <xdr:clientData/>
  </xdr:twoCellAnchor>
  <xdr:twoCellAnchor editAs="oneCell">
    <xdr:from>
      <xdr:col>54</xdr:col>
      <xdr:colOff>218282</xdr:colOff>
      <xdr:row>83</xdr:row>
      <xdr:rowOff>47028</xdr:rowOff>
    </xdr:from>
    <xdr:to>
      <xdr:col>58</xdr:col>
      <xdr:colOff>426641</xdr:colOff>
      <xdr:row>94</xdr:row>
      <xdr:rowOff>42662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2C5CE6A-AE26-4489-8E12-5F81CD18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37932" y="15182253"/>
          <a:ext cx="3256359" cy="1805384"/>
        </a:xfrm>
        <a:prstGeom prst="rect">
          <a:avLst/>
        </a:prstGeom>
      </xdr:spPr>
    </xdr:pic>
    <xdr:clientData/>
  </xdr:twoCellAnchor>
  <xdr:twoCellAnchor editAs="oneCell">
    <xdr:from>
      <xdr:col>59</xdr:col>
      <xdr:colOff>69453</xdr:colOff>
      <xdr:row>82</xdr:row>
      <xdr:rowOff>109140</xdr:rowOff>
    </xdr:from>
    <xdr:to>
      <xdr:col>62</xdr:col>
      <xdr:colOff>701309</xdr:colOff>
      <xdr:row>98</xdr:row>
      <xdr:rowOff>29836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824B997-9EBF-4FBF-AD48-A0597A1C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99103" y="15082440"/>
          <a:ext cx="2917856" cy="2654371"/>
        </a:xfrm>
        <a:prstGeom prst="rect">
          <a:avLst/>
        </a:prstGeom>
      </xdr:spPr>
    </xdr:pic>
    <xdr:clientData/>
  </xdr:twoCellAnchor>
  <xdr:twoCellAnchor editAs="oneCell">
    <xdr:from>
      <xdr:col>45</xdr:col>
      <xdr:colOff>550374</xdr:colOff>
      <xdr:row>94</xdr:row>
      <xdr:rowOff>119063</xdr:rowOff>
    </xdr:from>
    <xdr:to>
      <xdr:col>53</xdr:col>
      <xdr:colOff>236911</xdr:colOff>
      <xdr:row>116</xdr:row>
      <xdr:rowOff>148405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2E28257-40E6-4CC7-8AF2-53FF0A71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612024" y="17064038"/>
          <a:ext cx="5782537" cy="3934592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297656</xdr:colOff>
      <xdr:row>96</xdr:row>
      <xdr:rowOff>19845</xdr:rowOff>
    </xdr:from>
    <xdr:to>
      <xdr:col>62</xdr:col>
      <xdr:colOff>740953</xdr:colOff>
      <xdr:row>119</xdr:row>
      <xdr:rowOff>7001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B5D960C-F52E-48B4-9729-6B4E44D9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217306" y="17345820"/>
          <a:ext cx="6539297" cy="399718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123</xdr:row>
      <xdr:rowOff>89300</xdr:rowOff>
    </xdr:from>
    <xdr:to>
      <xdr:col>56</xdr:col>
      <xdr:colOff>571852</xdr:colOff>
      <xdr:row>135</xdr:row>
      <xdr:rowOff>51461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7AB99A0-924F-4B7A-923F-5463762EC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823650" y="22073000"/>
          <a:ext cx="8191852" cy="190526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137</xdr:row>
      <xdr:rowOff>0</xdr:rowOff>
    </xdr:from>
    <xdr:to>
      <xdr:col>54</xdr:col>
      <xdr:colOff>470819</xdr:colOff>
      <xdr:row>164</xdr:row>
      <xdr:rowOff>19651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D90980B5-885C-40BD-8B54-BD54A0C6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6823650" y="24250650"/>
          <a:ext cx="6566819" cy="4391626"/>
        </a:xfrm>
        <a:prstGeom prst="rect">
          <a:avLst/>
        </a:prstGeom>
      </xdr:spPr>
    </xdr:pic>
    <xdr:clientData/>
  </xdr:twoCellAnchor>
  <xdr:twoCellAnchor editAs="oneCell">
    <xdr:from>
      <xdr:col>46</xdr:col>
      <xdr:colOff>297658</xdr:colOff>
      <xdr:row>167</xdr:row>
      <xdr:rowOff>138908</xdr:rowOff>
    </xdr:from>
    <xdr:to>
      <xdr:col>53</xdr:col>
      <xdr:colOff>635423</xdr:colOff>
      <xdr:row>185</xdr:row>
      <xdr:rowOff>36661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BD784BE1-6331-4701-A5C4-599052AC7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121308" y="29247308"/>
          <a:ext cx="5671765" cy="2812403"/>
        </a:xfrm>
        <a:prstGeom prst="rect">
          <a:avLst/>
        </a:prstGeom>
      </xdr:spPr>
    </xdr:pic>
    <xdr:clientData/>
  </xdr:twoCellAnchor>
  <xdr:twoCellAnchor editAs="oneCell">
    <xdr:from>
      <xdr:col>59</xdr:col>
      <xdr:colOff>161513</xdr:colOff>
      <xdr:row>143</xdr:row>
      <xdr:rowOff>89297</xdr:rowOff>
    </xdr:from>
    <xdr:to>
      <xdr:col>64</xdr:col>
      <xdr:colOff>149163</xdr:colOff>
      <xdr:row>162</xdr:row>
      <xdr:rowOff>9922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C99892A-F016-4CF1-A644-ED3895DB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891163" y="25311497"/>
          <a:ext cx="3797650" cy="2997200"/>
        </a:xfrm>
        <a:prstGeom prst="rect">
          <a:avLst/>
        </a:prstGeom>
      </xdr:spPr>
    </xdr:pic>
    <xdr:clientData/>
  </xdr:twoCellAnchor>
  <xdr:twoCellAnchor editAs="oneCell">
    <xdr:from>
      <xdr:col>54</xdr:col>
      <xdr:colOff>388192</xdr:colOff>
      <xdr:row>148</xdr:row>
      <xdr:rowOff>99219</xdr:rowOff>
    </xdr:from>
    <xdr:to>
      <xdr:col>57</xdr:col>
      <xdr:colOff>105223</xdr:colOff>
      <xdr:row>165</xdr:row>
      <xdr:rowOff>138906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D263DAC-F05B-4DC4-AE7E-DB6AF7D1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307842" y="26131044"/>
          <a:ext cx="2003031" cy="2792412"/>
        </a:xfrm>
        <a:prstGeom prst="rect">
          <a:avLst/>
        </a:prstGeom>
      </xdr:spPr>
    </xdr:pic>
    <xdr:clientData/>
  </xdr:twoCellAnchor>
  <xdr:twoCellAnchor editAs="oneCell">
    <xdr:from>
      <xdr:col>55</xdr:col>
      <xdr:colOff>9921</xdr:colOff>
      <xdr:row>170</xdr:row>
      <xdr:rowOff>69452</xdr:rowOff>
    </xdr:from>
    <xdr:to>
      <xdr:col>64</xdr:col>
      <xdr:colOff>12072</xdr:colOff>
      <xdr:row>184</xdr:row>
      <xdr:rowOff>9429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7E4D2A51-438A-4EA7-AEF4-76EC27CB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691571" y="29663627"/>
          <a:ext cx="6860151" cy="22069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%20(x86)\Vision%20Tecnologica\UnoBiable\UnoBiable.xla" TargetMode="External"/><Relationship Id="rId1" Type="http://schemas.openxmlformats.org/officeDocument/2006/relationships/externalLinkPath" Target="/Program%20Files%20(x86)/Vision%20Tecnologica/UnoBiable/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ings"/>
      <sheetName val="UnoBiable"/>
    </sheetNames>
    <definedNames>
      <definedName name="Consulta"/>
    </defined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08A5A032-AD95-4D1C-A551-1A4D3BC6FBE7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39CAB640-7A90-47F4-9BE0-ED6E0DBBA6E0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DC6369F5-57B3-47B3-8D82-C883841B2B4B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986C3F-6630-4735-AE5D-4F649142EF59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5">
      <pivotArea dataOnly="0" labelOnly="1" grandRow="1" outline="0" fieldPosition="0"/>
    </format>
    <format dxfId="6">
      <pivotArea type="topRight" dataOnly="0" labelOnly="1" outline="0" fieldPosition="0"/>
    </format>
    <format dxfId="7">
      <pivotArea type="all" dataOnly="0" outline="0" fieldPosition="0"/>
    </format>
    <format dxfId="8">
      <pivotArea outline="0" collapsedLevelsAreSubtotals="1" fieldPosition="0"/>
    </format>
    <format dxfId="9">
      <pivotArea type="origin" dataOnly="0" labelOnly="1" outline="0" fieldPosition="0"/>
    </format>
    <format dxfId="10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09E52D-CBF1-4610-A340-1AD2E660FD5D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4">
      <pivotArea outline="0" collapsedLevelsAreSubtotals="1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9">
      <pivotArea field="32" type="button" dataOnly="0" labelOnly="1" outline="0" axis="axisRow" fieldPosition="1"/>
    </format>
    <format dxfId="20">
      <pivotArea dataOnly="0" labelOnly="1" outline="0" fieldPosition="0">
        <references count="1">
          <reference field="31" count="0"/>
        </references>
      </pivotArea>
    </format>
    <format dxfId="21">
      <pivotArea dataOnly="0" labelOnly="1" grandRow="1" outline="0" fieldPosition="0"/>
    </format>
    <format dxfId="22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3">
      <pivotArea type="topRight" dataOnly="0" labelOnly="1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8">
      <pivotArea field="32" type="button" dataOnly="0" labelOnly="1" outline="0" axis="axisRow" fieldPosition="1"/>
    </format>
    <format dxfId="29">
      <pivotArea dataOnly="0" labelOnly="1" outline="0" fieldPosition="0">
        <references count="1">
          <reference field="31" count="0"/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348DFD-91C0-453C-BFF3-B990870D7300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33">
      <pivotArea outline="0" collapsedLevelsAreSubtotals="1" fieldPosition="0"/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9">
      <pivotArea dataOnly="0" labelOnly="1" outline="0" fieldPosition="0">
        <references count="1">
          <reference field="5" count="0"/>
        </references>
      </pivotArea>
    </format>
    <format dxfId="40">
      <pivotArea dataOnly="0" labelOnly="1" grandRow="1" outline="0" fieldPosition="0"/>
    </format>
    <format dxfId="41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4">
      <pivotArea type="topRight" dataOnly="0" labelOnly="1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50">
      <pivotArea dataOnly="0" labelOnly="1" outline="0" fieldPosition="0">
        <references count="1">
          <reference field="5" count="0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2D83-BD43-4095-9C68-B716A5DD41AE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202401</v>
      </c>
      <c r="B3" s="3" t="str">
        <f>VLOOKUP(D3,B22:D33,3,0)</f>
        <v>202501</v>
      </c>
      <c r="C3" s="3"/>
      <c r="D3" s="4" t="s">
        <v>6</v>
      </c>
      <c r="E3" s="4" t="s">
        <v>7</v>
      </c>
      <c r="F3" s="5">
        <v>2025</v>
      </c>
      <c r="G3" s="6">
        <v>4192.57</v>
      </c>
    </row>
    <row r="4" spans="1:7" x14ac:dyDescent="0.2">
      <c r="A4" s="2" t="str">
        <f>VLOOKUP(E4,B22:E33,4,0)</f>
        <v>202410</v>
      </c>
      <c r="B4" s="3" t="str">
        <f>VLOOKUP(E3,B22:D33,3,0)</f>
        <v>202510</v>
      </c>
      <c r="C4" s="3"/>
      <c r="D4" s="7" t="str">
        <f>+D3</f>
        <v>ENERO</v>
      </c>
      <c r="E4" s="7" t="str">
        <f>+E3</f>
        <v>OCTUBRE</v>
      </c>
      <c r="F4" s="5">
        <v>2024</v>
      </c>
      <c r="G4" s="8">
        <v>3842.3</v>
      </c>
    </row>
    <row r="5" spans="1:7" x14ac:dyDescent="0.2">
      <c r="A5" s="2"/>
      <c r="B5" s="3">
        <f>+B4-1</f>
        <v>202509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202501</v>
      </c>
      <c r="E22" s="1" t="str">
        <f t="shared" ref="E22:E30" si="1">$F$4&amp;0&amp;C22</f>
        <v>202401</v>
      </c>
    </row>
    <row r="23" spans="2:5" x14ac:dyDescent="0.2">
      <c r="B23" s="1" t="s">
        <v>9</v>
      </c>
      <c r="C23" s="1">
        <v>2</v>
      </c>
      <c r="D23" s="1" t="str">
        <f t="shared" si="0"/>
        <v>202502</v>
      </c>
      <c r="E23" s="1" t="str">
        <f t="shared" si="1"/>
        <v>202402</v>
      </c>
    </row>
    <row r="24" spans="2:5" x14ac:dyDescent="0.2">
      <c r="B24" s="1" t="s">
        <v>10</v>
      </c>
      <c r="C24" s="1">
        <v>3</v>
      </c>
      <c r="D24" s="1" t="str">
        <f t="shared" si="0"/>
        <v>202503</v>
      </c>
      <c r="E24" s="1" t="str">
        <f t="shared" si="1"/>
        <v>202403</v>
      </c>
    </row>
    <row r="25" spans="2:5" x14ac:dyDescent="0.2">
      <c r="B25" s="1" t="s">
        <v>11</v>
      </c>
      <c r="C25" s="1">
        <v>4</v>
      </c>
      <c r="D25" s="1" t="str">
        <f t="shared" si="0"/>
        <v>202504</v>
      </c>
      <c r="E25" s="1" t="str">
        <f t="shared" si="1"/>
        <v>202404</v>
      </c>
    </row>
    <row r="26" spans="2:5" x14ac:dyDescent="0.2">
      <c r="B26" s="1" t="s">
        <v>12</v>
      </c>
      <c r="C26" s="1">
        <v>5</v>
      </c>
      <c r="D26" s="1" t="str">
        <f t="shared" si="0"/>
        <v>202505</v>
      </c>
      <c r="E26" s="1" t="str">
        <f t="shared" si="1"/>
        <v>202405</v>
      </c>
    </row>
    <row r="27" spans="2:5" x14ac:dyDescent="0.2">
      <c r="B27" s="1" t="s">
        <v>13</v>
      </c>
      <c r="C27" s="1">
        <v>6</v>
      </c>
      <c r="D27" s="1" t="str">
        <f t="shared" si="0"/>
        <v>202506</v>
      </c>
      <c r="E27" s="1" t="str">
        <f t="shared" si="1"/>
        <v>202406</v>
      </c>
    </row>
    <row r="28" spans="2:5" x14ac:dyDescent="0.2">
      <c r="B28" s="1" t="s">
        <v>14</v>
      </c>
      <c r="C28" s="1">
        <v>7</v>
      </c>
      <c r="D28" s="1" t="str">
        <f t="shared" si="0"/>
        <v>202507</v>
      </c>
      <c r="E28" s="1" t="str">
        <f t="shared" si="1"/>
        <v>202407</v>
      </c>
    </row>
    <row r="29" spans="2:5" x14ac:dyDescent="0.2">
      <c r="B29" s="1" t="s">
        <v>15</v>
      </c>
      <c r="C29" s="1">
        <v>8</v>
      </c>
      <c r="D29" s="1" t="str">
        <f t="shared" si="0"/>
        <v>202508</v>
      </c>
      <c r="E29" s="1" t="str">
        <f t="shared" si="1"/>
        <v>202408</v>
      </c>
    </row>
    <row r="30" spans="2:5" x14ac:dyDescent="0.2">
      <c r="B30" s="1" t="s">
        <v>16</v>
      </c>
      <c r="C30" s="1">
        <v>9</v>
      </c>
      <c r="D30" s="1" t="str">
        <f t="shared" si="0"/>
        <v>202509</v>
      </c>
      <c r="E30" s="1" t="str">
        <f t="shared" si="1"/>
        <v>202409</v>
      </c>
    </row>
    <row r="31" spans="2:5" x14ac:dyDescent="0.2">
      <c r="B31" s="1" t="s">
        <v>7</v>
      </c>
      <c r="C31" s="1">
        <v>10</v>
      </c>
      <c r="D31" s="1" t="str">
        <f>$F$3&amp;C31</f>
        <v>202510</v>
      </c>
      <c r="E31" s="1" t="str">
        <f>$F$4&amp;C31</f>
        <v>202410</v>
      </c>
    </row>
    <row r="32" spans="2:5" x14ac:dyDescent="0.2">
      <c r="B32" s="1" t="s">
        <v>17</v>
      </c>
      <c r="C32" s="1">
        <v>11</v>
      </c>
      <c r="D32" s="1" t="str">
        <f>$F$3&amp;C32</f>
        <v>202511</v>
      </c>
      <c r="E32" s="1" t="str">
        <f>$F$4&amp;C32</f>
        <v>202411</v>
      </c>
    </row>
    <row r="33" spans="2:5" x14ac:dyDescent="0.2">
      <c r="B33" s="1" t="s">
        <v>18</v>
      </c>
      <c r="C33" s="1">
        <v>12</v>
      </c>
      <c r="D33" s="1" t="str">
        <f>$F$3&amp;C33</f>
        <v>202512</v>
      </c>
      <c r="E33" s="1" t="str">
        <f>$F$4&amp;C33</f>
        <v>202412</v>
      </c>
    </row>
  </sheetData>
  <dataValidations count="1">
    <dataValidation type="list" allowBlank="1" showInputMessage="1" showErrorMessage="1" sqref="D3:E3" xr:uid="{7D5DB8AD-CAE4-4BCA-A6D9-3C2117E066B2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58663-8E99-4A84-8A59-E8E534A87D6C}">
  <dimension ref="A1:AK46"/>
  <sheetViews>
    <sheetView showGridLines="0" topLeftCell="AC6" workbookViewId="0">
      <selection activeCell="AX43" sqref="AX43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153</v>
      </c>
      <c r="T3" s="122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93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OCTUBRE de 2025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93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154</v>
      </c>
      <c r="E7" s="61"/>
      <c r="F7" s="61" t="s">
        <v>155</v>
      </c>
      <c r="G7" s="62" t="s">
        <v>24</v>
      </c>
      <c r="H7" s="61"/>
      <c r="I7" s="61" t="s">
        <v>156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157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2203.7684211720134</v>
      </c>
      <c r="X8" s="32">
        <f>'COLOMBIA USD'!Y10+'EL SALVADOR USD'!X10+'VENEZUELA USD'!X9+'PANAMA USD'!W10</f>
        <v>64819.023881529291</v>
      </c>
      <c r="Y8" s="32">
        <f>'COLOMBIA USD'!X10+'EL SALVADOR USD'!W10+'VENEZUELA USD'!Y9+'PANAMA USD'!V10</f>
        <v>7963.1572168145067</v>
      </c>
      <c r="Z8" s="32">
        <f>'COLOMBIA USD'!Z10+'EL SALVADOR USD'!Y10+'VENEZUELA USD'!Z9+'PANAMA USD'!X10</f>
        <v>36256.618764247563</v>
      </c>
      <c r="AA8" s="32">
        <f>'COLOMBIA USD'!AD10+'EL SALVADOR USD'!AC10+'VENEZUELA USD'!AA9+'PANAMA USD'!AB10</f>
        <v>34385.111005647661</v>
      </c>
      <c r="AB8" s="32">
        <f>'COLOMBIA USD'!AA10+'EL SALVADOR USD'!Z10+'VENEZUELA USD'!AB9+'PANAMA USD'!Y10</f>
        <v>51620.471080268188</v>
      </c>
      <c r="AC8" s="63">
        <f>+AB8-Z8</f>
        <v>15363.852316020624</v>
      </c>
      <c r="AD8" s="68">
        <f>IF(Z8=0,"",(AB8-Z8)/ABS(Z8)+1)</f>
        <v>1.4237530370915565</v>
      </c>
      <c r="AE8" s="68">
        <f>IF(X8=0,"",(AB8-AA8)/ABS(AA8))</f>
        <v>0.50124485774641425</v>
      </c>
      <c r="AF8" s="55"/>
      <c r="AG8" s="55">
        <f>+'COLOMBIA USD'!Y10+'EL SALVADOR USD'!X10+'VENEZUELA USD'!X9+'PANAMA USD'!W10</f>
        <v>64819.023881529291</v>
      </c>
      <c r="AH8" s="55">
        <f>+'COLOMBIA USD'!X10+'EL SALVADOR USD'!W10+'VENEZUELA USD'!Y9+'PANAMA USD'!V10</f>
        <v>7963.1572168145067</v>
      </c>
      <c r="AI8" s="55">
        <f>+'COLOMBIA USD'!Z10+'EL SALVADOR USD'!Y10+'VENEZUELA USD'!Z9+'PANAMA USD'!X10</f>
        <v>36256.618764247563</v>
      </c>
      <c r="AJ8" s="55">
        <f>+'COLOMBIA USD'!AD10+'EL SALVADOR USD'!AC10+'VENEZUELA USD'!AA9+'PANAMA USD'!AB10</f>
        <v>34385.111005647661</v>
      </c>
      <c r="AK8" s="55">
        <f>+'COLOMBIA USD'!AA10+'EL SALVADOR USD'!Z10+'VENEZUELA USD'!AB9+'PANAMA USD'!Y10</f>
        <v>51620.471080268188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288568.56012637424</v>
      </c>
      <c r="X9" s="32">
        <f>'COLOMBIA USD'!Y11+'EL SALVADOR USD'!X11+'VENEZUELA USD'!X10+'PANAMA USD'!W11</f>
        <v>341994.01128407242</v>
      </c>
      <c r="Y9" s="32">
        <f>'COLOMBIA USD'!X11+'EL SALVADOR USD'!W11+'VENEZUELA USD'!Y10+'PANAMA USD'!V11</f>
        <v>309600.83560297539</v>
      </c>
      <c r="Z9" s="32">
        <f>'COLOMBIA USD'!Z11+'EL SALVADOR USD'!Y11+'VENEZUELA USD'!Z10+'PANAMA USD'!X11</f>
        <v>2630856.9551125844</v>
      </c>
      <c r="AA9" s="32">
        <f>'COLOMBIA USD'!AD11+'EL SALVADOR USD'!AC11+'VENEZUELA USD'!AA10+'PANAMA USD'!AB11</f>
        <v>3075756.9047915139</v>
      </c>
      <c r="AB9" s="32">
        <f>'COLOMBIA USD'!AA11+'EL SALVADOR USD'!Z11+'VENEZUELA USD'!AB10+'PANAMA USD'!Y11</f>
        <v>2843764.2846308565</v>
      </c>
      <c r="AC9" s="63">
        <f>+AB9-Z9</f>
        <v>212907.32951827208</v>
      </c>
      <c r="AD9" s="68">
        <f>IF(Z9=0,"",(AB9-Z9)/ABS(Z9)+1)</f>
        <v>1.0809269881072501</v>
      </c>
      <c r="AE9" s="68">
        <f>IF(AA9=0,"",(AB9-AA9)/ABS(AA9))</f>
        <v>-7.5426188525904575E-2</v>
      </c>
      <c r="AF9" s="55"/>
      <c r="AG9" s="55">
        <f>+'COLOMBIA USD'!Y11+'EL SALVADOR USD'!X11+'VENEZUELA USD'!X10+'PANAMA USD'!W11</f>
        <v>341994.01128407242</v>
      </c>
      <c r="AH9" s="55">
        <f>+'COLOMBIA USD'!X11+'EL SALVADOR USD'!W11+'VENEZUELA USD'!Y10+'PANAMA USD'!V11</f>
        <v>309600.83560297539</v>
      </c>
      <c r="AI9" s="55">
        <f>+'COLOMBIA USD'!AB11+'EL SALVADOR USD'!AA11+'VENEZUELA USD'!AC10+'PANAMA USD'!Z11</f>
        <v>182498.22422341511</v>
      </c>
      <c r="AK9" s="55">
        <f>+'COLOMBIA USD'!AA11+'EL SALVADOR USD'!Z11+'VENEZUELA USD'!AB10+'PANAMA USD'!Y11</f>
        <v>2843764.2846308565</v>
      </c>
    </row>
    <row r="10" spans="1:37" x14ac:dyDescent="0.2">
      <c r="B10" s="3" t="s">
        <v>65</v>
      </c>
      <c r="C10" s="32">
        <f>+'COLOMBIA USD'!C10+'EL SALVADOR USD'!C10+'VENEZUELA USD'!C10+'PANAMA USD'!C10</f>
        <v>90267.516870243737</v>
      </c>
      <c r="D10" s="34">
        <f t="shared" ref="D10:D15" si="0">+C10/$C$20</f>
        <v>0.38323615367900993</v>
      </c>
      <c r="E10" s="32">
        <f>+'COLOMBIA USD'!E10+'EL SALVADOR USD'!E10+'VENEZUELA USD'!E10+'PANAMA USD'!E10</f>
        <v>98902.476512458437</v>
      </c>
      <c r="F10" s="34">
        <f t="shared" ref="F10:F20" si="1">+E10/$E$20</f>
        <v>0.43203271800728055</v>
      </c>
      <c r="G10" s="34">
        <f t="shared" ref="G10:G20" si="2">IF(C10=0,"",(E10-C10)/ABS(C10)+1)</f>
        <v>1.0956596563371421</v>
      </c>
      <c r="H10" s="32">
        <f>+'COLOMBIA USD'!H10+'EL SALVADOR USD'!H10+'VENEZUELA USD'!H10+'PANAMA USD'!H10</f>
        <v>114790.04745905423</v>
      </c>
      <c r="I10" s="34">
        <f t="shared" ref="I10:I18" si="3">+H10/$H$20</f>
        <v>0.44014452823535982</v>
      </c>
      <c r="J10" s="34">
        <f t="shared" ref="J10:J20" si="4">IF(H10=0,"",(E10-H10)/ABS(H10))</f>
        <v>-0.13840547415282592</v>
      </c>
      <c r="K10" s="32">
        <f>+'COLOMBIA USD'!K10+'EL SALVADOR USD'!K10+'VENEZUELA USD'!K10+'PANAMA USD'!K10</f>
        <v>918202.09099157352</v>
      </c>
      <c r="L10" s="34">
        <f t="shared" ref="L10:L46" si="5">+K10/$K$20</f>
        <v>0.39230771580463403</v>
      </c>
      <c r="M10" s="32">
        <f>+'COLOMBIA USD'!M10+'EL SALVADOR USD'!M10+'VENEZUELA USD'!M10+'PANAMA USD'!M10</f>
        <v>1010652.8619058612</v>
      </c>
      <c r="N10" s="34">
        <f t="shared" ref="N10:N20" si="6">+M10/$M$20</f>
        <v>0.43415213491317184</v>
      </c>
      <c r="O10" s="34">
        <f t="shared" ref="O10:O18" si="7">IF(K10=0,"",(M10-K10)/ABS(K10)+1)</f>
        <v>1.1006867353290923</v>
      </c>
      <c r="P10" s="32">
        <f>+'COLOMBIA USD'!P10+'EL SALVADOR USD'!P10+'VENEZUELA USD'!P10+'PANAMA USD'!P10</f>
        <v>1097535.2766843303</v>
      </c>
      <c r="Q10" s="34">
        <f t="shared" ref="Q10:Q46" si="8">+P10/$P$20</f>
        <v>0.43036918056370255</v>
      </c>
      <c r="R10" s="34">
        <f t="shared" ref="R10:R18" si="9">IF(P10=0,"",(M10-P10)/ABS(P10))</f>
        <v>-7.9161386995178995E-2</v>
      </c>
      <c r="V10" s="3" t="s">
        <v>33</v>
      </c>
      <c r="W10" s="32">
        <f>'COLOMBIA USD'!W13+'EL SALVADOR USD'!V13+'VENEZUELA USD'!W11+'PANAMA USD'!U13</f>
        <v>134488.56795374348</v>
      </c>
      <c r="X10" s="32">
        <f>'COLOMBIA USD'!Y13+'EL SALVADOR USD'!X13+'VENEZUELA USD'!X11+'PANAMA USD'!W13</f>
        <v>45302.411055877987</v>
      </c>
      <c r="Y10" s="32">
        <f>'COLOMBIA USD'!X13+'EL SALVADOR USD'!W13+'VENEZUELA USD'!Y11+'PANAMA USD'!V13</f>
        <v>168755.11734569582</v>
      </c>
      <c r="Z10" s="32">
        <f>'COLOMBIA USD'!Z13+'EL SALVADOR USD'!Y13+'VENEZUELA USD'!Z11+'PANAMA USD'!X13</f>
        <v>591556.22078926244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602070.87219378585</v>
      </c>
      <c r="AC10" s="63">
        <f>+Z10-AB10</f>
        <v>-10514.651404523407</v>
      </c>
      <c r="AD10" s="68">
        <f>IF(Z10=0,"",(AB10-Z10)/ABS(Z10)+1)</f>
        <v>1.0177745597713344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45302.411055877987</v>
      </c>
      <c r="AH10" s="55">
        <f>+'COLOMBIA USD'!X13+'EL SALVADOR USD'!W13+'VENEZUELA USD'!Y11+'PANAMA USD'!V13</f>
        <v>168755.11734569582</v>
      </c>
      <c r="AI10" s="55">
        <f>+'COLOMBIA USD'!AB13+'EL SALVADOR USD'!AA13+'VENEZUELA USD'!AC11+'PANAMA USD'!Z13</f>
        <v>-28665.10986841769</v>
      </c>
      <c r="AK10" s="55">
        <f>+'COLOMBIA USD'!AA13+'EL SALVADOR USD'!Z13+'VENEZUELA USD'!AB11+'PANAMA USD'!Y13</f>
        <v>602070.87219378585</v>
      </c>
    </row>
    <row r="11" spans="1:37" x14ac:dyDescent="0.2">
      <c r="B11" s="3" t="s">
        <v>67</v>
      </c>
      <c r="C11" s="32">
        <f>+'COLOMBIA USD'!C11+'EL SALVADOR USD'!C11+'VENEZUELA USD'!C11+'PANAMA USD'!C11</f>
        <v>14656.511471765734</v>
      </c>
      <c r="D11" s="34">
        <f t="shared" si="0"/>
        <v>6.222509799251353E-2</v>
      </c>
      <c r="E11" s="32">
        <f>+'COLOMBIA USD'!E11+'EL SALVADOR USD'!E11+'VENEZUELA USD'!E11+'PANAMA USD'!E11</f>
        <v>13254.216728490672</v>
      </c>
      <c r="F11" s="34">
        <f t="shared" si="1"/>
        <v>5.7897996897439394E-2</v>
      </c>
      <c r="G11" s="34">
        <f t="shared" si="2"/>
        <v>0.9043227478805963</v>
      </c>
      <c r="H11" s="32">
        <f>+'COLOMBIA USD'!H11+'EL SALVADOR USD'!H11+'VENEZUELA USD'!H11+'PANAMA USD'!H11</f>
        <v>7580.9766598790211</v>
      </c>
      <c r="I11" s="34">
        <f t="shared" si="3"/>
        <v>2.9068072270951366E-2</v>
      </c>
      <c r="J11" s="34">
        <f t="shared" si="4"/>
        <v>0.74835213497441178</v>
      </c>
      <c r="K11" s="32">
        <f>+'COLOMBIA USD'!K11+'EL SALVADOR USD'!K11+'VENEZUELA USD'!K11+'PANAMA USD'!K11</f>
        <v>154468.5806539417</v>
      </c>
      <c r="L11" s="34">
        <f t="shared" si="5"/>
        <v>6.599768899947743E-2</v>
      </c>
      <c r="M11" s="32">
        <f>+'COLOMBIA USD'!M11+'EL SALVADOR USD'!M11+'VENEZUELA USD'!M11+'PANAMA USD'!M11</f>
        <v>104680.48452770135</v>
      </c>
      <c r="N11" s="34">
        <f t="shared" si="6"/>
        <v>4.4968215649974629E-2</v>
      </c>
      <c r="O11" s="34">
        <f t="shared" si="7"/>
        <v>0.67768140345782446</v>
      </c>
      <c r="P11" s="32">
        <f>+'COLOMBIA USD'!P11+'EL SALVADOR USD'!P11+'VENEZUELA USD'!P11+'PANAMA USD'!P11</f>
        <v>138308.32091933332</v>
      </c>
      <c r="Q11" s="34">
        <f t="shared" si="8"/>
        <v>5.4233918493277807E-2</v>
      </c>
      <c r="R11" s="34">
        <f t="shared" si="9"/>
        <v>-0.24313675538903404</v>
      </c>
      <c r="V11" s="3" t="s">
        <v>34</v>
      </c>
      <c r="W11" s="32">
        <f>'COLOMBIA USD'!W14+'EL SALVADOR USD'!V14+'VENEZUELA USD'!W12+'PANAMA USD'!U14</f>
        <v>2165.0929422839195</v>
      </c>
      <c r="X11" s="32">
        <f>'COLOMBIA USD'!Y14+'EL SALVADOR USD'!X14+'VENEZUELA USD'!X12+'PANAMA USD'!W14</f>
        <v>2893.2394659448764</v>
      </c>
      <c r="Y11" s="32">
        <f>'COLOMBIA USD'!X14+'EL SALVADOR USD'!W14+'VENEZUELA USD'!Y12+'PANAMA USD'!V14</f>
        <v>2276.6792206212422</v>
      </c>
      <c r="Z11" s="32">
        <f>'COLOMBIA USD'!Z14+'EL SALVADOR USD'!Y14+'VENEZUELA USD'!Z12+'PANAMA USD'!X14</f>
        <v>23082.379186372247</v>
      </c>
      <c r="AA11" s="32">
        <f>'COLOMBIA USD'!AD14+'EL SALVADOR USD'!AC14+'VENEZUELA USD'!AA12+'PANAMA USD'!AB14</f>
        <v>32022.550295395988</v>
      </c>
      <c r="AB11" s="32">
        <f>'COLOMBIA USD'!AA14+'EL SALVADOR USD'!Z14+'VENEZUELA USD'!AB12+'PANAMA USD'!Y14</f>
        <v>24272.017163696732</v>
      </c>
      <c r="AC11" s="63">
        <f>+Z11-AB11</f>
        <v>-1189.6379773244844</v>
      </c>
      <c r="AD11" s="68">
        <f t="shared" ref="AD11:AD22" si="11">IF(Z11=0,"",(AB11-Z11)/ABS(Z11)+1)</f>
        <v>1.0515387936277749</v>
      </c>
      <c r="AE11" s="68">
        <f t="shared" si="10"/>
        <v>-0.2420336000788039</v>
      </c>
      <c r="AF11" s="55"/>
      <c r="AG11" s="55">
        <f>+'COLOMBIA USD'!Y14+'EL SALVADOR USD'!X14+'VENEZUELA USD'!X12+'PANAMA USD'!W14</f>
        <v>2893.2394659448764</v>
      </c>
      <c r="AH11" s="55">
        <f>+'COLOMBIA USD'!X14+'EL SALVADOR USD'!W14+'VENEZUELA USD'!Y12+'PANAMA USD'!V14</f>
        <v>2276.6792206212422</v>
      </c>
      <c r="AI11" s="55">
        <f>+'COLOMBIA USD'!AB14+'EL SALVADOR USD'!AA14+'VENEZUELA USD'!AC12+'PANAMA USD'!Z14</f>
        <v>-1189.6379773244844</v>
      </c>
      <c r="AK11" s="55">
        <f>+'COLOMBIA USD'!AA14+'EL SALVADOR USD'!Z14+'VENEZUELA USD'!AB12+'PANAMA USD'!Y14</f>
        <v>24272.017163696732</v>
      </c>
    </row>
    <row r="12" spans="1:37" x14ac:dyDescent="0.2">
      <c r="B12" s="3" t="s">
        <v>69</v>
      </c>
      <c r="C12" s="32">
        <f>+'COLOMBIA USD'!C12+'EL SALVADOR USD'!C12+'VENEZUELA USD'!C12+'PANAMA USD'!C12</f>
        <v>14451.634423236141</v>
      </c>
      <c r="D12" s="34">
        <f t="shared" si="0"/>
        <v>6.1355280202261768E-2</v>
      </c>
      <c r="E12" s="32">
        <f>+'COLOMBIA USD'!E12+'EL SALVADOR USD'!E12+'VENEZUELA USD'!E12+'PANAMA USD'!E12</f>
        <v>11133.64120506532</v>
      </c>
      <c r="F12" s="34">
        <f t="shared" si="1"/>
        <v>4.8634750521502984E-2</v>
      </c>
      <c r="G12" s="34">
        <f t="shared" si="2"/>
        <v>0.77040706116700775</v>
      </c>
      <c r="H12" s="32">
        <f>+'COLOMBIA USD'!H12+'EL SALVADOR USD'!H12+'VENEZUELA USD'!H12+'PANAMA USD'!H12</f>
        <v>13921.961683228366</v>
      </c>
      <c r="I12" s="34">
        <f t="shared" si="3"/>
        <v>5.3381590066517361E-2</v>
      </c>
      <c r="J12" s="34">
        <f t="shared" si="4"/>
        <v>-0.20028215431178104</v>
      </c>
      <c r="K12" s="32">
        <f>+'COLOMBIA USD'!K12+'EL SALVADOR USD'!K12+'VENEZUELA USD'!K12+'PANAMA USD'!K12</f>
        <v>167006.07997913193</v>
      </c>
      <c r="L12" s="34">
        <f t="shared" si="5"/>
        <v>7.135441577065689E-2</v>
      </c>
      <c r="M12" s="32">
        <f>+'COLOMBIA USD'!M12+'EL SALVADOR USD'!M12+'VENEZUELA USD'!M12+'PANAMA USD'!M12</f>
        <v>149661.45226213839</v>
      </c>
      <c r="N12" s="34">
        <f t="shared" si="6"/>
        <v>6.429095633418927E-2</v>
      </c>
      <c r="O12" s="34">
        <f t="shared" si="7"/>
        <v>0.89614373489180266</v>
      </c>
      <c r="P12" s="32">
        <f>+'COLOMBIA USD'!P12+'EL SALVADOR USD'!P12+'VENEZUELA USD'!P12+'PANAMA USD'!P12</f>
        <v>187720.57512434039</v>
      </c>
      <c r="Q12" s="34">
        <f t="shared" si="8"/>
        <v>7.360961584330529E-2</v>
      </c>
      <c r="R12" s="34">
        <f t="shared" si="9"/>
        <v>-0.20274348103287451</v>
      </c>
      <c r="V12" s="3" t="s">
        <v>35</v>
      </c>
      <c r="W12" s="32">
        <f>'COLOMBIA USD'!W15+'EL SALVADOR USD'!V15+'VENEZUELA USD'!W13+'PANAMA USD'!U15</f>
        <v>98912.257266963818</v>
      </c>
      <c r="X12" s="32">
        <f>'COLOMBIA USD'!Y15+'EL SALVADOR USD'!X15+'VENEZUELA USD'!X13+'PANAMA USD'!W15</f>
        <v>114429.07596231422</v>
      </c>
      <c r="Y12" s="32">
        <f>'COLOMBIA USD'!X15+'EL SALVADOR USD'!W15+'VENEZUELA USD'!Y13+'PANAMA USD'!V15</f>
        <v>108345.38450650324</v>
      </c>
      <c r="Z12" s="32">
        <f>'COLOMBIA USD'!Z15+'EL SALVADOR USD'!Y15+'VENEZUELA USD'!Z13+'PANAMA USD'!X15</f>
        <v>1068776.8597946456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1165851.8876584056</v>
      </c>
      <c r="AC12" s="63">
        <f>+Z12-AB12</f>
        <v>-97075.027863760013</v>
      </c>
      <c r="AD12" s="68">
        <f t="shared" si="11"/>
        <v>1.0908281527375245</v>
      </c>
      <c r="AE12" s="68" t="e">
        <f t="shared" si="10"/>
        <v>#VALUE!</v>
      </c>
      <c r="AF12" s="55"/>
      <c r="AG12" s="55">
        <f>+'COLOMBIA USD'!Y15+'EL SALVADOR USD'!X15+'VENEZUELA USD'!X13+'PANAMA USD'!W15</f>
        <v>114429.07596231422</v>
      </c>
      <c r="AH12" s="55">
        <f>+'COLOMBIA USD'!X15+'EL SALVADOR USD'!W15+'VENEZUELA USD'!Y13+'PANAMA USD'!V15</f>
        <v>108345.38450650324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1165851.8876584056</v>
      </c>
    </row>
    <row r="13" spans="1:37" x14ac:dyDescent="0.2">
      <c r="B13" s="3" t="s">
        <v>72</v>
      </c>
      <c r="C13" s="32">
        <f>+'COLOMBIA USD'!C13+'EL SALVADOR USD'!C13+'VENEZUELA USD'!C13+'PANAMA USD'!C13</f>
        <v>24151.882152132741</v>
      </c>
      <c r="D13" s="34">
        <f t="shared" si="0"/>
        <v>0.10253826338656309</v>
      </c>
      <c r="E13" s="32">
        <f>+'COLOMBIA USD'!E13+'EL SALVADOR USD'!E13+'VENEZUELA USD'!E13+'PANAMA USD'!E13</f>
        <v>23465.841085539418</v>
      </c>
      <c r="F13" s="34">
        <f t="shared" si="1"/>
        <v>0.1025051289108565</v>
      </c>
      <c r="G13" s="34">
        <f t="shared" si="2"/>
        <v>0.97159471621002669</v>
      </c>
      <c r="H13" s="32">
        <f>+'COLOMBIA USD'!H13+'EL SALVADOR USD'!H13+'VENEZUELA USD'!H13+'PANAMA USD'!H13</f>
        <v>19193.863871092504</v>
      </c>
      <c r="I13" s="34">
        <f t="shared" si="3"/>
        <v>7.3595876520298226E-2</v>
      </c>
      <c r="J13" s="34">
        <f t="shared" si="4"/>
        <v>0.22256994439149133</v>
      </c>
      <c r="K13" s="32">
        <f>+'COLOMBIA USD'!K13+'EL SALVADOR USD'!K13+'VENEZUELA USD'!K13+'PANAMA USD'!K13</f>
        <v>257877.73224229639</v>
      </c>
      <c r="L13" s="34">
        <f t="shared" si="5"/>
        <v>0.11017991037637785</v>
      </c>
      <c r="M13" s="32">
        <f>+'COLOMBIA USD'!M13+'EL SALVADOR USD'!M13+'VENEZUELA USD'!M13+'PANAMA USD'!M13</f>
        <v>216049.8112373607</v>
      </c>
      <c r="N13" s="34">
        <f t="shared" si="6"/>
        <v>9.2809796846966178E-2</v>
      </c>
      <c r="O13" s="34">
        <f t="shared" si="7"/>
        <v>0.83779940733449965</v>
      </c>
      <c r="P13" s="32">
        <f>+'COLOMBIA USD'!P13+'EL SALVADOR USD'!P13+'VENEZUELA USD'!P13+'PANAMA USD'!P13</f>
        <v>256016.22817925838</v>
      </c>
      <c r="Q13" s="34">
        <f t="shared" si="8"/>
        <v>0.10038993431297916</v>
      </c>
      <c r="R13" s="34">
        <f t="shared" si="9"/>
        <v>-0.15610892022795464</v>
      </c>
      <c r="V13" s="3" t="s">
        <v>36</v>
      </c>
      <c r="W13" s="32">
        <f>'COLOMBIA USD'!W16+'EL SALVADOR USD'!V16+'VENEZUELA USD'!W14+'PANAMA USD'!U16</f>
        <v>48139.6199085888</v>
      </c>
      <c r="X13" s="32">
        <f>'COLOMBIA USD'!Y16+'EL SALVADOR USD'!X16+'VENEZUELA USD'!X14+'PANAMA USD'!W16</f>
        <v>77470.577758113635</v>
      </c>
      <c r="Y13" s="32">
        <f>'COLOMBIA USD'!X16+'EL SALVADOR USD'!W16+'VENEZUELA USD'!Y14+'PANAMA USD'!V16</f>
        <v>53233.977844377077</v>
      </c>
      <c r="Z13" s="32">
        <f>'COLOMBIA USD'!Z16+'EL SALVADOR USD'!Y16+'VENEZUELA USD'!Z14+'PANAMA USD'!X16</f>
        <v>512360.65808580862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557048.10830588394</v>
      </c>
      <c r="AC13" s="63">
        <f>+Z13-AB13</f>
        <v>-44687.45022007532</v>
      </c>
      <c r="AD13" s="68">
        <f t="shared" si="11"/>
        <v>1.0872187384313008</v>
      </c>
      <c r="AE13" s="68" t="e">
        <f t="shared" si="10"/>
        <v>#VALUE!</v>
      </c>
      <c r="AF13" s="55"/>
      <c r="AG13" s="55">
        <f>+'COLOMBIA USD'!Y16+'EL SALVADOR USD'!X16+'VENEZUELA USD'!X14+'PANAMA USD'!W16</f>
        <v>77470.577758113635</v>
      </c>
      <c r="AH13" s="55">
        <f>+'COLOMBIA USD'!X16+'EL SALVADOR USD'!W16+'VENEZUELA USD'!Y14+'PANAMA USD'!V16</f>
        <v>53233.977844377077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557048.10830588394</v>
      </c>
    </row>
    <row r="14" spans="1:37" x14ac:dyDescent="0.2">
      <c r="B14" s="3" t="s">
        <v>73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283705.53807158006</v>
      </c>
      <c r="X14" s="32">
        <f>SUM(X10:X13)</f>
        <v>240095.30424225074</v>
      </c>
      <c r="Y14" s="32">
        <f>SUM(Y10:Y13)</f>
        <v>332611.15891719738</v>
      </c>
      <c r="Z14" s="32">
        <f>'COLOMBIA USD'!Z17+'EL SALVADOR USD'!Y17+'VENEZUELA USD'!Z15+'PANAMA USD'!X17</f>
        <v>2160718.971088089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2343108.6330827717</v>
      </c>
      <c r="AC14" s="63">
        <f>+AB14-Z14</f>
        <v>182389.66199468262</v>
      </c>
      <c r="AD14" s="68">
        <f t="shared" si="11"/>
        <v>1.0844115613530414</v>
      </c>
      <c r="AE14" s="68" t="e">
        <f t="shared" si="10"/>
        <v>#VALUE!</v>
      </c>
      <c r="AF14" s="55"/>
      <c r="AG14" s="55">
        <f>+'COLOMBIA USD'!Y17+'EL SALVADOR USD'!X17+'VENEZUELA USD'!X15+'PANAMA USD'!W17</f>
        <v>240095.30424225074</v>
      </c>
      <c r="AH14" s="55">
        <f>+'COLOMBIA USD'!X17+'EL SALVADOR USD'!W17+'VENEZUELA USD'!Y15+'PANAMA USD'!V17</f>
        <v>311047.10564319737</v>
      </c>
      <c r="AI14" s="55">
        <f>+'COLOMBIA USD'!AB17+'EL SALVADOR USD'!AA17+'VENEZUELA USD'!AC15+'PANAMA USD'!Z17</f>
        <v>145852.56738443763</v>
      </c>
      <c r="AK14" s="55">
        <f>+'COLOMBIA USD'!AA17+'EL SALVADOR USD'!Z17+'VENEZUELA USD'!AB15+'PANAMA USD'!Y17</f>
        <v>2343108.6330827717</v>
      </c>
    </row>
    <row r="15" spans="1:37" x14ac:dyDescent="0.2">
      <c r="B15" s="3" t="s">
        <v>75</v>
      </c>
      <c r="C15" s="32">
        <f>+'COLOMBIA USD'!C15+'EL SALVADOR USD'!C15+'VENEZUELA USD'!C15+'PANAMA USD'!C15</f>
        <v>33139.975400632844</v>
      </c>
      <c r="D15" s="34">
        <f t="shared" si="0"/>
        <v>0.14069775203644908</v>
      </c>
      <c r="E15" s="32">
        <f>+'COLOMBIA USD'!E15+'EL SALVADOR USD'!E15+'VENEZUELA USD'!E15+'PANAMA USD'!E15</f>
        <v>29900.417938085848</v>
      </c>
      <c r="F15" s="34">
        <f t="shared" si="1"/>
        <v>0.13061309773893925</v>
      </c>
      <c r="G15" s="34">
        <f t="shared" si="2"/>
        <v>0.90224623212951649</v>
      </c>
      <c r="H15" s="32">
        <f>+'COLOMBIA USD'!H15+'EL SALVADOR USD'!H15+'VENEZUELA USD'!H15+'PANAMA USD'!H15</f>
        <v>32974.217295350194</v>
      </c>
      <c r="I15" s="34">
        <f t="shared" si="3"/>
        <v>0.1264344918105301</v>
      </c>
      <c r="J15" s="34">
        <f t="shared" si="4"/>
        <v>-9.3218265947977275E-2</v>
      </c>
      <c r="K15" s="32">
        <f>+'COLOMBIA USD'!K15+'EL SALVADOR USD'!K15+'VENEZUELA USD'!K15+'PANAMA USD'!K15</f>
        <v>309004.7637598812</v>
      </c>
      <c r="L15" s="34">
        <f t="shared" si="5"/>
        <v>0.13202426157892733</v>
      </c>
      <c r="M15" s="32">
        <f>+'COLOMBIA USD'!M15+'EL SALVADOR USD'!M15+'VENEZUELA USD'!M15+'PANAMA USD'!M15</f>
        <v>288838.99404887983</v>
      </c>
      <c r="N15" s="34">
        <f t="shared" si="6"/>
        <v>0.12407827716038734</v>
      </c>
      <c r="O15" s="34">
        <f t="shared" si="7"/>
        <v>0.93473961544919215</v>
      </c>
      <c r="P15" s="32">
        <f>+'COLOMBIA USD'!P15+'EL SALVADOR USD'!P15+'VENEZUELA USD'!P15+'PANAMA USD'!P15</f>
        <v>357482.16578216432</v>
      </c>
      <c r="Q15" s="34">
        <f t="shared" si="8"/>
        <v>0.14017709500745038</v>
      </c>
      <c r="R15" s="34">
        <f t="shared" si="9"/>
        <v>-0.19201845099907153</v>
      </c>
      <c r="V15" s="3" t="s">
        <v>38</v>
      </c>
      <c r="W15" s="32">
        <f>W9-W14</f>
        <v>4863.0220547941863</v>
      </c>
      <c r="X15" s="32">
        <f>X9-X14</f>
        <v>101898.70704182168</v>
      </c>
      <c r="Y15" s="32">
        <f t="shared" ref="Y15:AB15" si="12">Y9-Y14</f>
        <v>-23010.323314221983</v>
      </c>
      <c r="Z15" s="32">
        <f t="shared" si="12"/>
        <v>470137.98402449535</v>
      </c>
      <c r="AA15" s="32" t="e">
        <f>AA9-AA14</f>
        <v>#VALUE!</v>
      </c>
      <c r="AB15" s="32">
        <f t="shared" si="12"/>
        <v>500655.6515480848</v>
      </c>
      <c r="AC15" s="63">
        <f>+AB15-Z15</f>
        <v>30517.667523589451</v>
      </c>
      <c r="AD15" s="68">
        <f t="shared" si="11"/>
        <v>1.0649121503911485</v>
      </c>
      <c r="AE15" s="68" t="e">
        <f t="shared" si="10"/>
        <v>#VALUE!</v>
      </c>
      <c r="AF15" s="55"/>
      <c r="AG15" s="55">
        <f>+'COLOMBIA USD'!Y19+'EL SALVADOR USD'!X19+'VENEZUELA USD'!X16+'PANAMA USD'!W19</f>
        <v>100840.63594982171</v>
      </c>
      <c r="AH15" s="55">
        <f>+'COLOMBIA USD'!X19+'EL SALVADOR USD'!W19+'VENEZUELA USD'!Y16+'PANAMA USD'!V19</f>
        <v>19929.831335778046</v>
      </c>
      <c r="AI15" s="55">
        <f>+'COLOMBIA USD'!AB19+'EL SALVADOR USD'!AA19+'VENEZUELA USD'!AC16+'PANAMA USD'!Z19</f>
        <v>36649.162626632722</v>
      </c>
      <c r="AK15" s="55">
        <f>+'COLOMBIA USD'!AA19+'EL SALVADOR USD'!Z19+'VENEZUELA USD'!AB16+'PANAMA USD'!Y19</f>
        <v>507582.39747908455</v>
      </c>
    </row>
    <row r="16" spans="1:37" x14ac:dyDescent="0.2">
      <c r="B16" s="3" t="s">
        <v>76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78</v>
      </c>
      <c r="C17" s="32">
        <f>+'COLOMBIA USD'!C17+'EL SALVADOR USD'!C17+'VENEZUELA USD'!C17+'PANAMA USD'!C17</f>
        <v>5540.0179193177055</v>
      </c>
      <c r="D17" s="34">
        <f>+C17/$C$20</f>
        <v>2.3520478155658567E-2</v>
      </c>
      <c r="E17" s="32">
        <f>+'COLOMBIA USD'!E17+'EL SALVADOR USD'!E17+'VENEZUELA USD'!E17+'PANAMA USD'!E17</f>
        <v>5000.2420949441521</v>
      </c>
      <c r="F17" s="34">
        <f t="shared" si="1"/>
        <v>2.1842407380982198E-2</v>
      </c>
      <c r="G17" s="34">
        <f t="shared" si="2"/>
        <v>0.90256785587436683</v>
      </c>
      <c r="H17" s="32">
        <f>+'COLOMBIA USD'!H17+'EL SALVADOR USD'!H17+'VENEZUELA USD'!H17+'PANAMA USD'!H17</f>
        <v>4216.0182703068476</v>
      </c>
      <c r="I17" s="34">
        <f t="shared" si="3"/>
        <v>1.616566430358678E-2</v>
      </c>
      <c r="J17" s="34">
        <f t="shared" si="4"/>
        <v>0.18601053751605956</v>
      </c>
      <c r="K17" s="32">
        <f>+'COLOMBIA USD'!K17+'EL SALVADOR USD'!K17+'VENEZUELA USD'!K17+'PANAMA USD'!K17</f>
        <v>40212.309890782897</v>
      </c>
      <c r="L17" s="34">
        <f t="shared" si="5"/>
        <v>1.7180966581599632E-2</v>
      </c>
      <c r="M17" s="32">
        <f>+'COLOMBIA USD'!M17+'EL SALVADOR USD'!M17+'VENEZUELA USD'!M17+'PANAMA USD'!M17</f>
        <v>43842.384981049821</v>
      </c>
      <c r="N17" s="34">
        <f t="shared" si="6"/>
        <v>1.8833632948224845E-2</v>
      </c>
      <c r="O17" s="34">
        <f t="shared" si="7"/>
        <v>1.0902727324077193</v>
      </c>
      <c r="P17" s="32">
        <f>+'COLOMBIA USD'!P17+'EL SALVADOR USD'!P17+'VENEZUELA USD'!P17+'PANAMA USD'!P17</f>
        <v>43091.565208338747</v>
      </c>
      <c r="Q17" s="34">
        <f t="shared" si="8"/>
        <v>1.6897207772624549E-2</v>
      </c>
      <c r="R17" s="34">
        <f t="shared" si="9"/>
        <v>1.7423822251083649E-2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80</v>
      </c>
      <c r="C18" s="32">
        <f>+'COLOMBIA USD'!C18+'EL SALVADOR USD'!C18+'VENEZUELA USD'!C18+'PANAMA USD'!C18</f>
        <v>53332.652852914158</v>
      </c>
      <c r="D18" s="41">
        <f t="shared" ref="D18:D46" si="13">+C18/$C$20</f>
        <v>0.22642697454754421</v>
      </c>
      <c r="E18" s="32">
        <f>+'COLOMBIA USD'!E18+'EL SALVADOR USD'!E18+'VENEZUELA USD'!E18+'PANAMA USD'!E18</f>
        <v>47266.744502775153</v>
      </c>
      <c r="F18" s="34">
        <f t="shared" si="1"/>
        <v>0.20647390054299899</v>
      </c>
      <c r="G18" s="41">
        <f t="shared" si="2"/>
        <v>0.88626276726064723</v>
      </c>
      <c r="H18" s="32">
        <f>+'COLOMBIA USD'!H18+'EL SALVADOR USD'!H18+'VENEZUELA USD'!H18+'PANAMA USD'!H18</f>
        <v>53676.604637847122</v>
      </c>
      <c r="I18" s="34">
        <f t="shared" si="3"/>
        <v>0.20581456623256808</v>
      </c>
      <c r="J18" s="41">
        <f t="shared" si="4"/>
        <v>-0.11941627415368235</v>
      </c>
      <c r="K18" s="32">
        <f>+'COLOMBIA USD'!K18+'EL SALVADOR USD'!K18+'VENEZUELA USD'!K18+'PANAMA USD'!K18</f>
        <v>493743.43619929004</v>
      </c>
      <c r="L18" s="34">
        <f t="shared" si="5"/>
        <v>0.21095504088832676</v>
      </c>
      <c r="M18" s="32">
        <f>+'COLOMBIA USD'!M18+'EL SALVADOR USD'!M18+'VENEZUELA USD'!M18+'PANAMA USD'!M18</f>
        <v>514151.22418945906</v>
      </c>
      <c r="N18" s="34">
        <f t="shared" si="6"/>
        <v>0.22086698614708583</v>
      </c>
      <c r="O18" s="34">
        <f t="shared" si="7"/>
        <v>1.0413327783094453</v>
      </c>
      <c r="P18" s="32">
        <f>+'COLOMBIA USD'!P18+'EL SALVADOR USD'!P18+'VENEZUELA USD'!P18+'PANAMA USD'!P18</f>
        <v>470063.97444239119</v>
      </c>
      <c r="Q18" s="34">
        <f t="shared" si="8"/>
        <v>0.18432304800666038</v>
      </c>
      <c r="R18" s="41">
        <f t="shared" si="9"/>
        <v>9.3789892746760556E-2</v>
      </c>
      <c r="V18" s="3" t="s">
        <v>40</v>
      </c>
      <c r="W18" s="32">
        <f>W8+W15</f>
        <v>7066.7904759661997</v>
      </c>
      <c r="X18" s="32">
        <f>'COLOMBIA USD'!Y21+'EL SALVADOR USD'!X21+'VENEZUELA USD'!X19+'PANAMA USD'!W21</f>
        <v>165659.65983135099</v>
      </c>
      <c r="Y18" s="32">
        <f t="shared" ref="Y18" si="14">Y8+Y15</f>
        <v>-15047.166097407477</v>
      </c>
      <c r="Z18" s="32">
        <f>Z8+Z15</f>
        <v>506394.60278874292</v>
      </c>
      <c r="AA18" s="32" t="e">
        <f>AA8+AA15</f>
        <v>#VALUE!</v>
      </c>
      <c r="AB18" s="32">
        <f>AB8+AB15</f>
        <v>552276.12262835295</v>
      </c>
      <c r="AC18" s="63">
        <f>+AB18-Z18</f>
        <v>45881.519839610031</v>
      </c>
      <c r="AD18" s="68">
        <f t="shared" si="11"/>
        <v>1.0906042828792764</v>
      </c>
      <c r="AE18" s="68" t="e">
        <f t="shared" si="10"/>
        <v>#VALUE!</v>
      </c>
      <c r="AF18" s="55"/>
      <c r="AG18" s="55">
        <f>+'COLOMBIA USD'!Y21+'EL SALVADOR USD'!X21+'VENEZUELA USD'!X19+'PANAMA USD'!W21</f>
        <v>165659.65983135099</v>
      </c>
      <c r="AH18" s="55">
        <f>+'COLOMBIA USD'!X21+'EL SALVADOR USD'!W21+'VENEZUELA USD'!Y19+'PANAMA USD'!V21</f>
        <v>18062.001738592553</v>
      </c>
      <c r="AI18" s="55">
        <f>+'COLOMBIA USD'!AB21+'EL SALVADOR USD'!AA21+'VENEZUELA USD'!AC19+'PANAMA USD'!Z21</f>
        <v>-95122.113055347247</v>
      </c>
      <c r="AK18" s="55">
        <f>+'COLOMBIA USD'!AA21+'EL SALVADOR USD'!Z21+'VENEZUELA USD'!AB19+'PANAMA USD'!Y21</f>
        <v>556536.54747035296</v>
      </c>
    </row>
    <row r="19" spans="2:37" x14ac:dyDescent="0.2">
      <c r="B19" s="3" t="s">
        <v>82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14447.11552976082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554.49196466038359</v>
      </c>
      <c r="X19" s="32">
        <f>'COLOMBIA USD'!Y23+'EL SALVADOR USD'!X23+'VENEZUELA USD'!X20+'PANAMA USD'!W23</f>
        <v>35188.667204538942</v>
      </c>
      <c r="Y19" s="32">
        <f>'COLOMBIA USD'!X23+'EL SALVADOR USD'!W23+'VENEZUELA USD'!Y20+'PANAMA USD'!V23</f>
        <v>583.06981159527459</v>
      </c>
      <c r="Z19" s="32">
        <f>'COLOMBIA USD'!Z23+'EL SALVADOR USD'!Y23+'VENEZUELA USD'!Z20+'PANAMA USD'!X23</f>
        <v>19623.777090492556</v>
      </c>
      <c r="AA19" s="32">
        <f>'COLOMBIA USD'!AD23+'EL SALVADOR USD'!AC23+'VENEZUELA USD'!AA20+'PANAMA USD'!AB23</f>
        <v>119062.44310699319</v>
      </c>
      <c r="AB19" s="32">
        <f>'COLOMBIA USD'!AA23+'EL SALVADOR USD'!Z23+'VENEZUELA USD'!AB20+'PANAMA USD'!Y23</f>
        <v>21960.162888156909</v>
      </c>
      <c r="AC19" s="63">
        <f t="shared" ref="AC19:AC22" si="15">+AB19-Z19</f>
        <v>2336.3857976643521</v>
      </c>
      <c r="AD19" s="68">
        <f t="shared" si="11"/>
        <v>1.1190589246346616</v>
      </c>
      <c r="AE19" s="68">
        <f t="shared" si="10"/>
        <v>-0.81555759889436485</v>
      </c>
      <c r="AF19" s="55"/>
      <c r="AG19" s="55">
        <f>+'COLOMBIA USD'!Y23+'EL SALVADOR USD'!X23+'VENEZUELA USD'!X20+'PANAMA USD'!W23</f>
        <v>35188.667204538942</v>
      </c>
      <c r="AH19" s="55">
        <f>+'COLOMBIA USD'!X23+'EL SALVADOR USD'!W23+'VENEZUELA USD'!Y20+'PANAMA USD'!V23</f>
        <v>583.06981159527459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21960.162888156909</v>
      </c>
    </row>
    <row r="20" spans="2:37" x14ac:dyDescent="0.2">
      <c r="B20" s="20" t="s">
        <v>39</v>
      </c>
      <c r="C20" s="69">
        <f>SUM(C10:C19)</f>
        <v>235540.19109024302</v>
      </c>
      <c r="D20" s="45">
        <f t="shared" si="13"/>
        <v>1</v>
      </c>
      <c r="E20" s="69">
        <f>SUM(E10:E19)</f>
        <v>228923.58006735903</v>
      </c>
      <c r="F20" s="45">
        <f t="shared" si="1"/>
        <v>1</v>
      </c>
      <c r="G20" s="45">
        <f t="shared" si="2"/>
        <v>0.97190878129011549</v>
      </c>
      <c r="H20" s="69">
        <f>SUM(H10:H19)</f>
        <v>260800.8054065191</v>
      </c>
      <c r="I20" s="45">
        <f>+H22/$H$22</f>
        <v>1</v>
      </c>
      <c r="J20" s="45">
        <f t="shared" si="4"/>
        <v>-0.12222824729958924</v>
      </c>
      <c r="K20" s="69">
        <f>SUM(K10:K19)</f>
        <v>2340514.9937168979</v>
      </c>
      <c r="L20" s="45">
        <f t="shared" si="5"/>
        <v>1</v>
      </c>
      <c r="M20" s="69">
        <f>SUM(M10:M19)</f>
        <v>2327877.2131524505</v>
      </c>
      <c r="N20" s="45">
        <f t="shared" si="6"/>
        <v>1</v>
      </c>
      <c r="O20" s="45">
        <f>IF(K20=0,"",(M20-K20)/ABS(K20)+1)</f>
        <v>0.99460042742799193</v>
      </c>
      <c r="P20" s="69">
        <f>SUM(P10:P19)</f>
        <v>2550218.1063401564</v>
      </c>
      <c r="Q20" s="45">
        <f t="shared" si="8"/>
        <v>1</v>
      </c>
      <c r="R20" s="45">
        <f>IF(P20=0,"",(M20-P20)/ABS(P20))</f>
        <v>-8.7185050029618655E-2</v>
      </c>
      <c r="V20" s="3" t="s">
        <v>44</v>
      </c>
      <c r="W20" s="32">
        <f>'COLOMBIA USD'!W25+'EL SALVADOR USD'!V25+'VENEZUELA USD'!W21+'PANAMA USD'!U25</f>
        <v>1006.3881121015618</v>
      </c>
      <c r="X20" s="32">
        <f>'COLOMBIA USD'!Y25+'EL SALVADOR USD'!X25+'VENEZUELA USD'!X21+'PANAMA USD'!W25</f>
        <v>16755.048457119847</v>
      </c>
      <c r="Y20" s="32">
        <f>'COLOMBIA USD'!X25+'EL SALVADOR USD'!W25+'VENEZUELA USD'!Y21+'PANAMA USD'!V25</f>
        <v>7022.4453935503552</v>
      </c>
      <c r="Z20" s="32">
        <f>'COLOMBIA USD'!Z25+'EL SALVADOR USD'!Y25+'VENEZUELA USD'!Z21+'PANAMA USD'!X25</f>
        <v>431900.13499488449</v>
      </c>
      <c r="AA20" s="32">
        <f>'COLOMBIA USD'!AD25+'EL SALVADOR USD'!AC25+'VENEZUELA USD'!AA21+'PANAMA USD'!AB25</f>
        <v>486996.31136200967</v>
      </c>
      <c r="AB20" s="32">
        <f>'COLOMBIA USD'!AA25+'EL SALVADOR USD'!Z25+'VENEZUELA USD'!AB21+'PANAMA USD'!Y25</f>
        <v>461808.51891693351</v>
      </c>
      <c r="AC20" s="63">
        <f t="shared" si="15"/>
        <v>29908.383922049019</v>
      </c>
      <c r="AD20" s="68">
        <f t="shared" si="11"/>
        <v>1.0692483782678217</v>
      </c>
      <c r="AE20" s="68">
        <f t="shared" si="10"/>
        <v>-5.172070477214101E-2</v>
      </c>
      <c r="AF20" s="55"/>
      <c r="AG20" s="55">
        <f>+'COLOMBIA USD'!Y25+'EL SALVADOR USD'!X25+'VENEZUELA USD'!X21+'PANAMA USD'!W25</f>
        <v>16755.048457119847</v>
      </c>
      <c r="AH20" s="55">
        <f>+'COLOMBIA USD'!X25+'EL SALVADOR USD'!W25+'VENEZUELA USD'!Y21+'PANAMA USD'!V25</f>
        <v>7022.4453935503552</v>
      </c>
      <c r="AI20" s="55">
        <f>+'COLOMBIA USD'!AB25+'EL SALVADOR USD'!AA25+'VENEZUELA USD'!AC21+'PANAMA USD'!Z25</f>
        <v>28099.835344744093</v>
      </c>
      <c r="AK20" s="55">
        <f>+'COLOMBIA USD'!AA25+'EL SALVADOR USD'!Z25+'VENEZUELA USD'!AB21+'PANAMA USD'!Y25</f>
        <v>461808.51891693351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84549.514903655319</v>
      </c>
      <c r="X21" s="32">
        <f>'COLOMBIA USD'!Y27+'EL SALVADOR USD'!X27+'VENEZUELA USD'!X22+'PANAMA USD'!W27</f>
        <v>60109.060393514301</v>
      </c>
      <c r="Y21" s="32">
        <f>'COLOMBIA USD'!X27+'EL SALVADOR USD'!W27+'VENEZUELA USD'!Y22+'PANAMA USD'!V27</f>
        <v>88907.094903603283</v>
      </c>
      <c r="Z21" s="32">
        <f>'COLOMBIA USD'!Z27+'EL SALVADOR USD'!Y27+'VENEZUELA USD'!Z22+'PANAMA USD'!X27</f>
        <v>136383.92705249909</v>
      </c>
      <c r="AA21" s="32">
        <f>'COLOMBIA USD'!AD27+'EL SALVADOR USD'!AC27+'VENEZUELA USD'!AA22+'PANAMA USD'!AB27</f>
        <v>-92528.433490357333</v>
      </c>
      <c r="AB21" s="32">
        <f>'COLOMBIA USD'!AA27+'EL SALVADOR USD'!Z27+'VENEZUELA USD'!AB22+'PANAMA USD'!Y27</f>
        <v>143412.99012300331</v>
      </c>
      <c r="AC21" s="63">
        <f t="shared" si="15"/>
        <v>7029.0630705042277</v>
      </c>
      <c r="AD21" s="68">
        <f t="shared" si="11"/>
        <v>1.0515387936277747</v>
      </c>
      <c r="AE21" s="68">
        <f t="shared" si="10"/>
        <v>2.5499342711551343</v>
      </c>
      <c r="AF21" s="55"/>
      <c r="AG21" s="55">
        <f>+'COLOMBIA USD'!Y27+'EL SALVADOR USD'!X27+'VENEZUELA USD'!X22+'PANAMA USD'!W27</f>
        <v>60109.060393514301</v>
      </c>
      <c r="AH21" s="55">
        <f>+'COLOMBIA USD'!X27+'EL SALVADOR USD'!W27+'VENEZUELA USD'!Y22+'PANAMA USD'!V27</f>
        <v>88907.094903603283</v>
      </c>
      <c r="AI21" s="55">
        <f>+'COLOMBIA USD'!AB27+'EL SALVADOR USD'!AA27+'VENEZUELA USD'!AC22+'PANAMA USD'!Z27</f>
        <v>7029.0630705042277</v>
      </c>
      <c r="AK21" s="55">
        <f>+'COLOMBIA USD'!AA27+'EL SALVADOR USD'!Z27+'VENEZUELA USD'!AB22+'PANAMA USD'!Y27</f>
        <v>143412.99012300331</v>
      </c>
    </row>
    <row r="22" spans="2:37" x14ac:dyDescent="0.2">
      <c r="B22" s="3" t="s">
        <v>41</v>
      </c>
      <c r="C22" s="32">
        <f>+'COLOMBIA USD'!C22+'EL SALVADOR USD'!C22+'VENEZUELA USD'!C22+'PANAMA USD'!C22</f>
        <v>33711.063046510841</v>
      </c>
      <c r="D22" s="34">
        <f t="shared" si="13"/>
        <v>0.14312233886910217</v>
      </c>
      <c r="E22" s="32">
        <f>+'COLOMBIA USD'!E22+'EL SALVADOR USD'!E22+'VENEZUELA USD'!E22+'PANAMA USD'!E22</f>
        <v>27150.262678977335</v>
      </c>
      <c r="F22" s="34">
        <f>+E22/$E$20</f>
        <v>0.1185996771105387</v>
      </c>
      <c r="G22" s="34">
        <f>IF(C22=0,"",(E22-C22)/ABS(C22)+1)</f>
        <v>0.80538138597167253</v>
      </c>
      <c r="H22" s="32">
        <f>+'COLOMBIA USD'!H22+'EL SALVADOR USD'!H22+'VENEZUELA USD'!H22+'PANAMA USD'!H22</f>
        <v>31168.266684017384</v>
      </c>
      <c r="I22" s="34">
        <f t="shared" ref="I22:I46" si="16">+H22/$H$20</f>
        <v>0.11950985594325272</v>
      </c>
      <c r="J22" s="34">
        <f>IF(H22=0,"",(E22-H22)/ABS(H22))</f>
        <v>-0.1289132965196432</v>
      </c>
      <c r="K22" s="32">
        <f>+'COLOMBIA USD'!K22+'EL SALVADOR USD'!K22+'VENEZUELA USD'!K22+'PANAMA USD'!K22</f>
        <v>322848.82349472062</v>
      </c>
      <c r="L22" s="34">
        <f t="shared" si="5"/>
        <v>0.13793922464133188</v>
      </c>
      <c r="M22" s="32">
        <f>+'COLOMBIA USD'!M22+'EL SALVADOR USD'!M22+'VENEZUELA USD'!M22+'PANAMA USD'!M22</f>
        <v>310185.83506575308</v>
      </c>
      <c r="N22" s="34">
        <f>+M22/$M$20</f>
        <v>0.13324836607068902</v>
      </c>
      <c r="O22" s="34">
        <f>IF(K22=0,"",(M22-K22)/ABS(K22)+1)</f>
        <v>0.96077734373662782</v>
      </c>
      <c r="P22" s="32">
        <f>+'COLOMBIA USD'!P22+'EL SALVADOR USD'!P22+'VENEZUELA USD'!P22+'PANAMA USD'!P22</f>
        <v>307449.80190719099</v>
      </c>
      <c r="Q22" s="34">
        <f t="shared" si="8"/>
        <v>0.12055823819258162</v>
      </c>
      <c r="R22" s="34">
        <f>IF(P22=0,"",(M22-P22)/ABS(P22))</f>
        <v>8.8991215528185855E-3</v>
      </c>
      <c r="V22" s="3" t="s">
        <v>49</v>
      </c>
      <c r="W22" s="32">
        <f>'COLOMBIA USD'!W28+'EL SALVADOR USD'!V28+'VENEZUELA USD'!W23+'PANAMA USD'!U28</f>
        <v>0</v>
      </c>
      <c r="X22" s="32">
        <f>'COLOMBIA USD'!Y28+'EL SALVADOR USD'!X28+'VENEZUELA USD'!X23+'PANAMA USD'!W28</f>
        <v>21214.801030632694</v>
      </c>
      <c r="Y22" s="32">
        <f>'COLOMBIA USD'!X28+'EL SALVADOR USD'!W28+'VENEZUELA USD'!Y23+'PANAMA USD'!V28</f>
        <v>0</v>
      </c>
      <c r="Z22" s="32">
        <f>'COLOMBIA USD'!Z28+'EL SALVADOR USD'!Y28+'VENEZUELA USD'!Z23+'PANAMA USD'!X28</f>
        <v>0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0</v>
      </c>
      <c r="AC22" s="63">
        <f t="shared" si="15"/>
        <v>0</v>
      </c>
      <c r="AD22" s="68" t="str">
        <f t="shared" si="11"/>
        <v/>
      </c>
      <c r="AE22" s="68" t="e">
        <f t="shared" si="10"/>
        <v>#VALUE!</v>
      </c>
      <c r="AF22" s="55"/>
      <c r="AG22" s="55">
        <f>+'COLOMBIA USD'!Y28+'EL SALVADOR USD'!X28+'VENEZUELA USD'!X23+'PANAMA USD'!W28</f>
        <v>21214.801030632694</v>
      </c>
      <c r="AH22" s="55">
        <f>+'COLOMBIA USD'!X28+'EL SALVADOR USD'!W28+'VENEZUELA USD'!Y23+'PANAMA USD'!V28</f>
        <v>0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0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-79043.604504451068</v>
      </c>
      <c r="X23" s="32">
        <f t="shared" ref="X23:AB23" si="17">X18-X19-X20-X21-X22</f>
        <v>32392.082745545205</v>
      </c>
      <c r="Y23" s="32">
        <f t="shared" si="17"/>
        <v>-111559.77620615638</v>
      </c>
      <c r="Z23" s="32">
        <f t="shared" si="17"/>
        <v>-81513.236349133193</v>
      </c>
      <c r="AA23" s="32" t="e">
        <f t="shared" si="17"/>
        <v>#VALUE!</v>
      </c>
      <c r="AB23" s="32">
        <f t="shared" si="17"/>
        <v>-74905.549299740815</v>
      </c>
      <c r="AC23" s="63">
        <f t="shared" ref="AC23" si="18">Y23-W23</f>
        <v>-32516.171701705316</v>
      </c>
      <c r="AD23" s="68">
        <f t="shared" ref="AD23" si="19">IF(W23=0,"",(Y23-W23)/ABS(W23)+1)</f>
        <v>0.58862994791850265</v>
      </c>
      <c r="AE23" s="68">
        <f t="shared" ref="AE23" si="20">IF(X23=0,"",(Y23-X23)/ABS(X23))</f>
        <v>-4.4440445550386505</v>
      </c>
      <c r="AF23" s="55"/>
      <c r="AG23" s="55">
        <f>+'COLOMBIA USD'!Y30+'EL SALVADOR USD'!X30+'VENEZUELA USD'!X24+'PANAMA USD'!W30</f>
        <v>33450.153837545186</v>
      </c>
      <c r="AH23" s="55">
        <f>+'COLOMBIA USD'!X30+'EL SALVADOR USD'!W30+'VENEZUELA USD'!Y24+'PANAMA USD'!V30</f>
        <v>-77382.642955156363</v>
      </c>
      <c r="AI23" s="55">
        <f>+'COLOMBIA USD'!AB30+'EL SALVADOR USD'!AA30+'VENEZUELA USD'!AC24+'PANAMA USD'!Z30</f>
        <v>-131848.18174136657</v>
      </c>
      <c r="AK23" s="55">
        <f>+'COLOMBIA USD'!AA30+'EL SALVADOR USD'!Z30+'VENEZUELA USD'!AB24+'PANAMA USD'!Y30</f>
        <v>-69509.584348740798</v>
      </c>
    </row>
    <row r="24" spans="2:37" x14ac:dyDescent="0.2">
      <c r="B24" s="3" t="s">
        <v>43</v>
      </c>
      <c r="C24" s="32">
        <f>+C20-C22</f>
        <v>201829.1280437322</v>
      </c>
      <c r="D24" s="34">
        <f t="shared" si="13"/>
        <v>0.85687766113089792</v>
      </c>
      <c r="E24" s="32">
        <f>+E20-E22</f>
        <v>201773.31738838169</v>
      </c>
      <c r="F24" s="34">
        <f>+E24/$E$20</f>
        <v>0.88140032288946124</v>
      </c>
      <c r="G24" s="34">
        <f>IF(C24=0,"",(E24-C24)/ABS(C24)+1)</f>
        <v>0.99972347571487097</v>
      </c>
      <c r="H24" s="32">
        <f>+H20-H22</f>
        <v>229632.53872250172</v>
      </c>
      <c r="I24" s="34">
        <f t="shared" si="16"/>
        <v>0.8804901440567473</v>
      </c>
      <c r="J24" s="34">
        <f>IF(H24=0,"",(E24-H24)/ABS(H24))</f>
        <v>-0.1213208785179454</v>
      </c>
      <c r="K24" s="32">
        <f>+K20-K22</f>
        <v>2017666.1702221772</v>
      </c>
      <c r="L24" s="34">
        <f t="shared" si="5"/>
        <v>0.8620607753586681</v>
      </c>
      <c r="M24" s="32">
        <f>+M20-M22</f>
        <v>2017691.3780866973</v>
      </c>
      <c r="N24" s="34">
        <f>+M24/$M$20</f>
        <v>0.86675163392931098</v>
      </c>
      <c r="O24" s="34">
        <f>IF(K24=0,"",(M24-K24)/ABS(K24)+1)</f>
        <v>1.0000124935754449</v>
      </c>
      <c r="P24" s="32">
        <f>+P20-P22</f>
        <v>2242768.3044329653</v>
      </c>
      <c r="Q24" s="34">
        <f t="shared" si="8"/>
        <v>0.8794417618074184</v>
      </c>
      <c r="R24" s="34">
        <f>IF(P24=0,"",(M24-P24)/ABS(P24))</f>
        <v>-0.10035674478785439</v>
      </c>
      <c r="W24" s="55">
        <f>+'COLOMBIA USD'!W30+'EL SALVADOR USD'!V30+'VENEZUELA USD'!W24+'PANAMA USD'!U30</f>
        <v>-77962.270799451027</v>
      </c>
      <c r="X24" s="55">
        <f>+'COLOMBIA USD'!Y30+'EL SALVADOR USD'!X30+'VENEZUELA USD'!X24+'PANAMA USD'!W30</f>
        <v>33450.153837545186</v>
      </c>
      <c r="Y24" s="55">
        <f>+'COLOMBIA USD'!X30+'EL SALVADOR USD'!W30+'VENEZUELA USD'!Y24+'PANAMA USD'!V30</f>
        <v>-77382.642955156363</v>
      </c>
      <c r="Z24" s="55">
        <f>+'COLOMBIA USD'!Z30+'EL SALVADOR USD'!Y30+'VENEZUELA USD'!Z24+'PANAMA USD'!X30</f>
        <v>64411.597392625779</v>
      </c>
      <c r="AA24" s="55">
        <f>+'COLOMBIA USD'!AD30+'EL SALVADOR USD'!AC30+'VENEZUELA USD'!AA24+'PANAMA USD'!AB30</f>
        <v>33450.655223954112</v>
      </c>
      <c r="AB24" s="55">
        <f>+'COLOMBIA USD'!AA30+'EL SALVADOR USD'!Z30+'VENEZUELA USD'!AB24+'PANAMA USD'!Y30</f>
        <v>-69509.584348740798</v>
      </c>
      <c r="AC24" s="55">
        <f>+'COLOMBIA USD'!AB30+'EL SALVADOR USD'!AA30+'VENEZUELA USD'!AC24+'PANAMA USD'!Z30</f>
        <v>-131848.18174136657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54704.030769056291</v>
      </c>
      <c r="D26" s="34">
        <f t="shared" si="13"/>
        <v>0.23224924169352235</v>
      </c>
      <c r="E26" s="32">
        <f>+'COLOMBIA USD'!E26+'EL SALVADOR USD'!E26+'VENEZUELA USD'!E26+'PANAMA USD'!E26</f>
        <v>60766.842801941304</v>
      </c>
      <c r="F26" s="34">
        <f>+E26/$E$20</f>
        <v>0.26544597452154611</v>
      </c>
      <c r="G26" s="34">
        <f>IF(C26=0,"",(E26-C26)/ABS(C26)+1)</f>
        <v>1.1108293474475466</v>
      </c>
      <c r="H26" s="32">
        <f>+'COLOMBIA USD'!H26+'EL SALVADOR USD'!H26+'VENEZUELA USD'!H26+'PANAMA USD'!H26</f>
        <v>59544.901243463413</v>
      </c>
      <c r="I26" s="34">
        <f t="shared" si="16"/>
        <v>0.22831563403590241</v>
      </c>
      <c r="J26" s="34">
        <f>IF(H26=0,"",(E26-H26)/ABS(H26))</f>
        <v>2.0521346630195818E-2</v>
      </c>
      <c r="K26" s="32">
        <f>+'COLOMBIA USD'!K26+'EL SALVADOR USD'!K26+'VENEZUELA USD'!K26+'PANAMA USD'!K26</f>
        <v>523994.67382305249</v>
      </c>
      <c r="L26" s="34">
        <f t="shared" si="5"/>
        <v>0.22388007563707726</v>
      </c>
      <c r="M26" s="32">
        <f>+'COLOMBIA USD'!M26+'EL SALVADOR USD'!M26+'VENEZUELA USD'!M26+'PANAMA USD'!M26</f>
        <v>531024.32438505394</v>
      </c>
      <c r="N26" s="34">
        <f>+M26/$M$20</f>
        <v>0.22811526371957216</v>
      </c>
      <c r="O26" s="34">
        <f>IF(K26=0,"",(M26-K26)/ABS(K26)+1)</f>
        <v>1.0134155000292528</v>
      </c>
      <c r="P26" s="32">
        <f>+'COLOMBIA USD'!P26+'EL SALVADOR USD'!P26+'VENEZUELA USD'!P26+'PANAMA USD'!P26</f>
        <v>558852.46717409173</v>
      </c>
      <c r="Q26" s="34">
        <f t="shared" si="8"/>
        <v>0.21913908688230063</v>
      </c>
      <c r="R26" s="34">
        <f>IF(P26=0,"",(M26-P26)/ABS(P26))</f>
        <v>-4.9795150641016778E-2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67067.20265841017</v>
      </c>
      <c r="D27" s="34">
        <f t="shared" si="13"/>
        <v>0.28473782902177647</v>
      </c>
      <c r="E27" s="32">
        <f>+'COLOMBIA USD'!E27+'EL SALVADOR USD'!E27+'VENEZUELA USD'!E27+'PANAMA USD'!E27</f>
        <v>81657.542088635048</v>
      </c>
      <c r="F27" s="34">
        <f>+E27/$E$20</f>
        <v>0.35670218884663579</v>
      </c>
      <c r="G27" s="34">
        <f>IF(C27=0,"",(E27-C27)/ABS(C27)+1)</f>
        <v>1.217548054069544</v>
      </c>
      <c r="H27" s="32">
        <f>+'COLOMBIA USD'!H27+'EL SALVADOR USD'!H27+'VENEZUELA USD'!H27+'PANAMA USD'!H27</f>
        <v>89207.165555236716</v>
      </c>
      <c r="I27" s="34">
        <f t="shared" si="16"/>
        <v>0.34205095883882136</v>
      </c>
      <c r="J27" s="34">
        <f>IF(H27=0,"",(E27-H27)/ABS(H27))</f>
        <v>-8.4630235918962946E-2</v>
      </c>
      <c r="K27" s="32">
        <f>+'COLOMBIA USD'!K27+'EL SALVADOR USD'!K27+'VENEZUELA USD'!K27+'PANAMA USD'!K27</f>
        <v>779024.17211618065</v>
      </c>
      <c r="L27" s="34">
        <f t="shared" si="5"/>
        <v>0.33284305984258489</v>
      </c>
      <c r="M27" s="32">
        <f>+'COLOMBIA USD'!M27+'EL SALVADOR USD'!M27+'VENEZUELA USD'!M27+'PANAMA USD'!M27</f>
        <v>802892.84378529026</v>
      </c>
      <c r="N27" s="34">
        <f>+M27/$M$20</f>
        <v>0.34490343358703152</v>
      </c>
      <c r="O27" s="34">
        <f>IF(K27=0,"",(M27-K27)/ABS(K27)+1)</f>
        <v>1.0306391926251421</v>
      </c>
      <c r="P27" s="32">
        <f>+'COLOMBIA USD'!P27+'EL SALVADOR USD'!P27+'VENEZUELA USD'!P27+'PANAMA USD'!P27</f>
        <v>907683.20681981766</v>
      </c>
      <c r="Q27" s="34">
        <f t="shared" si="8"/>
        <v>0.35592375591844688</v>
      </c>
      <c r="R27" s="34">
        <f>IF(P27=0,"",(M27-P27)/ABS(P27))</f>
        <v>-0.11544816765055467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121771.23342746646</v>
      </c>
      <c r="D28" s="34">
        <f t="shared" si="13"/>
        <v>0.51698707071529881</v>
      </c>
      <c r="E28" s="32">
        <f>SUM(E26:E27)</f>
        <v>142424.38489057636</v>
      </c>
      <c r="F28" s="34">
        <f>+E28/$E$20</f>
        <v>0.62214816336818191</v>
      </c>
      <c r="G28" s="34">
        <f>IF(C28=0,"",(E28-C28)/ABS(C28)+1)</f>
        <v>1.1696061613386879</v>
      </c>
      <c r="H28" s="32">
        <f>SUM(H26:H27)</f>
        <v>148752.06679870014</v>
      </c>
      <c r="I28" s="34">
        <f t="shared" si="16"/>
        <v>0.5703665928747238</v>
      </c>
      <c r="J28" s="34">
        <f>IF(H28=0,"",(E28-H28)/ABS(H28))</f>
        <v>-4.2538446989692995E-2</v>
      </c>
      <c r="K28" s="32">
        <f>SUM(K26:K27)</f>
        <v>1303018.8459392332</v>
      </c>
      <c r="L28" s="34">
        <f t="shared" si="5"/>
        <v>0.55672313547966212</v>
      </c>
      <c r="M28" s="32">
        <f>SUM(M26:M27)</f>
        <v>1333917.1681703441</v>
      </c>
      <c r="N28" s="34">
        <f>+M28/$M$20</f>
        <v>0.5730186973066036</v>
      </c>
      <c r="O28" s="34">
        <f>IF(K28=0,"",(M28-K28)/ABS(K28)+1)</f>
        <v>1.0237128743973301</v>
      </c>
      <c r="P28" s="32">
        <f>SUM(P26:P27)</f>
        <v>1466535.6739939093</v>
      </c>
      <c r="Q28" s="34">
        <f t="shared" si="8"/>
        <v>0.57506284280074749</v>
      </c>
      <c r="R28" s="34">
        <f>IF(P28=0,"",(M28-P28)/ABS(P28))</f>
        <v>-9.0429785088280076E-2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18767.784968187541</v>
      </c>
      <c r="D30" s="34">
        <f t="shared" si="13"/>
        <v>7.9679756059113496E-2</v>
      </c>
      <c r="E30" s="32">
        <f>+'COLOMBIA USD'!E30+'EL SALVADOR USD'!E30+'VENEZUELA USD'!E30+'PANAMA USD'!E30</f>
        <v>21614.339851760011</v>
      </c>
      <c r="F30" s="34">
        <f>+E30/$E$20</f>
        <v>9.4417271673805536E-2</v>
      </c>
      <c r="G30" s="34">
        <f>IF(C30=0,"",(E30-C30)/ABS(C30)+1)</f>
        <v>1.1516723943927076</v>
      </c>
      <c r="H30" s="32">
        <f>+'COLOMBIA USD'!H30+'EL SALVADOR USD'!H30+'VENEZUELA USD'!H30+'PANAMA USD'!H30</f>
        <v>23861.694006955222</v>
      </c>
      <c r="I30" s="34">
        <f t="shared" si="16"/>
        <v>9.1493942933807998E-2</v>
      </c>
      <c r="J30" s="34">
        <f>IF(H30=0,"",(E30-H30)/ABS(H30))</f>
        <v>-9.4182506679540479E-2</v>
      </c>
      <c r="K30" s="32">
        <f>+'COLOMBIA USD'!K30+'EL SALVADOR USD'!K30+'VENEZUELA USD'!K30+'PANAMA USD'!K30</f>
        <v>193026.89788257176</v>
      </c>
      <c r="L30" s="34">
        <f t="shared" si="5"/>
        <v>8.247197663794148E-2</v>
      </c>
      <c r="M30" s="32">
        <f>+'COLOMBIA USD'!M30+'EL SALVADOR USD'!M30+'VENEZUELA USD'!M30+'PANAMA USD'!M30</f>
        <v>208339.43532045936</v>
      </c>
      <c r="N30" s="34">
        <f>+M30/$M$20</f>
        <v>8.9497605003969513E-2</v>
      </c>
      <c r="O30" s="34">
        <f>IF(K30=0,"",(M30-K30)/ABS(K30)+1)</f>
        <v>1.0793285164184891</v>
      </c>
      <c r="P30" s="32">
        <f>+'COLOMBIA USD'!P30+'EL SALVADOR USD'!P30+'VENEZUELA USD'!P30+'PANAMA USD'!P30</f>
        <v>235804.31941322394</v>
      </c>
      <c r="Q30" s="34">
        <f t="shared" si="8"/>
        <v>9.2464373469463401E-2</v>
      </c>
      <c r="R30" s="34">
        <f>IF(P30=0,"",(M30-P30)/ABS(P30))</f>
        <v>-0.11647320185274072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0</v>
      </c>
      <c r="D31" s="34">
        <f t="shared" si="13"/>
        <v>0</v>
      </c>
      <c r="E31" s="32">
        <f>+'COLOMBIA USD'!E31+'EL SALVADOR USD'!E31+'VENEZUELA USD'!E31+'PANAMA USD'!E31</f>
        <v>1140.1290092700001</v>
      </c>
      <c r="F31" s="34">
        <f>+E31/$E$20</f>
        <v>4.9803913119588891E-3</v>
      </c>
      <c r="G31" s="34" t="str">
        <f>IF(C31=0,"",(E31-C31)/ABS(C31)+1)</f>
        <v/>
      </c>
      <c r="H31" s="32">
        <f>+'COLOMBIA USD'!H31+'EL SALVADOR USD'!H31+'VENEZUELA USD'!H31+'PANAMA USD'!H31</f>
        <v>1126.5132336018412</v>
      </c>
      <c r="I31" s="34">
        <f t="shared" si="16"/>
        <v>4.3194392434713026E-3</v>
      </c>
      <c r="J31" s="34">
        <f>IF(H31=0,"",(E31-H31)/ABS(H31))</f>
        <v>1.2086653988630649E-2</v>
      </c>
      <c r="K31" s="32">
        <f>+'COLOMBIA USD'!K31+'EL SALVADOR USD'!K31+'VENEZUELA USD'!K31+'PANAMA USD'!K31</f>
        <v>0</v>
      </c>
      <c r="L31" s="34">
        <f t="shared" si="5"/>
        <v>0</v>
      </c>
      <c r="M31" s="32">
        <f>+'COLOMBIA USD'!M31+'EL SALVADOR USD'!M31+'VENEZUELA USD'!M31+'PANAMA USD'!M31</f>
        <v>8651.5853157199999</v>
      </c>
      <c r="N31" s="34">
        <f>+M31/$M$20</f>
        <v>3.7165127382315314E-3</v>
      </c>
      <c r="O31" s="34" t="str">
        <f>IF(K31=0,"",(M31-K31)/ABS(K31)+1)</f>
        <v/>
      </c>
      <c r="P31" s="32">
        <f>+'COLOMBIA USD'!P31+'EL SALVADOR USD'!P31+'VENEZUELA USD'!P31+'PANAMA USD'!P31</f>
        <v>11916.237054085155</v>
      </c>
      <c r="Q31" s="34">
        <f t="shared" si="8"/>
        <v>4.6726344795607567E-3</v>
      </c>
      <c r="R31" s="34">
        <f>IF(P31=0,"",(M31-P31)/ABS(P31))</f>
        <v>-0.27396666611679726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18767.784968187541</v>
      </c>
      <c r="D32" s="34">
        <f t="shared" si="13"/>
        <v>7.9679756059113496E-2</v>
      </c>
      <c r="E32" s="32">
        <f>SUM(E30:E31)</f>
        <v>22754.468861030011</v>
      </c>
      <c r="F32" s="34">
        <f>+E32/$E$20</f>
        <v>9.9397662985764426E-2</v>
      </c>
      <c r="G32" s="34">
        <f>IF(C32=0,"",(E32-C32)/ABS(C32)+1)</f>
        <v>1.2124216522940841</v>
      </c>
      <c r="H32" s="32">
        <f>SUM(H30:H31)</f>
        <v>24988.207240557062</v>
      </c>
      <c r="I32" s="34">
        <f t="shared" si="16"/>
        <v>9.5813382177279291E-2</v>
      </c>
      <c r="J32" s="34">
        <f>IF(H32=0,"",(E32-H32)/ABS(H32))</f>
        <v>-8.9391702174679663E-2</v>
      </c>
      <c r="K32" s="32">
        <f>SUM(K30:K31)</f>
        <v>193026.89788257176</v>
      </c>
      <c r="L32" s="34">
        <f t="shared" si="5"/>
        <v>8.247197663794148E-2</v>
      </c>
      <c r="M32" s="32">
        <f>SUM(M30:M31)</f>
        <v>216991.02063617937</v>
      </c>
      <c r="N32" s="34">
        <f>+M32/$M$20</f>
        <v>9.321411774220105E-2</v>
      </c>
      <c r="O32" s="34">
        <f>IF(K32=0,"",(M32-K32)/ABS(K32)+1)</f>
        <v>1.1241491368119392</v>
      </c>
      <c r="P32" s="32">
        <f>SUM(P30:P31)</f>
        <v>247720.5564673091</v>
      </c>
      <c r="Q32" s="34">
        <f t="shared" si="8"/>
        <v>9.7137007949024148E-2</v>
      </c>
      <c r="R32" s="34">
        <f>IF(P32=0,"",(M32-P32)/ABS(P32))</f>
        <v>-0.12404919587359724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140539.01839565401</v>
      </c>
      <c r="D34" s="34">
        <f t="shared" si="13"/>
        <v>0.5966668267744123</v>
      </c>
      <c r="E34" s="32">
        <f>E28+E32</f>
        <v>165178.85375160637</v>
      </c>
      <c r="F34" s="34">
        <f>+E34/$E$20</f>
        <v>0.72154582635394637</v>
      </c>
      <c r="G34" s="34">
        <f>IF(C34=0,"",(E34-C34)/ABS(C34)+1)</f>
        <v>1.175323804287467</v>
      </c>
      <c r="H34" s="32">
        <f>H28+H32</f>
        <v>173740.2740392572</v>
      </c>
      <c r="I34" s="34">
        <f t="shared" si="16"/>
        <v>0.6661799750520031</v>
      </c>
      <c r="J34" s="34">
        <f>IF(H34=0,"",(E34-H34)/ABS(H34))</f>
        <v>-4.9277119740909085E-2</v>
      </c>
      <c r="K34" s="32">
        <f>K28+K32</f>
        <v>1496045.7438218049</v>
      </c>
      <c r="L34" s="34">
        <f t="shared" si="5"/>
        <v>0.6391951121176036</v>
      </c>
      <c r="M34" s="32">
        <f>M28+M32</f>
        <v>1550908.1888065236</v>
      </c>
      <c r="N34" s="34">
        <f>+M34/$M$20</f>
        <v>0.66623281504880472</v>
      </c>
      <c r="O34" s="34">
        <f>IF(K34=0,"",(M34-K34)/ABS(K34)+1)</f>
        <v>1.0366716360186734</v>
      </c>
      <c r="P34" s="32">
        <f>P28+P32</f>
        <v>1714256.2304612184</v>
      </c>
      <c r="Q34" s="34">
        <f t="shared" si="8"/>
        <v>0.67219985074977162</v>
      </c>
      <c r="R34" s="34">
        <f>IF(P34=0,"",(M34-P34)/ABS(P34))</f>
        <v>-9.5287996480401441E-2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61290.109648078185</v>
      </c>
      <c r="D36" s="45">
        <f t="shared" si="13"/>
        <v>0.26021083435648557</v>
      </c>
      <c r="E36" s="69">
        <f>E24-E34</f>
        <v>36594.463636775326</v>
      </c>
      <c r="F36" s="45">
        <f>+E36/$E$20</f>
        <v>0.15985449653551498</v>
      </c>
      <c r="G36" s="45">
        <f>IF(C36=0,"",(E36-C36)/ABS(C36)+1)</f>
        <v>0.59706963891722753</v>
      </c>
      <c r="H36" s="69">
        <f>H24-H34</f>
        <v>55892.264683244517</v>
      </c>
      <c r="I36" s="45">
        <f t="shared" si="16"/>
        <v>0.21431016900474423</v>
      </c>
      <c r="J36" s="45">
        <f>IF(H36=0,"",(E36-H36)/ABS(H36))</f>
        <v>-0.34526783188755489</v>
      </c>
      <c r="K36" s="69">
        <f>K24-K34</f>
        <v>521620.42640037229</v>
      </c>
      <c r="L36" s="45">
        <f t="shared" si="5"/>
        <v>0.22286566324106447</v>
      </c>
      <c r="M36" s="69">
        <f>+M24-M34</f>
        <v>466783.18928017374</v>
      </c>
      <c r="N36" s="45">
        <f>+M36/$M$20</f>
        <v>0.20051881888050618</v>
      </c>
      <c r="O36" s="45">
        <f>IF(K36=0,"",(M36-K36)/ABS(K36)+1)</f>
        <v>0.89487137706891107</v>
      </c>
      <c r="P36" s="69">
        <f>P24-P34</f>
        <v>528512.07397174696</v>
      </c>
      <c r="Q36" s="45">
        <f t="shared" si="8"/>
        <v>0.20724191105764672</v>
      </c>
      <c r="R36" s="45">
        <f>IF(P36=0,"",(M36-P36)/ABS(P36))</f>
        <v>-0.1167974919242301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330.94031052589793</v>
      </c>
      <c r="D38" s="34">
        <f t="shared" si="13"/>
        <v>1.4050269255284082E-3</v>
      </c>
      <c r="E38" s="32">
        <f>+'COLOMBIA USD'!E38+'EL SALVADOR USD'!E38+'VENEZUELA USD'!E38+'PANAMA USD'!E38</f>
        <v>4226.3666068751827</v>
      </c>
      <c r="F38" s="34">
        <f>+E38/$E$20</f>
        <v>1.8461910326719538E-2</v>
      </c>
      <c r="G38" s="34">
        <f>IF(C38=0,"",(E38-C38)/ABS(C38)+1)</f>
        <v>12.770782139410743</v>
      </c>
      <c r="H38" s="32">
        <f>+'COLOMBIA USD'!H38+'EL SALVADOR USD'!H38+'VENEZUELA USD'!H38+'PANAMA USD'!H38</f>
        <v>2499.4983269514532</v>
      </c>
      <c r="I38" s="34">
        <f t="shared" si="16"/>
        <v>9.5839363803167706E-3</v>
      </c>
      <c r="J38" s="34">
        <f>IF(H38=0,"",(E38-H38)/ABS(H38))</f>
        <v>0.69088595151408949</v>
      </c>
      <c r="K38" s="32">
        <f>+'COLOMBIA USD'!K38+'EL SALVADOR USD'!K38+'VENEZUELA USD'!K38+'PANAMA USD'!K38</f>
        <v>3309.4031052589798</v>
      </c>
      <c r="L38" s="34">
        <f t="shared" si="5"/>
        <v>1.4139636422509823E-3</v>
      </c>
      <c r="M38" s="32">
        <f>+'COLOMBIA USD'!M38+'EL SALVADOR USD'!M38+'VENEZUELA USD'!M38+'PANAMA USD'!M38</f>
        <v>15532.43167705375</v>
      </c>
      <c r="N38" s="34">
        <f>+M38/$M$20</f>
        <v>6.672358657619862E-3</v>
      </c>
      <c r="O38" s="34">
        <f>IF(K38=0,"",(M38-K38)/ABS(K38)+1)</f>
        <v>4.6934239145334482</v>
      </c>
      <c r="P38" s="32">
        <f>+'COLOMBIA USD'!P38+'EL SALVADOR USD'!P38+'VENEZUELA USD'!P38+'PANAMA USD'!P38</f>
        <v>11889.152696993526</v>
      </c>
      <c r="Q38" s="34">
        <f t="shared" si="8"/>
        <v>4.6620140714379006E-3</v>
      </c>
      <c r="R38" s="34">
        <f>IF(P38=0,"",(M38-P38)/ABS(P38))</f>
        <v>0.30643722668155482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8968.0296235809165</v>
      </c>
      <c r="D39" s="34">
        <f t="shared" si="13"/>
        <v>3.8074307327639792E-2</v>
      </c>
      <c r="E39" s="32">
        <f>+'COLOMBIA USD'!E39+'EL SALVADOR USD'!E39+'VENEZUELA USD'!E39+'PANAMA USD'!E39</f>
        <v>10156.504315540325</v>
      </c>
      <c r="F39" s="34">
        <f>+E39/$E$20</f>
        <v>4.4366352791406855E-2</v>
      </c>
      <c r="G39" s="34">
        <f>IF(C39=0,"",(E39-C39)/ABS(C39)+1)</f>
        <v>1.1325235020226052</v>
      </c>
      <c r="H39" s="32">
        <f>+'COLOMBIA USD'!H39+'EL SALVADOR USD'!H39+'VENEZUELA USD'!H39+'PANAMA USD'!H39</f>
        <v>7759.7336257917759</v>
      </c>
      <c r="I39" s="34">
        <f t="shared" si="16"/>
        <v>2.9753487968322855E-2</v>
      </c>
      <c r="J39" s="34">
        <f>IF(H39=0,"",(E39-H39)/ABS(H39))</f>
        <v>0.30887280483213642</v>
      </c>
      <c r="K39" s="32">
        <f>+'COLOMBIA USD'!K39+'EL SALVADOR USD'!K39+'VENEZUELA USD'!K39+'PANAMA USD'!K39</f>
        <v>86631.063477481774</v>
      </c>
      <c r="L39" s="34">
        <f t="shared" si="5"/>
        <v>3.7013675926042974E-2</v>
      </c>
      <c r="M39" s="32">
        <f>+'COLOMBIA USD'!M39+'EL SALVADOR USD'!M39+'VENEZUELA USD'!M39+'PANAMA USD'!M39</f>
        <v>90950.90943305695</v>
      </c>
      <c r="N39" s="34">
        <f>+M39/$M$20</f>
        <v>3.9070320770866473E-2</v>
      </c>
      <c r="O39" s="34">
        <f>IF(K39=0,"",(M39-K39)/ABS(K39)+1)</f>
        <v>1.0498648611961001</v>
      </c>
      <c r="P39" s="32">
        <f>+'COLOMBIA USD'!P39+'EL SALVADOR USD'!P39+'VENEZUELA USD'!P39+'PANAMA USD'!P39</f>
        <v>82919.326278050095</v>
      </c>
      <c r="Q39" s="34">
        <f t="shared" si="8"/>
        <v>3.251460181852777E-2</v>
      </c>
      <c r="R39" s="34">
        <f>IF(P39=0,"",(M39-P39)/ABS(P39))</f>
        <v>9.6860207571813406E-2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52653.020335023168</v>
      </c>
      <c r="D41" s="34">
        <f t="shared" si="13"/>
        <v>0.22354155395437419</v>
      </c>
      <c r="E41" s="32">
        <f>E36+E38-E39</f>
        <v>30664.325928110185</v>
      </c>
      <c r="F41" s="34">
        <f>+E41/$E$20</f>
        <v>0.13395005407082766</v>
      </c>
      <c r="G41" s="34">
        <f>IF(C41=0,"",(E41-C41)/ABS(C41)+1)</f>
        <v>0.58238493695134186</v>
      </c>
      <c r="H41" s="32">
        <f>H36+H38-H39</f>
        <v>50632.029384404195</v>
      </c>
      <c r="I41" s="34">
        <f t="shared" si="16"/>
        <v>0.19414061741673813</v>
      </c>
      <c r="J41" s="34">
        <f>IF(H41=0,"",(E41-H41)/ABS(H41))</f>
        <v>-0.39436901303514632</v>
      </c>
      <c r="K41" s="32">
        <f>K36+K38-K39</f>
        <v>438298.76602814946</v>
      </c>
      <c r="L41" s="34">
        <f t="shared" si="5"/>
        <v>0.18726595095727247</v>
      </c>
      <c r="M41" s="32">
        <f>+'COLOMBIA USD'!M41+'EL SALVADOR USD'!M41+'VENEZUELA USD'!M41+'PANAMA USD'!M41</f>
        <v>-83702.121902582017</v>
      </c>
      <c r="N41" s="34">
        <f>+M41/$M$20</f>
        <v>-3.5956416184525122E-2</v>
      </c>
      <c r="O41" s="34">
        <f>IF(K41=0,"",(M41-K41)/ABS(K41)+1)</f>
        <v>-0.1909704712634448</v>
      </c>
      <c r="P41" s="32">
        <f>+'COLOMBIA USD'!P41+'EL SALVADOR USD'!P41+'VENEZUELA USD'!P41+'PANAMA USD'!P41</f>
        <v>-511957.51705458958</v>
      </c>
      <c r="Q41" s="34">
        <f t="shared" si="8"/>
        <v>-0.20075048317702715</v>
      </c>
      <c r="R41" s="34">
        <f>IF(P41=0,"",(M41-P41)/ABS(P41))</f>
        <v>0.83650572730303929</v>
      </c>
    </row>
    <row r="42" spans="2:29" x14ac:dyDescent="0.2">
      <c r="B42" s="3" t="s">
        <v>44</v>
      </c>
      <c r="C42" s="32">
        <f>+'COLOMBIA USD'!C42+'EL SALVADOR USD'!C42+'VENEZUELA USD'!C42+'PANAMA USD'!C42</f>
        <v>6583.2280516711471</v>
      </c>
      <c r="D42" s="34">
        <f t="shared" si="13"/>
        <v>2.7949489304561616E-2</v>
      </c>
      <c r="E42" s="32">
        <f>+'COLOMBIA USD'!E42+'EL SALVADOR USD'!E42+'VENEZUELA USD'!E42+'PANAMA USD'!E42</f>
        <v>-9008.5246042403596</v>
      </c>
      <c r="F42" s="34">
        <f>+E42/$E$20</f>
        <v>-3.9351667493535046E-2</v>
      </c>
      <c r="G42" s="34">
        <f>IF(C42=0,"",(E42-C42)/ABS(C42)+1)</f>
        <v>-1.3684053679339807</v>
      </c>
      <c r="H42" s="32">
        <f>+'COLOMBIA USD'!H42+'EL SALVADOR USD'!H42+'VENEZUELA USD'!H42+'PANAMA USD'!H42</f>
        <v>-360.02966972906853</v>
      </c>
      <c r="I42" s="34">
        <f t="shared" si="16"/>
        <v>-1.3804775992462064E-3</v>
      </c>
      <c r="J42" s="34">
        <f>IF(H42=0,"",(E42-H42)/ABS(H42))</f>
        <v>-24.021617276763614</v>
      </c>
      <c r="K42" s="32">
        <f>+'COLOMBIA USD'!K42+'EL SALVADOR USD'!K42+'VENEZUELA USD'!K42+'PANAMA USD'!K42</f>
        <v>27076.011103172175</v>
      </c>
      <c r="L42" s="34">
        <f t="shared" si="5"/>
        <v>1.1568398910435356E-2</v>
      </c>
      <c r="M42" s="32">
        <f>+'COLOMBIA USD'!M42+'EL SALVADOR USD'!M42+'VENEZUELA USD'!M42+'PANAMA USD'!M42</f>
        <v>7170.3540370703413</v>
      </c>
      <c r="N42" s="34">
        <f>+M42/$M$20</f>
        <v>3.0802114461012001E-3</v>
      </c>
      <c r="O42" s="34">
        <f>IF(K42=0,"",(M42-K42)/ABS(K42)+1)</f>
        <v>0.26482313106417199</v>
      </c>
      <c r="P42" s="32">
        <f>+'COLOMBIA USD'!P42+'EL SALVADOR USD'!P42+'VENEZUELA USD'!P42+'PANAMA USD'!P42</f>
        <v>36537.799669468812</v>
      </c>
      <c r="Q42" s="34">
        <f t="shared" si="8"/>
        <v>1.4327323446818663E-2</v>
      </c>
      <c r="R42" s="34">
        <f>IF(P42=0,"",(M42-P42)/ABS(P42))</f>
        <v>-0.80375517677760089</v>
      </c>
    </row>
    <row r="43" spans="2:29" x14ac:dyDescent="0.2">
      <c r="B43" s="20" t="s">
        <v>59</v>
      </c>
      <c r="C43" s="69">
        <f>+C41-C42</f>
        <v>46069.792283352021</v>
      </c>
      <c r="D43" s="45">
        <f t="shared" si="13"/>
        <v>0.19559206464981257</v>
      </c>
      <c r="E43" s="69">
        <f>E41-E42</f>
        <v>39672.850532350545</v>
      </c>
      <c r="F43" s="45">
        <f>+E43/$E$20</f>
        <v>0.17330172156436269</v>
      </c>
      <c r="G43" s="45">
        <f>IF(C43=0,"",(E43-C43)/ABS(C43)+1)</f>
        <v>0.861146720357298</v>
      </c>
      <c r="H43" s="69">
        <f>+H41-H42</f>
        <v>50992.059054133264</v>
      </c>
      <c r="I43" s="45">
        <f t="shared" si="16"/>
        <v>0.19552109501598436</v>
      </c>
      <c r="J43" s="45">
        <f>IF(H43=0,"",(E43-H43)/ABS(H43))</f>
        <v>-0.22197982846243228</v>
      </c>
      <c r="K43" s="69">
        <f>+K41-K42</f>
        <v>411222.75492497731</v>
      </c>
      <c r="L43" s="45">
        <f t="shared" si="5"/>
        <v>0.17569755204683712</v>
      </c>
      <c r="M43" s="69">
        <f>+M41-M42</f>
        <v>-90872.475939652359</v>
      </c>
      <c r="N43" s="45">
        <f>+M43/$M$20</f>
        <v>-3.9036627630626326E-2</v>
      </c>
      <c r="O43" s="45">
        <f>IF(K43=0,"",(M43-K43)/ABS(K43)+1)</f>
        <v>-0.22098114671750335</v>
      </c>
      <c r="P43" s="69">
        <f>P41-P42</f>
        <v>-548495.31672405836</v>
      </c>
      <c r="Q43" s="45">
        <f t="shared" si="8"/>
        <v>-0.21507780662384579</v>
      </c>
      <c r="R43" s="45">
        <f>IF(P43=0,"",(M43-P43)/ABS(P43))</f>
        <v>0.8343240622683944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86</v>
      </c>
      <c r="C45" s="32">
        <f>+'COLOMBIA USD'!C45+'EL SALVADOR USD'!C45+'VENEZUELA USD'!C45+'PANAMA USD'!C45</f>
        <v>41302.325292323047</v>
      </c>
      <c r="D45" s="34">
        <f t="shared" si="13"/>
        <v>0.17535149776837364</v>
      </c>
      <c r="E45" s="32">
        <f>+'COLOMBIA USD'!E45+'EL SALVADOR USD'!E45+'VENEZUELA USD'!E45+'PANAMA USD'!E45</f>
        <v>-940.12141156315556</v>
      </c>
      <c r="F45" s="34">
        <f>+E45/$E$20</f>
        <v>-4.1067041293279269E-3</v>
      </c>
      <c r="G45" s="34">
        <f>IF(C45=0,"",(E45-C45)/ABS(C45)+1)</f>
        <v>-2.2761948750084082E-2</v>
      </c>
      <c r="H45" s="32">
        <f>+'COLOMBIA USD'!H45+'EL SALVADOR USD'!H45+'VENEZUELA USD'!H45+'PANAMA USD'!H45</f>
        <v>17324.801798102209</v>
      </c>
      <c r="I45" s="34">
        <f t="shared" si="16"/>
        <v>6.642924959950737E-2</v>
      </c>
      <c r="J45" s="34">
        <f>IF(H45=0,"",(E45-H45)/ABS(H45))</f>
        <v>-1.0542644829371808</v>
      </c>
      <c r="K45" s="32">
        <f>+'COLOMBIA USD'!K45+'EL SALVADOR USD'!K45+'VENEZUELA USD'!K45+'PANAMA USD'!K45</f>
        <v>263504.57347487326</v>
      </c>
      <c r="L45" s="34">
        <f t="shared" si="5"/>
        <v>0.11258401427987008</v>
      </c>
      <c r="M45" s="32">
        <f>+'COLOMBIA USD'!M45+'EL SALVADOR USD'!M45+'VENEZUELA USD'!M45+'PANAMA USD'!M45</f>
        <v>231122.43708406255</v>
      </c>
      <c r="N45" s="34">
        <f>+M45/$M$20</f>
        <v>9.9284633991099838E-2</v>
      </c>
      <c r="O45" s="34">
        <f>IF(K45=0,"",(M45-K45)/ABS(K45)+1)</f>
        <v>0.8771097747421126</v>
      </c>
      <c r="P45" s="32">
        <f>+'COLOMBIA USD'!P45+'EL SALVADOR USD'!P45+'VENEZUELA USD'!P45+'PANAMA USD'!P45</f>
        <v>303286.08922524273</v>
      </c>
      <c r="Q45" s="34">
        <f t="shared" si="8"/>
        <v>0.11892554933683364</v>
      </c>
      <c r="R45" s="34">
        <f>IF(P45=0,"",(M45-P45)/ABS(P45))</f>
        <v>-0.23793920890181713</v>
      </c>
    </row>
    <row r="46" spans="2:29" x14ac:dyDescent="0.2">
      <c r="B46" s="3" t="s">
        <v>35</v>
      </c>
      <c r="C46" s="32">
        <f>+'COLOMBIA USD'!C46+'EL SALVADOR USD'!C46+'VENEZUELA USD'!C46+'PANAMA USD'!C46</f>
        <v>97689.936806051744</v>
      </c>
      <c r="D46" s="34">
        <f t="shared" si="13"/>
        <v>0.41474848243042983</v>
      </c>
      <c r="E46" s="32">
        <f>+'COLOMBIA USD'!E46+'EL SALVADOR USD'!E46+'VENEZUELA USD'!E46+'PANAMA USD'!E46</f>
        <v>113503.48152229589</v>
      </c>
      <c r="F46" s="34">
        <f>+E46/$E$20</f>
        <v>0.49581384970870346</v>
      </c>
      <c r="G46" s="34">
        <f>IF(C46=0,"",(E46-C46)/ABS(C46)+1)</f>
        <v>1.1618748586933727</v>
      </c>
      <c r="H46" s="32">
        <f>+'COLOMBIA USD'!H46+'EL SALVADOR USD'!H46+'VENEZUELA USD'!H46+'PANAMA USD'!H46</f>
        <v>119952.8573573812</v>
      </c>
      <c r="I46" s="34">
        <f t="shared" si="16"/>
        <v>0.45994051732473218</v>
      </c>
      <c r="J46" s="34">
        <f>IF(H46=0,"",(E46-H46)/ABS(H46))</f>
        <v>-5.3765920855644043E-2</v>
      </c>
      <c r="K46" s="32">
        <f>+'COLOMBIA USD'!K46+'EL SALVADOR USD'!K46+'VENEZUELA USD'!K46+'PANAMA USD'!K46</f>
        <v>1068695.5588445442</v>
      </c>
      <c r="L46" s="34">
        <f t="shared" si="5"/>
        <v>0.45660701243677254</v>
      </c>
      <c r="M46" s="32">
        <f>+'COLOMBIA USD'!M46+'EL SALVADOR USD'!M46+'VENEZUELA USD'!M46+'PANAMA USD'!M46</f>
        <v>1144468.5286668127</v>
      </c>
      <c r="N46" s="34">
        <f>+M46/$M$20</f>
        <v>0.49163612333184625</v>
      </c>
      <c r="O46" s="34">
        <f>IF(K46=0,"",(M46-K46)/ABS(K46)+1)</f>
        <v>1.0709022969125024</v>
      </c>
      <c r="P46" s="32">
        <f>+'COLOMBIA USD'!P46+'EL SALVADOR USD'!P46+'VENEZUELA USD'!P46+'PANAMA USD'!P46</f>
        <v>1188066.4400839687</v>
      </c>
      <c r="Q46" s="34">
        <f t="shared" si="8"/>
        <v>0.46586856125375675</v>
      </c>
      <c r="R46" s="34">
        <f>IF(P46=0,"",(M46-P46)/ABS(P46))</f>
        <v>-3.6696526344161894E-2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D2C0E-F058-4084-9D02-FD2F1BB1581F}">
  <dimension ref="A6:V595"/>
  <sheetViews>
    <sheetView topLeftCell="A504" workbookViewId="0">
      <selection activeCell="B549" sqref="B549"/>
    </sheetView>
  </sheetViews>
  <sheetFormatPr baseColWidth="10" defaultColWidth="11.42578125" defaultRowHeight="12" x14ac:dyDescent="0.2"/>
  <cols>
    <col min="1" max="1" width="40.85546875" style="125" customWidth="1"/>
    <col min="2" max="2" width="44.42578125" style="125" customWidth="1"/>
    <col min="3" max="3" width="29.140625" style="125" customWidth="1"/>
    <col min="4" max="4" width="8" style="125" customWidth="1"/>
    <col min="5" max="5" width="22.85546875" style="125" bestFit="1" customWidth="1"/>
    <col min="6" max="6" width="36.42578125" style="125" bestFit="1" customWidth="1"/>
    <col min="7" max="7" width="13.42578125" style="127" bestFit="1" customWidth="1"/>
    <col min="8" max="18" width="30.5703125" style="127" bestFit="1" customWidth="1"/>
    <col min="19" max="19" width="14.140625" style="127" bestFit="1" customWidth="1"/>
    <col min="20" max="22" width="11.42578125" style="127"/>
    <col min="23" max="16384" width="11.42578125" style="125"/>
  </cols>
  <sheetData>
    <row r="6" spans="1:2" x14ac:dyDescent="0.2">
      <c r="A6" s="123" t="s">
        <v>158</v>
      </c>
      <c r="B6" s="124" t="s">
        <v>159</v>
      </c>
    </row>
    <row r="7" spans="1:2" x14ac:dyDescent="0.2">
      <c r="A7" s="123" t="s">
        <v>66</v>
      </c>
      <c r="B7" s="124" t="s">
        <v>160</v>
      </c>
    </row>
    <row r="8" spans="1:2" x14ac:dyDescent="0.2">
      <c r="A8" s="123" t="s">
        <v>68</v>
      </c>
      <c r="B8" s="124" t="s">
        <v>161</v>
      </c>
    </row>
    <row r="9" spans="1:2" x14ac:dyDescent="0.2">
      <c r="A9" s="123" t="s">
        <v>79</v>
      </c>
      <c r="B9" s="124" t="s">
        <v>162</v>
      </c>
    </row>
    <row r="10" spans="1:2" x14ac:dyDescent="0.2">
      <c r="A10" s="123" t="s">
        <v>163</v>
      </c>
      <c r="B10" s="124" t="s">
        <v>164</v>
      </c>
    </row>
    <row r="11" spans="1:2" x14ac:dyDescent="0.2">
      <c r="A11" s="123">
        <v>4170250500</v>
      </c>
      <c r="B11" s="124" t="s">
        <v>165</v>
      </c>
    </row>
    <row r="12" spans="1:2" x14ac:dyDescent="0.2">
      <c r="A12" s="123" t="s">
        <v>81</v>
      </c>
      <c r="B12" s="124" t="s">
        <v>166</v>
      </c>
    </row>
    <row r="13" spans="1:2" x14ac:dyDescent="0.2">
      <c r="A13" s="123" t="s">
        <v>167</v>
      </c>
      <c r="B13" s="124" t="s">
        <v>168</v>
      </c>
    </row>
    <row r="14" spans="1:2" x14ac:dyDescent="0.2">
      <c r="A14" s="123" t="s">
        <v>74</v>
      </c>
      <c r="B14" s="124" t="s">
        <v>169</v>
      </c>
    </row>
    <row r="15" spans="1:2" x14ac:dyDescent="0.2">
      <c r="A15" s="123">
        <v>4155951000</v>
      </c>
      <c r="B15" s="124" t="s">
        <v>170</v>
      </c>
    </row>
    <row r="16" spans="1:2" x14ac:dyDescent="0.2">
      <c r="A16" s="123" t="s">
        <v>77</v>
      </c>
      <c r="B16" s="124" t="s">
        <v>171</v>
      </c>
    </row>
    <row r="33" spans="1:19" x14ac:dyDescent="0.2">
      <c r="B33" s="126" t="s">
        <v>172</v>
      </c>
      <c r="D33" s="125" t="s">
        <v>173</v>
      </c>
    </row>
    <row r="34" spans="1:19" x14ac:dyDescent="0.2">
      <c r="A34" s="125" t="s">
        <v>174</v>
      </c>
      <c r="B34" s="126" t="s">
        <v>175</v>
      </c>
    </row>
    <row r="35" spans="1:19" x14ac:dyDescent="0.2">
      <c r="A35" s="125" t="s">
        <v>176</v>
      </c>
      <c r="B35" s="126" t="s">
        <v>177</v>
      </c>
    </row>
    <row r="36" spans="1:19" x14ac:dyDescent="0.2">
      <c r="A36" s="125" t="s">
        <v>178</v>
      </c>
      <c r="B36" s="126" t="s">
        <v>179</v>
      </c>
    </row>
    <row r="37" spans="1:19" x14ac:dyDescent="0.2">
      <c r="A37" s="125" t="s">
        <v>180</v>
      </c>
      <c r="B37" s="126" t="s">
        <v>181</v>
      </c>
    </row>
    <row r="38" spans="1:19" x14ac:dyDescent="0.2">
      <c r="B38" s="126"/>
    </row>
    <row r="39" spans="1:19" x14ac:dyDescent="0.2">
      <c r="B39" s="126"/>
    </row>
    <row r="40" spans="1:19" x14ac:dyDescent="0.2">
      <c r="B40" s="126"/>
    </row>
    <row r="41" spans="1:19" x14ac:dyDescent="0.2">
      <c r="B41" s="126" t="s">
        <v>182</v>
      </c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</row>
    <row r="42" spans="1:19" x14ac:dyDescent="0.2">
      <c r="A42" s="128"/>
      <c r="B42" s="125" t="s">
        <v>183</v>
      </c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</row>
    <row r="43" spans="1:19" x14ac:dyDescent="0.2">
      <c r="A43" s="128" t="s">
        <v>184</v>
      </c>
      <c r="B43" s="124" t="s">
        <v>185</v>
      </c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</row>
    <row r="44" spans="1:19" x14ac:dyDescent="0.2">
      <c r="A44" s="125" t="s">
        <v>186</v>
      </c>
      <c r="B44" s="124" t="s">
        <v>187</v>
      </c>
      <c r="G44" s="125"/>
    </row>
    <row r="45" spans="1:19" x14ac:dyDescent="0.2">
      <c r="A45" s="128" t="s">
        <v>188</v>
      </c>
      <c r="B45" s="124" t="s">
        <v>189</v>
      </c>
      <c r="G45" s="125"/>
    </row>
    <row r="46" spans="1:19" x14ac:dyDescent="0.2">
      <c r="A46" s="123">
        <v>5295400000</v>
      </c>
      <c r="B46" s="124" t="s">
        <v>190</v>
      </c>
      <c r="G46" s="125"/>
    </row>
    <row r="47" spans="1:19" x14ac:dyDescent="0.2">
      <c r="A47" s="123">
        <v>5235500000</v>
      </c>
      <c r="B47" s="124" t="s">
        <v>191</v>
      </c>
    </row>
    <row r="48" spans="1:19" x14ac:dyDescent="0.2">
      <c r="A48" s="128" t="s">
        <v>192</v>
      </c>
      <c r="B48" s="124" t="s">
        <v>193</v>
      </c>
    </row>
    <row r="49" spans="1:5" x14ac:dyDescent="0.2">
      <c r="A49" s="128" t="s">
        <v>194</v>
      </c>
      <c r="B49" s="124" t="s">
        <v>195</v>
      </c>
    </row>
    <row r="50" spans="1:5" x14ac:dyDescent="0.2">
      <c r="A50" s="128" t="s">
        <v>196</v>
      </c>
      <c r="B50" s="124" t="s">
        <v>197</v>
      </c>
    </row>
    <row r="51" spans="1:5" x14ac:dyDescent="0.2">
      <c r="A51" s="129">
        <v>5295950300</v>
      </c>
      <c r="B51" s="124" t="s">
        <v>198</v>
      </c>
    </row>
    <row r="52" spans="1:5" x14ac:dyDescent="0.2">
      <c r="A52" s="128" t="s">
        <v>199</v>
      </c>
      <c r="B52" s="124" t="s">
        <v>200</v>
      </c>
    </row>
    <row r="53" spans="1:5" x14ac:dyDescent="0.2">
      <c r="A53" s="123">
        <v>5240200100</v>
      </c>
      <c r="B53" s="124" t="s">
        <v>201</v>
      </c>
    </row>
    <row r="54" spans="1:5" x14ac:dyDescent="0.2">
      <c r="A54" s="123">
        <v>5235150000</v>
      </c>
      <c r="B54" s="124" t="s">
        <v>202</v>
      </c>
    </row>
    <row r="55" spans="1:5" x14ac:dyDescent="0.2">
      <c r="A55" s="123">
        <v>5235100000</v>
      </c>
      <c r="B55" s="124" t="s">
        <v>203</v>
      </c>
    </row>
    <row r="56" spans="1:5" x14ac:dyDescent="0.2">
      <c r="A56" s="128" t="s">
        <v>204</v>
      </c>
      <c r="B56" s="124" t="s">
        <v>205</v>
      </c>
    </row>
    <row r="57" spans="1:5" x14ac:dyDescent="0.2">
      <c r="A57" s="123">
        <v>5299100000</v>
      </c>
      <c r="B57" s="124" t="s">
        <v>206</v>
      </c>
    </row>
    <row r="58" spans="1:5" x14ac:dyDescent="0.2">
      <c r="A58" s="129" t="s">
        <v>207</v>
      </c>
      <c r="B58" s="130" t="s">
        <v>208</v>
      </c>
    </row>
    <row r="59" spans="1:5" x14ac:dyDescent="0.2">
      <c r="A59" s="128"/>
      <c r="B59" s="130" t="s">
        <v>209</v>
      </c>
      <c r="C59" s="125" t="str">
        <f>+Paramet!B4</f>
        <v>202510</v>
      </c>
    </row>
    <row r="60" spans="1:5" x14ac:dyDescent="0.2">
      <c r="A60" s="128" t="s">
        <v>210</v>
      </c>
      <c r="B60" s="124" t="s">
        <v>211</v>
      </c>
      <c r="C60" s="131"/>
      <c r="D60" s="131"/>
      <c r="E60" s="132"/>
    </row>
    <row r="61" spans="1:5" x14ac:dyDescent="0.2">
      <c r="A61" s="125" t="s">
        <v>212</v>
      </c>
      <c r="B61" s="124" t="s">
        <v>213</v>
      </c>
      <c r="C61" s="131"/>
      <c r="D61" s="131"/>
      <c r="E61" s="132"/>
    </row>
    <row r="62" spans="1:5" x14ac:dyDescent="0.2">
      <c r="A62" s="128" t="s">
        <v>214</v>
      </c>
      <c r="B62" s="124" t="s">
        <v>215</v>
      </c>
      <c r="C62" s="131"/>
      <c r="D62" s="131"/>
      <c r="E62" s="132"/>
    </row>
    <row r="63" spans="1:5" x14ac:dyDescent="0.2">
      <c r="A63" s="128" t="s">
        <v>216</v>
      </c>
      <c r="B63" s="124" t="s">
        <v>217</v>
      </c>
      <c r="C63" s="131"/>
      <c r="D63" s="131"/>
      <c r="E63" s="132"/>
    </row>
    <row r="64" spans="1:5" x14ac:dyDescent="0.2">
      <c r="A64" s="128" t="s">
        <v>218</v>
      </c>
      <c r="B64" s="124" t="s">
        <v>219</v>
      </c>
      <c r="C64" s="131"/>
      <c r="D64" s="131"/>
      <c r="E64" s="132"/>
    </row>
    <row r="65" spans="1:5" x14ac:dyDescent="0.2">
      <c r="A65" s="128" t="s">
        <v>220</v>
      </c>
      <c r="B65" s="124" t="s">
        <v>221</v>
      </c>
      <c r="C65" s="131"/>
      <c r="D65" s="131"/>
      <c r="E65" s="132"/>
    </row>
    <row r="66" spans="1:5" x14ac:dyDescent="0.2">
      <c r="A66" s="128" t="s">
        <v>222</v>
      </c>
      <c r="B66" s="124" t="s">
        <v>223</v>
      </c>
      <c r="C66" s="131"/>
      <c r="D66" s="131"/>
      <c r="E66" s="132"/>
    </row>
    <row r="67" spans="1:5" x14ac:dyDescent="0.2">
      <c r="A67" s="128" t="s">
        <v>224</v>
      </c>
      <c r="B67" s="124" t="s">
        <v>225</v>
      </c>
      <c r="C67" s="131"/>
      <c r="D67" s="131"/>
      <c r="E67" s="132"/>
    </row>
    <row r="68" spans="1:5" x14ac:dyDescent="0.2">
      <c r="A68" s="123">
        <v>5265100000</v>
      </c>
      <c r="B68" s="124" t="s">
        <v>226</v>
      </c>
      <c r="C68" s="131"/>
      <c r="D68" s="131"/>
      <c r="E68" s="132"/>
    </row>
    <row r="69" spans="1:5" x14ac:dyDescent="0.2">
      <c r="A69" s="128" t="s">
        <v>227</v>
      </c>
      <c r="B69" s="124" t="s">
        <v>228</v>
      </c>
      <c r="C69" s="131"/>
      <c r="D69" s="131"/>
      <c r="E69" s="132"/>
    </row>
    <row r="70" spans="1:5" x14ac:dyDescent="0.2">
      <c r="A70" s="128" t="s">
        <v>229</v>
      </c>
      <c r="B70" s="124" t="s">
        <v>230</v>
      </c>
      <c r="C70" s="131"/>
      <c r="D70" s="131"/>
      <c r="E70" s="132"/>
    </row>
    <row r="71" spans="1:5" x14ac:dyDescent="0.2">
      <c r="A71" s="128" t="s">
        <v>231</v>
      </c>
      <c r="B71" s="124" t="s">
        <v>232</v>
      </c>
      <c r="C71" s="131"/>
      <c r="D71" s="131"/>
      <c r="E71" s="132"/>
    </row>
    <row r="72" spans="1:5" x14ac:dyDescent="0.2">
      <c r="A72" s="128" t="s">
        <v>233</v>
      </c>
      <c r="B72" s="124" t="s">
        <v>234</v>
      </c>
      <c r="C72" s="131"/>
      <c r="D72" s="131"/>
      <c r="E72" s="132"/>
    </row>
    <row r="73" spans="1:5" x14ac:dyDescent="0.2">
      <c r="A73" s="123" t="s">
        <v>235</v>
      </c>
      <c r="B73" s="124" t="s">
        <v>236</v>
      </c>
      <c r="C73" s="131"/>
      <c r="D73" s="131"/>
      <c r="E73" s="132"/>
    </row>
    <row r="74" spans="1:5" x14ac:dyDescent="0.2">
      <c r="A74" s="128" t="s">
        <v>237</v>
      </c>
      <c r="B74" s="124" t="s">
        <v>238</v>
      </c>
      <c r="C74" s="131"/>
      <c r="D74" s="131"/>
      <c r="E74" s="132"/>
    </row>
    <row r="75" spans="1:5" x14ac:dyDescent="0.2">
      <c r="A75" s="123">
        <v>5265150000</v>
      </c>
      <c r="B75" s="124" t="s">
        <v>239</v>
      </c>
      <c r="C75" s="131"/>
      <c r="D75" s="131"/>
      <c r="E75" s="132"/>
    </row>
    <row r="76" spans="1:5" x14ac:dyDescent="0.2">
      <c r="A76" s="128" t="s">
        <v>240</v>
      </c>
      <c r="B76" s="124" t="s">
        <v>241</v>
      </c>
      <c r="C76" s="131"/>
      <c r="D76" s="131"/>
      <c r="E76" s="132"/>
    </row>
    <row r="77" spans="1:5" x14ac:dyDescent="0.2">
      <c r="A77" s="128" t="s">
        <v>242</v>
      </c>
      <c r="B77" s="124" t="s">
        <v>243</v>
      </c>
      <c r="C77" s="131"/>
      <c r="D77" s="131"/>
      <c r="E77" s="132"/>
    </row>
    <row r="78" spans="1:5" x14ac:dyDescent="0.2">
      <c r="A78" s="128" t="s">
        <v>244</v>
      </c>
      <c r="B78" s="124" t="s">
        <v>245</v>
      </c>
      <c r="C78" s="131"/>
      <c r="D78" s="131"/>
      <c r="E78" s="132"/>
    </row>
    <row r="79" spans="1:5" x14ac:dyDescent="0.2">
      <c r="A79" s="128" t="s">
        <v>246</v>
      </c>
      <c r="B79" s="124" t="s">
        <v>247</v>
      </c>
      <c r="C79" s="131"/>
      <c r="D79" s="131"/>
      <c r="E79" s="132"/>
    </row>
    <row r="80" spans="1:5" x14ac:dyDescent="0.2">
      <c r="A80" s="128" t="s">
        <v>248</v>
      </c>
      <c r="B80" s="124" t="s">
        <v>249</v>
      </c>
      <c r="C80" s="131"/>
      <c r="D80" s="131"/>
      <c r="E80" s="132"/>
    </row>
    <row r="81" spans="1:5" x14ac:dyDescent="0.2">
      <c r="A81" s="128" t="s">
        <v>250</v>
      </c>
      <c r="B81" s="124" t="s">
        <v>251</v>
      </c>
      <c r="C81" s="131"/>
      <c r="D81" s="131"/>
      <c r="E81" s="132"/>
    </row>
    <row r="82" spans="1:5" x14ac:dyDescent="0.2">
      <c r="A82" s="123" t="s">
        <v>252</v>
      </c>
      <c r="B82" s="124" t="s">
        <v>253</v>
      </c>
      <c r="C82" s="131"/>
      <c r="D82" s="131"/>
      <c r="E82" s="132"/>
    </row>
    <row r="83" spans="1:5" x14ac:dyDescent="0.2">
      <c r="A83" s="128" t="s">
        <v>254</v>
      </c>
      <c r="B83" s="124" t="s">
        <v>255</v>
      </c>
      <c r="C83" s="131"/>
      <c r="D83" s="131"/>
      <c r="E83" s="132"/>
    </row>
    <row r="84" spans="1:5" x14ac:dyDescent="0.2">
      <c r="A84" s="128" t="s">
        <v>256</v>
      </c>
      <c r="B84" s="124" t="s">
        <v>257</v>
      </c>
      <c r="C84" s="131"/>
      <c r="D84" s="131"/>
      <c r="E84" s="132"/>
    </row>
    <row r="85" spans="1:5" x14ac:dyDescent="0.2">
      <c r="A85" s="128" t="s">
        <v>258</v>
      </c>
      <c r="B85" s="124" t="s">
        <v>259</v>
      </c>
      <c r="C85" s="131"/>
      <c r="D85" s="131"/>
      <c r="E85" s="132"/>
    </row>
    <row r="86" spans="1:5" x14ac:dyDescent="0.2">
      <c r="A86" s="133" t="s">
        <v>260</v>
      </c>
      <c r="B86" s="124" t="s">
        <v>261</v>
      </c>
      <c r="C86" s="131"/>
      <c r="D86" s="131"/>
      <c r="E86" s="132"/>
    </row>
    <row r="87" spans="1:5" x14ac:dyDescent="0.2">
      <c r="A87" s="128" t="s">
        <v>262</v>
      </c>
      <c r="B87" s="124" t="s">
        <v>263</v>
      </c>
      <c r="C87" s="131"/>
      <c r="D87" s="131"/>
      <c r="E87" s="132"/>
    </row>
    <row r="88" spans="1:5" x14ac:dyDescent="0.2">
      <c r="A88" s="128"/>
      <c r="B88" s="130" t="s">
        <v>264</v>
      </c>
      <c r="C88" s="132"/>
      <c r="D88" s="134"/>
      <c r="E88" s="135"/>
    </row>
    <row r="89" spans="1:5" x14ac:dyDescent="0.2">
      <c r="A89" s="128" t="s">
        <v>265</v>
      </c>
      <c r="B89" s="124" t="s">
        <v>266</v>
      </c>
    </row>
    <row r="90" spans="1:5" x14ac:dyDescent="0.2">
      <c r="A90" s="123">
        <v>5105180100</v>
      </c>
      <c r="B90" s="124" t="s">
        <v>267</v>
      </c>
    </row>
    <row r="91" spans="1:5" x14ac:dyDescent="0.2">
      <c r="A91" s="125" t="s">
        <v>268</v>
      </c>
      <c r="B91" s="124" t="s">
        <v>269</v>
      </c>
    </row>
    <row r="92" spans="1:5" x14ac:dyDescent="0.2">
      <c r="A92" s="123">
        <v>5105480100</v>
      </c>
      <c r="B92" s="124" t="s">
        <v>270</v>
      </c>
    </row>
    <row r="93" spans="1:5" x14ac:dyDescent="0.2">
      <c r="A93" s="128" t="s">
        <v>271</v>
      </c>
      <c r="B93" s="124" t="s">
        <v>272</v>
      </c>
    </row>
    <row r="94" spans="1:5" x14ac:dyDescent="0.2">
      <c r="A94" s="128" t="s">
        <v>273</v>
      </c>
      <c r="B94" s="124" t="s">
        <v>274</v>
      </c>
    </row>
    <row r="95" spans="1:5" x14ac:dyDescent="0.2">
      <c r="A95" s="128"/>
      <c r="B95" s="130" t="s">
        <v>275</v>
      </c>
    </row>
    <row r="96" spans="1:5" x14ac:dyDescent="0.2">
      <c r="A96" s="123">
        <v>5105180000</v>
      </c>
      <c r="B96" s="124" t="s">
        <v>276</v>
      </c>
      <c r="C96" s="131"/>
      <c r="E96" s="132"/>
    </row>
    <row r="97" spans="1:5" x14ac:dyDescent="0.2">
      <c r="A97" s="128" t="s">
        <v>277</v>
      </c>
      <c r="B97" s="124" t="s">
        <v>278</v>
      </c>
      <c r="C97" s="131"/>
      <c r="E97" s="132"/>
    </row>
    <row r="98" spans="1:5" x14ac:dyDescent="0.2">
      <c r="A98" s="128" t="s">
        <v>279</v>
      </c>
      <c r="B98" s="124" t="s">
        <v>280</v>
      </c>
      <c r="C98" s="131"/>
      <c r="E98" s="132"/>
    </row>
    <row r="99" spans="1:5" x14ac:dyDescent="0.2">
      <c r="A99" s="128" t="s">
        <v>281</v>
      </c>
      <c r="B99" s="124" t="s">
        <v>282</v>
      </c>
      <c r="C99" s="131"/>
      <c r="E99" s="132"/>
    </row>
    <row r="100" spans="1:5" x14ac:dyDescent="0.2">
      <c r="A100" s="123" t="s">
        <v>283</v>
      </c>
      <c r="B100" s="124" t="s">
        <v>284</v>
      </c>
      <c r="C100" s="131"/>
      <c r="E100" s="132"/>
    </row>
    <row r="101" spans="1:5" x14ac:dyDescent="0.2">
      <c r="A101" s="128" t="s">
        <v>285</v>
      </c>
      <c r="B101" s="124" t="s">
        <v>286</v>
      </c>
      <c r="C101" s="131"/>
      <c r="E101" s="132"/>
    </row>
    <row r="102" spans="1:5" x14ac:dyDescent="0.2">
      <c r="A102" s="128" t="s">
        <v>287</v>
      </c>
      <c r="B102" s="124" t="s">
        <v>288</v>
      </c>
      <c r="C102" s="131"/>
      <c r="E102" s="132"/>
    </row>
    <row r="103" spans="1:5" x14ac:dyDescent="0.2">
      <c r="A103" s="123" t="s">
        <v>289</v>
      </c>
      <c r="B103" s="124" t="s">
        <v>290</v>
      </c>
      <c r="C103" s="131"/>
      <c r="E103" s="132"/>
    </row>
    <row r="104" spans="1:5" x14ac:dyDescent="0.2">
      <c r="A104" s="123" t="s">
        <v>291</v>
      </c>
      <c r="B104" s="124" t="s">
        <v>292</v>
      </c>
      <c r="C104" s="131"/>
      <c r="E104" s="132"/>
    </row>
    <row r="105" spans="1:5" x14ac:dyDescent="0.2">
      <c r="A105" s="123">
        <v>5120100000</v>
      </c>
      <c r="B105" s="124" t="s">
        <v>293</v>
      </c>
      <c r="C105" s="131"/>
      <c r="E105" s="132"/>
    </row>
    <row r="106" spans="1:5" x14ac:dyDescent="0.2">
      <c r="A106" s="128" t="s">
        <v>294</v>
      </c>
      <c r="B106" s="124" t="s">
        <v>295</v>
      </c>
      <c r="C106" s="131"/>
      <c r="E106" s="132"/>
    </row>
    <row r="107" spans="1:5" x14ac:dyDescent="0.2">
      <c r="A107" s="128" t="s">
        <v>296</v>
      </c>
      <c r="B107" s="124" t="s">
        <v>297</v>
      </c>
      <c r="C107" s="131"/>
      <c r="E107" s="132"/>
    </row>
    <row r="108" spans="1:5" x14ac:dyDescent="0.2">
      <c r="A108" s="128" t="s">
        <v>298</v>
      </c>
      <c r="B108" s="124" t="s">
        <v>299</v>
      </c>
      <c r="C108" s="131"/>
      <c r="E108" s="132"/>
    </row>
    <row r="109" spans="1:5" x14ac:dyDescent="0.2">
      <c r="A109" s="128" t="s">
        <v>300</v>
      </c>
      <c r="B109" s="124" t="s">
        <v>301</v>
      </c>
      <c r="C109" s="131"/>
      <c r="E109" s="132"/>
    </row>
    <row r="110" spans="1:5" x14ac:dyDescent="0.2">
      <c r="A110" s="128" t="s">
        <v>302</v>
      </c>
      <c r="B110" s="124" t="s">
        <v>303</v>
      </c>
      <c r="C110" s="131"/>
      <c r="E110" s="132"/>
    </row>
    <row r="111" spans="1:5" x14ac:dyDescent="0.2">
      <c r="A111" s="128" t="s">
        <v>304</v>
      </c>
      <c r="B111" s="124" t="s">
        <v>305</v>
      </c>
      <c r="C111" s="131"/>
      <c r="E111" s="132"/>
    </row>
    <row r="112" spans="1:5" x14ac:dyDescent="0.2">
      <c r="A112" s="128" t="s">
        <v>306</v>
      </c>
      <c r="B112" s="124" t="s">
        <v>307</v>
      </c>
      <c r="C112" s="131"/>
      <c r="E112" s="132"/>
    </row>
    <row r="113" spans="1:11" x14ac:dyDescent="0.2">
      <c r="A113" s="128" t="s">
        <v>308</v>
      </c>
      <c r="B113" s="124" t="s">
        <v>309</v>
      </c>
      <c r="C113" s="131"/>
      <c r="E113" s="132"/>
    </row>
    <row r="114" spans="1:11" x14ac:dyDescent="0.2">
      <c r="A114" s="128" t="s">
        <v>310</v>
      </c>
      <c r="B114" s="124" t="s">
        <v>311</v>
      </c>
      <c r="C114" s="131"/>
      <c r="E114" s="132"/>
    </row>
    <row r="115" spans="1:11" x14ac:dyDescent="0.2">
      <c r="A115" s="128" t="s">
        <v>312</v>
      </c>
      <c r="B115" s="124" t="s">
        <v>313</v>
      </c>
      <c r="C115" s="131"/>
      <c r="E115" s="132"/>
    </row>
    <row r="116" spans="1:11" x14ac:dyDescent="0.2">
      <c r="A116" s="123" t="s">
        <v>314</v>
      </c>
      <c r="B116" s="124" t="s">
        <v>315</v>
      </c>
      <c r="C116" s="131"/>
      <c r="E116" s="132"/>
    </row>
    <row r="117" spans="1:11" x14ac:dyDescent="0.2">
      <c r="A117" s="128" t="s">
        <v>316</v>
      </c>
      <c r="B117" s="124" t="s">
        <v>317</v>
      </c>
      <c r="C117" s="131"/>
      <c r="E117" s="132"/>
    </row>
    <row r="118" spans="1:11" x14ac:dyDescent="0.2">
      <c r="A118" s="128" t="s">
        <v>318</v>
      </c>
      <c r="B118" s="124" t="s">
        <v>319</v>
      </c>
      <c r="C118" s="131"/>
      <c r="E118" s="132"/>
    </row>
    <row r="119" spans="1:11" x14ac:dyDescent="0.2">
      <c r="A119" s="128" t="s">
        <v>320</v>
      </c>
      <c r="B119" s="124" t="s">
        <v>321</v>
      </c>
      <c r="C119" s="131"/>
      <c r="E119" s="132"/>
    </row>
    <row r="120" spans="1:11" x14ac:dyDescent="0.2">
      <c r="A120" s="128" t="s">
        <v>322</v>
      </c>
      <c r="B120" s="124" t="s">
        <v>323</v>
      </c>
      <c r="C120" s="131"/>
      <c r="E120" s="132"/>
    </row>
    <row r="121" spans="1:11" x14ac:dyDescent="0.2">
      <c r="A121" s="123" t="s">
        <v>324</v>
      </c>
      <c r="B121" s="124" t="s">
        <v>325</v>
      </c>
      <c r="C121" s="131"/>
      <c r="E121" s="132"/>
    </row>
    <row r="122" spans="1:11" x14ac:dyDescent="0.2">
      <c r="A122" s="128" t="s">
        <v>326</v>
      </c>
      <c r="B122" s="124" t="s">
        <v>327</v>
      </c>
      <c r="C122" s="131"/>
      <c r="E122" s="132"/>
    </row>
    <row r="123" spans="1:11" x14ac:dyDescent="0.2">
      <c r="A123" s="128" t="s">
        <v>328</v>
      </c>
      <c r="B123" s="124" t="s">
        <v>329</v>
      </c>
      <c r="C123" s="131"/>
      <c r="E123" s="132"/>
    </row>
    <row r="124" spans="1:11" x14ac:dyDescent="0.2">
      <c r="A124" s="128" t="s">
        <v>330</v>
      </c>
      <c r="B124" s="124" t="s">
        <v>331</v>
      </c>
      <c r="C124" s="131"/>
      <c r="E124" s="132"/>
    </row>
    <row r="125" spans="1:11" x14ac:dyDescent="0.2">
      <c r="A125" s="128" t="s">
        <v>332</v>
      </c>
      <c r="B125" s="124" t="s">
        <v>333</v>
      </c>
      <c r="C125" s="131"/>
      <c r="E125" s="132"/>
    </row>
    <row r="126" spans="1:11" x14ac:dyDescent="0.2">
      <c r="A126" s="128" t="s">
        <v>334</v>
      </c>
      <c r="B126" s="124" t="s">
        <v>335</v>
      </c>
      <c r="C126" s="131"/>
      <c r="E126" s="125" t="s">
        <v>336</v>
      </c>
      <c r="G126" s="125"/>
      <c r="H126" s="125"/>
      <c r="I126" s="125"/>
      <c r="J126" s="125"/>
      <c r="K126" s="125"/>
    </row>
    <row r="127" spans="1:11" x14ac:dyDescent="0.2">
      <c r="A127" s="128"/>
      <c r="B127" s="130" t="s">
        <v>337</v>
      </c>
      <c r="C127" s="132"/>
      <c r="D127" s="132"/>
      <c r="E127" s="125" t="s">
        <v>338</v>
      </c>
      <c r="F127" s="125" t="s">
        <v>339</v>
      </c>
      <c r="G127" s="125" t="s">
        <v>115</v>
      </c>
      <c r="H127" s="125"/>
      <c r="I127" s="125"/>
      <c r="J127" s="125"/>
      <c r="K127" s="125"/>
    </row>
    <row r="128" spans="1:11" x14ac:dyDescent="0.2">
      <c r="A128" s="128" t="s">
        <v>340</v>
      </c>
      <c r="B128" s="124" t="s">
        <v>341</v>
      </c>
      <c r="E128" s="125" t="s">
        <v>342</v>
      </c>
      <c r="F128" s="125" t="s">
        <v>343</v>
      </c>
      <c r="G128" s="136">
        <v>-2083333</v>
      </c>
      <c r="H128" s="125"/>
      <c r="I128" s="125"/>
      <c r="J128" s="125"/>
      <c r="K128" s="125"/>
    </row>
    <row r="129" spans="1:11" x14ac:dyDescent="0.2">
      <c r="A129" s="128" t="s">
        <v>344</v>
      </c>
      <c r="B129" s="124" t="s">
        <v>345</v>
      </c>
      <c r="E129" s="125" t="s">
        <v>346</v>
      </c>
      <c r="G129" s="136">
        <v>-2083333</v>
      </c>
      <c r="H129" s="125"/>
      <c r="I129" s="125"/>
      <c r="J129" s="125"/>
      <c r="K129" s="125"/>
    </row>
    <row r="130" spans="1:11" x14ac:dyDescent="0.2">
      <c r="A130" s="123">
        <v>5110358000</v>
      </c>
      <c r="B130" s="124" t="s">
        <v>347</v>
      </c>
      <c r="G130" s="125"/>
      <c r="H130" s="125"/>
      <c r="I130" s="125"/>
      <c r="J130" s="125"/>
      <c r="K130" s="125"/>
    </row>
    <row r="131" spans="1:11" x14ac:dyDescent="0.2">
      <c r="A131" s="128"/>
      <c r="B131" s="130" t="s">
        <v>348</v>
      </c>
      <c r="G131" s="125"/>
      <c r="H131" s="125"/>
      <c r="I131" s="125"/>
      <c r="J131" s="125"/>
      <c r="K131" s="125"/>
    </row>
    <row r="132" spans="1:11" x14ac:dyDescent="0.2">
      <c r="A132" s="128" t="s">
        <v>349</v>
      </c>
      <c r="B132" s="124" t="s">
        <v>350</v>
      </c>
      <c r="G132" s="125"/>
      <c r="H132" s="125"/>
      <c r="I132" s="125"/>
      <c r="J132" s="125"/>
      <c r="K132" s="125"/>
    </row>
    <row r="133" spans="1:11" x14ac:dyDescent="0.2">
      <c r="A133" s="128" t="s">
        <v>351</v>
      </c>
      <c r="B133" s="124" t="s">
        <v>352</v>
      </c>
      <c r="G133" s="125"/>
      <c r="H133" s="125"/>
      <c r="I133" s="125"/>
      <c r="J133" s="125"/>
      <c r="K133" s="125"/>
    </row>
    <row r="134" spans="1:11" x14ac:dyDescent="0.2">
      <c r="A134" s="128" t="s">
        <v>353</v>
      </c>
      <c r="B134" s="124" t="s">
        <v>354</v>
      </c>
      <c r="G134" s="125"/>
      <c r="H134" s="125"/>
      <c r="I134" s="125"/>
      <c r="J134" s="125"/>
      <c r="K134" s="125"/>
    </row>
    <row r="135" spans="1:11" x14ac:dyDescent="0.2">
      <c r="A135" s="128" t="s">
        <v>355</v>
      </c>
      <c r="B135" s="124" t="s">
        <v>356</v>
      </c>
      <c r="G135" s="125"/>
      <c r="H135" s="125"/>
      <c r="I135" s="125"/>
      <c r="J135" s="125"/>
      <c r="K135" s="125"/>
    </row>
    <row r="136" spans="1:11" x14ac:dyDescent="0.2">
      <c r="G136" s="125"/>
      <c r="H136" s="125"/>
      <c r="I136" s="125"/>
      <c r="J136" s="125"/>
      <c r="K136" s="125"/>
    </row>
    <row r="137" spans="1:11" x14ac:dyDescent="0.2">
      <c r="A137" s="128"/>
      <c r="B137" s="130" t="s">
        <v>357</v>
      </c>
      <c r="G137" s="125"/>
      <c r="H137" s="125"/>
      <c r="I137" s="125"/>
      <c r="J137" s="125"/>
      <c r="K137" s="125"/>
    </row>
    <row r="138" spans="1:11" x14ac:dyDescent="0.2">
      <c r="A138" s="128" t="s">
        <v>358</v>
      </c>
      <c r="B138" s="124" t="s">
        <v>359</v>
      </c>
      <c r="G138" s="125"/>
      <c r="H138" s="125"/>
      <c r="I138" s="125"/>
      <c r="J138" s="125"/>
      <c r="K138" s="125"/>
    </row>
    <row r="139" spans="1:11" x14ac:dyDescent="0.2">
      <c r="A139" s="128" t="s">
        <v>360</v>
      </c>
      <c r="B139" s="124" t="s">
        <v>361</v>
      </c>
      <c r="G139" s="125"/>
      <c r="H139" s="125"/>
      <c r="I139" s="125"/>
      <c r="J139" s="125"/>
      <c r="K139" s="125"/>
    </row>
    <row r="140" spans="1:11" x14ac:dyDescent="0.2">
      <c r="A140" s="128" t="s">
        <v>362</v>
      </c>
      <c r="B140" s="124" t="s">
        <v>363</v>
      </c>
      <c r="G140" s="125"/>
      <c r="H140" s="125"/>
      <c r="I140" s="125"/>
      <c r="J140" s="125"/>
      <c r="K140" s="125"/>
    </row>
    <row r="141" spans="1:11" x14ac:dyDescent="0.2">
      <c r="A141" s="137" t="s">
        <v>364</v>
      </c>
      <c r="B141" s="124" t="s">
        <v>365</v>
      </c>
      <c r="G141" s="125"/>
    </row>
    <row r="142" spans="1:11" x14ac:dyDescent="0.2">
      <c r="A142" s="137"/>
      <c r="B142" s="130" t="s">
        <v>366</v>
      </c>
      <c r="G142" s="125"/>
    </row>
    <row r="143" spans="1:11" x14ac:dyDescent="0.2">
      <c r="A143" s="128" t="s">
        <v>367</v>
      </c>
      <c r="B143" s="124" t="s">
        <v>368</v>
      </c>
      <c r="G143" s="125"/>
    </row>
    <row r="144" spans="1:11" x14ac:dyDescent="0.2">
      <c r="A144" s="128"/>
      <c r="B144" s="130" t="s">
        <v>369</v>
      </c>
      <c r="G144" s="125"/>
    </row>
    <row r="145" spans="1:7" x14ac:dyDescent="0.2">
      <c r="A145" s="128"/>
      <c r="B145" s="130" t="s">
        <v>370</v>
      </c>
      <c r="G145" s="125"/>
    </row>
    <row r="146" spans="1:7" x14ac:dyDescent="0.2">
      <c r="A146" s="128"/>
      <c r="B146" s="130" t="s">
        <v>371</v>
      </c>
      <c r="G146" s="125"/>
    </row>
    <row r="147" spans="1:7" x14ac:dyDescent="0.2">
      <c r="A147" s="128" t="s">
        <v>372</v>
      </c>
      <c r="B147" s="124" t="s">
        <v>373</v>
      </c>
      <c r="G147" s="125"/>
    </row>
    <row r="148" spans="1:7" x14ac:dyDescent="0.2">
      <c r="G148" s="125"/>
    </row>
    <row r="149" spans="1:7" x14ac:dyDescent="0.2">
      <c r="G149" s="125"/>
    </row>
    <row r="150" spans="1:7" x14ac:dyDescent="0.2">
      <c r="B150" s="125" t="s">
        <v>374</v>
      </c>
    </row>
    <row r="151" spans="1:7" x14ac:dyDescent="0.2">
      <c r="A151" s="128" t="s">
        <v>184</v>
      </c>
      <c r="B151" s="124" t="s">
        <v>185</v>
      </c>
    </row>
    <row r="152" spans="1:7" x14ac:dyDescent="0.2">
      <c r="A152" s="125" t="s">
        <v>186</v>
      </c>
      <c r="B152" s="124" t="s">
        <v>187</v>
      </c>
    </row>
    <row r="153" spans="1:7" x14ac:dyDescent="0.2">
      <c r="A153" s="128" t="s">
        <v>210</v>
      </c>
      <c r="B153" s="124" t="s">
        <v>211</v>
      </c>
    </row>
    <row r="154" spans="1:7" x14ac:dyDescent="0.2">
      <c r="A154" s="125" t="s">
        <v>212</v>
      </c>
      <c r="B154" s="124" t="s">
        <v>213</v>
      </c>
    </row>
    <row r="155" spans="1:7" x14ac:dyDescent="0.2">
      <c r="A155" s="128" t="s">
        <v>265</v>
      </c>
      <c r="B155" s="124" t="s">
        <v>266</v>
      </c>
    </row>
    <row r="156" spans="1:7" x14ac:dyDescent="0.2">
      <c r="A156" s="123">
        <v>5105180100</v>
      </c>
      <c r="B156" s="124" t="s">
        <v>267</v>
      </c>
    </row>
    <row r="157" spans="1:7" x14ac:dyDescent="0.2">
      <c r="A157" s="125" t="s">
        <v>268</v>
      </c>
      <c r="B157" s="124" t="s">
        <v>269</v>
      </c>
    </row>
    <row r="158" spans="1:7" x14ac:dyDescent="0.2">
      <c r="A158" s="123">
        <v>5105180000</v>
      </c>
      <c r="B158" s="124" t="s">
        <v>276</v>
      </c>
    </row>
    <row r="159" spans="1:7" x14ac:dyDescent="0.2">
      <c r="A159" s="128" t="s">
        <v>277</v>
      </c>
      <c r="B159" s="124" t="s">
        <v>278</v>
      </c>
    </row>
    <row r="160" spans="1:7" x14ac:dyDescent="0.2">
      <c r="A160" s="128" t="s">
        <v>279</v>
      </c>
      <c r="B160" s="124" t="s">
        <v>280</v>
      </c>
    </row>
    <row r="161" spans="1:5" x14ac:dyDescent="0.2">
      <c r="A161" s="128" t="s">
        <v>281</v>
      </c>
      <c r="B161" s="124" t="s">
        <v>282</v>
      </c>
    </row>
    <row r="164" spans="1:5" x14ac:dyDescent="0.2">
      <c r="B164" s="125" t="s">
        <v>375</v>
      </c>
    </row>
    <row r="165" spans="1:5" x14ac:dyDescent="0.2">
      <c r="A165" s="125" t="s">
        <v>192</v>
      </c>
      <c r="B165" s="125" t="s">
        <v>193</v>
      </c>
    </row>
    <row r="166" spans="1:5" x14ac:dyDescent="0.2">
      <c r="A166" s="125" t="s">
        <v>271</v>
      </c>
      <c r="B166" s="125" t="s">
        <v>272</v>
      </c>
    </row>
    <row r="167" spans="1:5" x14ac:dyDescent="0.2">
      <c r="A167" s="125" t="s">
        <v>273</v>
      </c>
      <c r="B167" s="125" t="s">
        <v>274</v>
      </c>
    </row>
    <row r="173" spans="1:5" x14ac:dyDescent="0.2">
      <c r="A173" s="138" t="s">
        <v>376</v>
      </c>
    </row>
    <row r="174" spans="1:5" x14ac:dyDescent="0.2">
      <c r="A174" s="126" t="s">
        <v>377</v>
      </c>
      <c r="E174" s="125" t="s">
        <v>378</v>
      </c>
    </row>
    <row r="175" spans="1:5" x14ac:dyDescent="0.2">
      <c r="A175" s="125" t="s">
        <v>379</v>
      </c>
      <c r="B175" s="125" t="s">
        <v>380</v>
      </c>
    </row>
    <row r="176" spans="1:5" x14ac:dyDescent="0.2">
      <c r="A176" s="125">
        <v>4155950000</v>
      </c>
      <c r="B176" s="125" t="s">
        <v>381</v>
      </c>
    </row>
    <row r="177" spans="1:5" x14ac:dyDescent="0.2">
      <c r="A177" s="125">
        <v>4155950100</v>
      </c>
      <c r="B177" s="125" t="s">
        <v>382</v>
      </c>
    </row>
    <row r="178" spans="1:5" x14ac:dyDescent="0.2">
      <c r="A178" s="125">
        <v>4155951500</v>
      </c>
      <c r="B178" s="125" t="s">
        <v>383</v>
      </c>
    </row>
    <row r="179" spans="1:5" x14ac:dyDescent="0.2">
      <c r="A179" s="125">
        <v>4135950900</v>
      </c>
      <c r="B179" s="125" t="s">
        <v>384</v>
      </c>
    </row>
    <row r="180" spans="1:5" x14ac:dyDescent="0.2">
      <c r="A180" s="125">
        <v>4135950000</v>
      </c>
      <c r="B180" s="125" t="s">
        <v>385</v>
      </c>
      <c r="E180" s="125">
        <v>4135950000</v>
      </c>
    </row>
    <row r="181" spans="1:5" x14ac:dyDescent="0.2">
      <c r="A181" s="125">
        <v>4155950500</v>
      </c>
      <c r="B181" s="125" t="s">
        <v>385</v>
      </c>
    </row>
    <row r="182" spans="1:5" x14ac:dyDescent="0.2">
      <c r="A182" s="125">
        <v>4170250300</v>
      </c>
      <c r="B182" s="125" t="s">
        <v>385</v>
      </c>
    </row>
    <row r="183" spans="1:5" x14ac:dyDescent="0.2">
      <c r="A183" s="125" t="s">
        <v>386</v>
      </c>
      <c r="B183" s="125" t="s">
        <v>387</v>
      </c>
    </row>
    <row r="184" spans="1:5" x14ac:dyDescent="0.2">
      <c r="A184" s="125">
        <v>6135950000</v>
      </c>
      <c r="B184" s="125" t="s">
        <v>388</v>
      </c>
    </row>
    <row r="186" spans="1:5" x14ac:dyDescent="0.2">
      <c r="B186" s="125" t="s">
        <v>389</v>
      </c>
    </row>
    <row r="187" spans="1:5" x14ac:dyDescent="0.2">
      <c r="A187" s="125">
        <v>5205180100</v>
      </c>
      <c r="B187" s="125" t="s">
        <v>390</v>
      </c>
      <c r="C187" s="125" t="s">
        <v>391</v>
      </c>
    </row>
    <row r="188" spans="1:5" x14ac:dyDescent="0.2">
      <c r="A188" s="125">
        <v>5205361000</v>
      </c>
      <c r="B188" s="125" t="s">
        <v>392</v>
      </c>
      <c r="C188" s="125" t="s">
        <v>393</v>
      </c>
      <c r="D188" s="125" t="s">
        <v>115</v>
      </c>
    </row>
    <row r="189" spans="1:5" x14ac:dyDescent="0.2">
      <c r="A189" s="125">
        <v>5205391000</v>
      </c>
      <c r="B189" s="125" t="s">
        <v>392</v>
      </c>
      <c r="C189" s="125" t="s">
        <v>394</v>
      </c>
      <c r="D189" s="125">
        <v>4638.9799999999996</v>
      </c>
    </row>
    <row r="190" spans="1:5" x14ac:dyDescent="0.2">
      <c r="A190" s="125">
        <v>5205422000</v>
      </c>
      <c r="B190" s="125" t="s">
        <v>392</v>
      </c>
      <c r="C190" s="125" t="s">
        <v>395</v>
      </c>
      <c r="D190" s="125">
        <v>1230.26</v>
      </c>
    </row>
    <row r="191" spans="1:5" x14ac:dyDescent="0.2">
      <c r="A191" s="125">
        <v>5205691000</v>
      </c>
      <c r="B191" s="125" t="s">
        <v>392</v>
      </c>
      <c r="C191" s="125" t="s">
        <v>396</v>
      </c>
      <c r="D191" s="125">
        <v>307.56</v>
      </c>
    </row>
    <row r="192" spans="1:5" x14ac:dyDescent="0.2">
      <c r="A192" s="125">
        <v>5205701000</v>
      </c>
      <c r="B192" s="125" t="s">
        <v>392</v>
      </c>
      <c r="C192" s="125" t="s">
        <v>397</v>
      </c>
      <c r="D192" s="125">
        <v>896.8</v>
      </c>
    </row>
    <row r="193" spans="1:4" x14ac:dyDescent="0.2">
      <c r="A193" s="125">
        <v>5160200000</v>
      </c>
      <c r="B193" s="125" t="s">
        <v>398</v>
      </c>
      <c r="C193" s="125" t="s">
        <v>399</v>
      </c>
      <c r="D193" s="125">
        <v>604.20000000000005</v>
      </c>
    </row>
    <row r="194" spans="1:4" x14ac:dyDescent="0.2">
      <c r="A194" s="125">
        <v>5260100000</v>
      </c>
      <c r="B194" s="125" t="s">
        <v>398</v>
      </c>
      <c r="C194" s="125" t="s">
        <v>400</v>
      </c>
      <c r="D194" s="125">
        <v>27.16</v>
      </c>
    </row>
    <row r="195" spans="1:4" x14ac:dyDescent="0.2">
      <c r="A195" s="125">
        <v>5260200000</v>
      </c>
      <c r="B195" s="125" t="s">
        <v>398</v>
      </c>
      <c r="C195" s="125" t="s">
        <v>346</v>
      </c>
      <c r="D195" s="125">
        <v>7704.96</v>
      </c>
    </row>
    <row r="196" spans="1:4" x14ac:dyDescent="0.2">
      <c r="A196" s="125">
        <v>5260150000</v>
      </c>
      <c r="B196" s="125" t="s">
        <v>398</v>
      </c>
    </row>
    <row r="197" spans="1:4" x14ac:dyDescent="0.2">
      <c r="A197" s="125">
        <v>5260350000</v>
      </c>
      <c r="B197" s="125" t="s">
        <v>398</v>
      </c>
    </row>
    <row r="198" spans="1:4" x14ac:dyDescent="0.2">
      <c r="A198" s="125">
        <v>5160150000</v>
      </c>
      <c r="B198" s="125" t="s">
        <v>401</v>
      </c>
    </row>
    <row r="199" spans="1:4" x14ac:dyDescent="0.2">
      <c r="A199" s="125">
        <v>5145150100</v>
      </c>
      <c r="B199" s="125" t="s">
        <v>402</v>
      </c>
    </row>
    <row r="200" spans="1:4" x14ac:dyDescent="0.2">
      <c r="A200" s="125">
        <v>5235300000</v>
      </c>
      <c r="B200" s="125" t="s">
        <v>402</v>
      </c>
    </row>
    <row r="201" spans="1:4" x14ac:dyDescent="0.2">
      <c r="A201" s="125">
        <v>5245100000</v>
      </c>
      <c r="B201" s="125" t="s">
        <v>402</v>
      </c>
    </row>
    <row r="202" spans="1:4" x14ac:dyDescent="0.2">
      <c r="A202" s="125">
        <v>5245150000</v>
      </c>
      <c r="B202" s="125" t="s">
        <v>402</v>
      </c>
    </row>
    <row r="203" spans="1:4" x14ac:dyDescent="0.2">
      <c r="A203" s="125">
        <v>5245150100</v>
      </c>
      <c r="B203" s="125" t="s">
        <v>402</v>
      </c>
    </row>
    <row r="204" spans="1:4" x14ac:dyDescent="0.2">
      <c r="A204" s="125">
        <v>5245200000</v>
      </c>
      <c r="B204" s="125" t="s">
        <v>402</v>
      </c>
    </row>
    <row r="205" spans="1:4" x14ac:dyDescent="0.2">
      <c r="A205" s="125">
        <v>5245250000</v>
      </c>
      <c r="B205" s="125" t="s">
        <v>402</v>
      </c>
    </row>
    <row r="206" spans="1:4" x14ac:dyDescent="0.2">
      <c r="A206" s="125">
        <v>5250050000</v>
      </c>
      <c r="B206" s="125" t="s">
        <v>402</v>
      </c>
    </row>
    <row r="207" spans="1:4" x14ac:dyDescent="0.2">
      <c r="A207" s="125">
        <v>5250100000</v>
      </c>
      <c r="B207" s="125" t="s">
        <v>402</v>
      </c>
    </row>
    <row r="208" spans="1:4" x14ac:dyDescent="0.2">
      <c r="A208" s="125">
        <v>5250950000</v>
      </c>
      <c r="B208" s="125" t="s">
        <v>402</v>
      </c>
    </row>
    <row r="209" spans="1:2" x14ac:dyDescent="0.2">
      <c r="A209" s="125">
        <v>5295250000</v>
      </c>
      <c r="B209" s="125" t="s">
        <v>402</v>
      </c>
    </row>
    <row r="210" spans="1:2" x14ac:dyDescent="0.2">
      <c r="A210" s="125">
        <v>5295950300</v>
      </c>
      <c r="B210" s="125" t="s">
        <v>402</v>
      </c>
    </row>
    <row r="211" spans="1:2" x14ac:dyDescent="0.2">
      <c r="A211" s="125">
        <v>5235050000</v>
      </c>
      <c r="B211" s="125" t="s">
        <v>403</v>
      </c>
    </row>
    <row r="212" spans="1:2" x14ac:dyDescent="0.2">
      <c r="A212" s="125">
        <v>5235200000</v>
      </c>
      <c r="B212" s="125" t="s">
        <v>403</v>
      </c>
    </row>
    <row r="213" spans="1:2" x14ac:dyDescent="0.2">
      <c r="A213" s="125">
        <v>5235950100</v>
      </c>
      <c r="B213" s="125" t="s">
        <v>403</v>
      </c>
    </row>
    <row r="214" spans="1:2" x14ac:dyDescent="0.2">
      <c r="A214" s="125">
        <v>5235950400</v>
      </c>
      <c r="B214" s="125" t="s">
        <v>403</v>
      </c>
    </row>
    <row r="215" spans="1:2" x14ac:dyDescent="0.2">
      <c r="A215" s="125">
        <v>5235950500</v>
      </c>
      <c r="B215" s="125" t="s">
        <v>403</v>
      </c>
    </row>
    <row r="216" spans="1:2" x14ac:dyDescent="0.2">
      <c r="A216" s="125">
        <v>5235950600</v>
      </c>
      <c r="B216" s="125" t="s">
        <v>403</v>
      </c>
    </row>
    <row r="217" spans="1:2" x14ac:dyDescent="0.2">
      <c r="A217" s="125">
        <v>5235950600</v>
      </c>
      <c r="B217" s="125" t="s">
        <v>403</v>
      </c>
    </row>
    <row r="218" spans="1:2" x14ac:dyDescent="0.2">
      <c r="A218" s="125">
        <v>5235950600</v>
      </c>
      <c r="B218" s="125" t="s">
        <v>403</v>
      </c>
    </row>
    <row r="219" spans="1:2" x14ac:dyDescent="0.2">
      <c r="A219" s="125">
        <v>5295950500</v>
      </c>
      <c r="B219" s="125" t="s">
        <v>403</v>
      </c>
    </row>
    <row r="220" spans="1:2" x14ac:dyDescent="0.2">
      <c r="A220" s="125">
        <v>5295950100</v>
      </c>
      <c r="B220" s="125" t="s">
        <v>404</v>
      </c>
    </row>
    <row r="221" spans="1:2" x14ac:dyDescent="0.2">
      <c r="A221" s="125">
        <v>5299100000</v>
      </c>
      <c r="B221" s="125" t="s">
        <v>405</v>
      </c>
    </row>
    <row r="222" spans="1:2" x14ac:dyDescent="0.2">
      <c r="A222" s="125">
        <v>5160100000</v>
      </c>
      <c r="B222" s="125" t="s">
        <v>406</v>
      </c>
    </row>
    <row r="223" spans="1:2" x14ac:dyDescent="0.2">
      <c r="B223" s="125" t="s">
        <v>407</v>
      </c>
    </row>
    <row r="224" spans="1:2" x14ac:dyDescent="0.2">
      <c r="A224" s="125">
        <v>5205630100</v>
      </c>
      <c r="B224" s="125" t="s">
        <v>408</v>
      </c>
    </row>
    <row r="225" spans="1:2" x14ac:dyDescent="0.2">
      <c r="A225" s="125">
        <v>5205630200</v>
      </c>
      <c r="B225" s="125" t="s">
        <v>408</v>
      </c>
    </row>
    <row r="226" spans="1:2" x14ac:dyDescent="0.2">
      <c r="A226" s="125">
        <v>5205060100</v>
      </c>
      <c r="B226" s="125" t="s">
        <v>409</v>
      </c>
    </row>
    <row r="227" spans="1:2" x14ac:dyDescent="0.2">
      <c r="A227" s="125">
        <v>5205150100</v>
      </c>
      <c r="B227" s="125" t="s">
        <v>409</v>
      </c>
    </row>
    <row r="228" spans="1:2" x14ac:dyDescent="0.2">
      <c r="A228" s="125">
        <v>5205360100</v>
      </c>
      <c r="B228" s="125" t="s">
        <v>410</v>
      </c>
    </row>
    <row r="229" spans="1:2" x14ac:dyDescent="0.2">
      <c r="A229" s="125">
        <v>5205390100</v>
      </c>
      <c r="B229" s="125" t="s">
        <v>410</v>
      </c>
    </row>
    <row r="230" spans="1:2" x14ac:dyDescent="0.2">
      <c r="A230" s="125">
        <v>5205600100</v>
      </c>
      <c r="B230" s="125" t="s">
        <v>410</v>
      </c>
    </row>
    <row r="231" spans="1:2" x14ac:dyDescent="0.2">
      <c r="A231" s="125">
        <v>5205690100</v>
      </c>
      <c r="B231" s="125" t="s">
        <v>410</v>
      </c>
    </row>
    <row r="232" spans="1:2" x14ac:dyDescent="0.2">
      <c r="A232" s="125">
        <v>5205700100</v>
      </c>
      <c r="B232" s="125" t="s">
        <v>410</v>
      </c>
    </row>
    <row r="233" spans="1:2" x14ac:dyDescent="0.2">
      <c r="A233" s="125">
        <v>5205700100</v>
      </c>
      <c r="B233" s="125" t="s">
        <v>410</v>
      </c>
    </row>
    <row r="234" spans="1:2" x14ac:dyDescent="0.2">
      <c r="A234" s="125">
        <v>5205700200</v>
      </c>
      <c r="B234" s="125" t="s">
        <v>410</v>
      </c>
    </row>
    <row r="235" spans="1:2" x14ac:dyDescent="0.2">
      <c r="A235" s="125">
        <v>5205780100</v>
      </c>
      <c r="B235" s="125" t="s">
        <v>410</v>
      </c>
    </row>
    <row r="236" spans="1:2" x14ac:dyDescent="0.2">
      <c r="A236" s="125">
        <v>5205660100</v>
      </c>
      <c r="B236" s="125" t="s">
        <v>411</v>
      </c>
    </row>
    <row r="237" spans="1:2" x14ac:dyDescent="0.2">
      <c r="A237" s="125">
        <v>5210250000</v>
      </c>
      <c r="B237" s="125" t="s">
        <v>412</v>
      </c>
    </row>
    <row r="238" spans="1:2" x14ac:dyDescent="0.2">
      <c r="A238" s="125">
        <v>5210350000</v>
      </c>
      <c r="B238" s="125" t="s">
        <v>412</v>
      </c>
    </row>
    <row r="239" spans="1:2" x14ac:dyDescent="0.2">
      <c r="A239" s="125">
        <v>5210950000</v>
      </c>
      <c r="B239" s="125" t="s">
        <v>412</v>
      </c>
    </row>
    <row r="240" spans="1:2" x14ac:dyDescent="0.2">
      <c r="A240" s="125">
        <v>5115950000</v>
      </c>
      <c r="B240" s="125" t="s">
        <v>413</v>
      </c>
    </row>
    <row r="241" spans="1:2" x14ac:dyDescent="0.2">
      <c r="A241" s="125">
        <v>5215100000</v>
      </c>
      <c r="B241" s="125" t="s">
        <v>413</v>
      </c>
    </row>
    <row r="242" spans="1:2" x14ac:dyDescent="0.2">
      <c r="A242" s="125">
        <v>5215950000</v>
      </c>
      <c r="B242" s="125" t="s">
        <v>413</v>
      </c>
    </row>
    <row r="243" spans="1:2" x14ac:dyDescent="0.2">
      <c r="A243" s="125">
        <v>5240100000</v>
      </c>
      <c r="B243" s="125" t="s">
        <v>413</v>
      </c>
    </row>
    <row r="244" spans="1:2" x14ac:dyDescent="0.2">
      <c r="A244" s="125">
        <v>5240150000</v>
      </c>
      <c r="B244" s="125" t="s">
        <v>413</v>
      </c>
    </row>
    <row r="245" spans="1:2" x14ac:dyDescent="0.2">
      <c r="A245" s="125">
        <v>5245400000</v>
      </c>
      <c r="B245" s="125" t="s">
        <v>414</v>
      </c>
    </row>
    <row r="246" spans="1:2" x14ac:dyDescent="0.2">
      <c r="A246" s="125">
        <v>5295350000</v>
      </c>
      <c r="B246" s="125" t="s">
        <v>414</v>
      </c>
    </row>
    <row r="247" spans="1:2" x14ac:dyDescent="0.2">
      <c r="A247" s="125">
        <v>5295100000</v>
      </c>
      <c r="B247" s="125" t="s">
        <v>415</v>
      </c>
    </row>
    <row r="248" spans="1:2" x14ac:dyDescent="0.2">
      <c r="A248" s="125">
        <v>5295300000</v>
      </c>
      <c r="B248" s="125" t="s">
        <v>415</v>
      </c>
    </row>
    <row r="249" spans="1:2" x14ac:dyDescent="0.2">
      <c r="A249" s="125">
        <v>5235600000</v>
      </c>
      <c r="B249" s="125" t="s">
        <v>416</v>
      </c>
    </row>
    <row r="250" spans="1:2" x14ac:dyDescent="0.2">
      <c r="A250" s="125">
        <v>5235350000</v>
      </c>
      <c r="B250" s="125" t="s">
        <v>417</v>
      </c>
    </row>
    <row r="251" spans="1:2" x14ac:dyDescent="0.2">
      <c r="A251" s="125">
        <v>5235400100</v>
      </c>
      <c r="B251" s="125" t="s">
        <v>417</v>
      </c>
    </row>
    <row r="252" spans="1:2" x14ac:dyDescent="0.2">
      <c r="A252" s="125">
        <v>5235400200</v>
      </c>
      <c r="B252" s="125" t="s">
        <v>417</v>
      </c>
    </row>
    <row r="253" spans="1:2" x14ac:dyDescent="0.2">
      <c r="A253" s="125">
        <v>5235450000</v>
      </c>
      <c r="B253" s="125" t="s">
        <v>417</v>
      </c>
    </row>
    <row r="254" spans="1:2" x14ac:dyDescent="0.2">
      <c r="A254" s="125">
        <v>5230250000</v>
      </c>
      <c r="B254" s="125" t="s">
        <v>418</v>
      </c>
    </row>
    <row r="255" spans="1:2" x14ac:dyDescent="0.2">
      <c r="A255" s="125">
        <v>5230950000</v>
      </c>
      <c r="B255" s="125" t="s">
        <v>418</v>
      </c>
    </row>
    <row r="256" spans="1:2" x14ac:dyDescent="0.2">
      <c r="A256" s="125">
        <v>5295700000</v>
      </c>
      <c r="B256" s="125" t="s">
        <v>418</v>
      </c>
    </row>
    <row r="257" spans="1:2" x14ac:dyDescent="0.2">
      <c r="A257" s="125">
        <v>5225100000</v>
      </c>
      <c r="B257" s="125" t="s">
        <v>419</v>
      </c>
    </row>
    <row r="258" spans="1:2" x14ac:dyDescent="0.2">
      <c r="A258" s="125">
        <v>5205480100</v>
      </c>
      <c r="B258" s="125" t="s">
        <v>420</v>
      </c>
    </row>
    <row r="259" spans="1:2" x14ac:dyDescent="0.2">
      <c r="A259" s="125">
        <v>5205480200</v>
      </c>
      <c r="B259" s="125" t="s">
        <v>420</v>
      </c>
    </row>
    <row r="260" spans="1:2" x14ac:dyDescent="0.2">
      <c r="A260" s="125">
        <v>5205481000</v>
      </c>
      <c r="B260" s="125" t="s">
        <v>420</v>
      </c>
    </row>
    <row r="261" spans="1:2" x14ac:dyDescent="0.2">
      <c r="A261" s="125">
        <v>5205481100</v>
      </c>
      <c r="B261" s="125" t="s">
        <v>420</v>
      </c>
    </row>
    <row r="262" spans="1:2" x14ac:dyDescent="0.2">
      <c r="A262" s="125">
        <v>5205210100</v>
      </c>
      <c r="B262" s="125" t="s">
        <v>421</v>
      </c>
    </row>
    <row r="263" spans="1:2" x14ac:dyDescent="0.2">
      <c r="A263" s="125">
        <v>5205210200</v>
      </c>
      <c r="B263" s="125" t="s">
        <v>421</v>
      </c>
    </row>
    <row r="264" spans="1:2" x14ac:dyDescent="0.2">
      <c r="A264" s="125">
        <v>5255050100</v>
      </c>
      <c r="B264" s="125" t="s">
        <v>421</v>
      </c>
    </row>
    <row r="265" spans="1:2" x14ac:dyDescent="0.2">
      <c r="A265" s="125">
        <v>5255060100</v>
      </c>
      <c r="B265" s="125" t="s">
        <v>421</v>
      </c>
    </row>
    <row r="266" spans="1:2" x14ac:dyDescent="0.2">
      <c r="A266" s="125">
        <v>5255150100</v>
      </c>
      <c r="B266" s="125" t="s">
        <v>421</v>
      </c>
    </row>
    <row r="267" spans="1:2" x14ac:dyDescent="0.2">
      <c r="A267" s="125">
        <v>5255200100</v>
      </c>
      <c r="B267" s="125" t="s">
        <v>421</v>
      </c>
    </row>
    <row r="268" spans="1:2" x14ac:dyDescent="0.2">
      <c r="A268" s="125">
        <v>5255200200</v>
      </c>
      <c r="B268" s="125" t="s">
        <v>421</v>
      </c>
    </row>
    <row r="269" spans="1:2" x14ac:dyDescent="0.2">
      <c r="A269" s="125">
        <v>5255950100</v>
      </c>
      <c r="B269" s="125" t="s">
        <v>421</v>
      </c>
    </row>
    <row r="270" spans="1:2" x14ac:dyDescent="0.2">
      <c r="A270" s="125">
        <v>5240050000</v>
      </c>
      <c r="B270" s="125" t="s">
        <v>422</v>
      </c>
    </row>
    <row r="271" spans="1:2" x14ac:dyDescent="0.2">
      <c r="A271" s="125">
        <v>5240200400</v>
      </c>
      <c r="B271" s="125" t="s">
        <v>422</v>
      </c>
    </row>
    <row r="272" spans="1:2" x14ac:dyDescent="0.2">
      <c r="A272" s="125">
        <v>5220050000</v>
      </c>
      <c r="B272" s="125" t="s">
        <v>423</v>
      </c>
    </row>
    <row r="273" spans="1:2" x14ac:dyDescent="0.2">
      <c r="A273" s="125">
        <v>5220100000</v>
      </c>
      <c r="B273" s="125" t="s">
        <v>423</v>
      </c>
    </row>
    <row r="274" spans="1:2" x14ac:dyDescent="0.2">
      <c r="A274" s="125">
        <v>5220100100</v>
      </c>
      <c r="B274" s="125" t="s">
        <v>423</v>
      </c>
    </row>
    <row r="275" spans="1:2" x14ac:dyDescent="0.2">
      <c r="A275" s="125">
        <v>5220950000</v>
      </c>
      <c r="B275" s="125" t="s">
        <v>423</v>
      </c>
    </row>
    <row r="278" spans="1:2" x14ac:dyDescent="0.2">
      <c r="B278" s="125" t="s">
        <v>424</v>
      </c>
    </row>
    <row r="279" spans="1:2" x14ac:dyDescent="0.2">
      <c r="A279" s="125">
        <v>5105060000</v>
      </c>
      <c r="B279" s="125" t="s">
        <v>425</v>
      </c>
    </row>
    <row r="280" spans="1:2" x14ac:dyDescent="0.2">
      <c r="A280" s="125">
        <v>5105150000</v>
      </c>
      <c r="B280" s="125" t="s">
        <v>425</v>
      </c>
    </row>
    <row r="281" spans="1:2" x14ac:dyDescent="0.2">
      <c r="A281" s="125">
        <v>5105360000</v>
      </c>
      <c r="B281" s="125" t="s">
        <v>426</v>
      </c>
    </row>
    <row r="282" spans="1:2" x14ac:dyDescent="0.2">
      <c r="A282" s="125">
        <v>5105390000</v>
      </c>
      <c r="B282" s="125" t="s">
        <v>426</v>
      </c>
    </row>
    <row r="283" spans="1:2" x14ac:dyDescent="0.2">
      <c r="A283" s="125">
        <v>5105600000</v>
      </c>
      <c r="B283" s="125" t="s">
        <v>426</v>
      </c>
    </row>
    <row r="284" spans="1:2" x14ac:dyDescent="0.2">
      <c r="A284" s="125">
        <v>5105690000</v>
      </c>
      <c r="B284" s="125" t="s">
        <v>426</v>
      </c>
    </row>
    <row r="285" spans="1:2" x14ac:dyDescent="0.2">
      <c r="A285" s="125">
        <v>5105700000</v>
      </c>
      <c r="B285" s="125" t="s">
        <v>426</v>
      </c>
    </row>
    <row r="286" spans="1:2" x14ac:dyDescent="0.2">
      <c r="A286" s="125">
        <v>5105780000</v>
      </c>
      <c r="B286" s="125" t="s">
        <v>426</v>
      </c>
    </row>
    <row r="287" spans="1:2" x14ac:dyDescent="0.2">
      <c r="A287" s="125">
        <v>5105950000</v>
      </c>
      <c r="B287" s="125" t="s">
        <v>426</v>
      </c>
    </row>
    <row r="288" spans="1:2" x14ac:dyDescent="0.2">
      <c r="A288" s="125">
        <v>5105180000</v>
      </c>
      <c r="B288" s="125" t="s">
        <v>427</v>
      </c>
    </row>
    <row r="289" spans="1:2" x14ac:dyDescent="0.2">
      <c r="A289" s="125">
        <v>5105630000</v>
      </c>
      <c r="B289" s="125" t="s">
        <v>428</v>
      </c>
    </row>
    <row r="290" spans="1:2" x14ac:dyDescent="0.2">
      <c r="A290" s="125">
        <v>5105391000</v>
      </c>
      <c r="B290" s="125" t="s">
        <v>429</v>
      </c>
    </row>
    <row r="291" spans="1:2" x14ac:dyDescent="0.2">
      <c r="A291" s="125">
        <v>5105691000</v>
      </c>
      <c r="B291" s="125" t="s">
        <v>429</v>
      </c>
    </row>
    <row r="292" spans="1:2" x14ac:dyDescent="0.2">
      <c r="A292" s="125">
        <v>5105701000</v>
      </c>
      <c r="B292" s="125" t="s">
        <v>429</v>
      </c>
    </row>
    <row r="293" spans="1:2" x14ac:dyDescent="0.2">
      <c r="A293" s="125">
        <v>5135050000</v>
      </c>
      <c r="B293" s="125" t="s">
        <v>403</v>
      </c>
    </row>
    <row r="294" spans="1:2" x14ac:dyDescent="0.2">
      <c r="A294" s="125">
        <v>5135150000</v>
      </c>
      <c r="B294" s="125" t="s">
        <v>403</v>
      </c>
    </row>
    <row r="295" spans="1:2" x14ac:dyDescent="0.2">
      <c r="A295" s="125">
        <v>5135200000</v>
      </c>
      <c r="B295" s="125" t="s">
        <v>403</v>
      </c>
    </row>
    <row r="296" spans="1:2" x14ac:dyDescent="0.2">
      <c r="A296" s="125">
        <v>5135950500</v>
      </c>
      <c r="B296" s="125" t="s">
        <v>403</v>
      </c>
    </row>
    <row r="297" spans="1:2" x14ac:dyDescent="0.2">
      <c r="A297" s="125">
        <v>5120100000</v>
      </c>
      <c r="B297" s="125" t="s">
        <v>430</v>
      </c>
    </row>
    <row r="298" spans="1:2" x14ac:dyDescent="0.2">
      <c r="A298" s="125">
        <v>5105660000</v>
      </c>
      <c r="B298" s="125" t="s">
        <v>431</v>
      </c>
    </row>
    <row r="299" spans="1:2" x14ac:dyDescent="0.2">
      <c r="A299" s="125">
        <v>5155960000</v>
      </c>
      <c r="B299" s="125" t="s">
        <v>431</v>
      </c>
    </row>
    <row r="300" spans="1:2" x14ac:dyDescent="0.2">
      <c r="A300" s="125">
        <v>5195950300</v>
      </c>
      <c r="B300" s="125" t="s">
        <v>432</v>
      </c>
    </row>
    <row r="301" spans="1:2" x14ac:dyDescent="0.2">
      <c r="A301" s="125">
        <v>5110100000</v>
      </c>
      <c r="B301" s="125" t="s">
        <v>433</v>
      </c>
    </row>
    <row r="302" spans="1:2" x14ac:dyDescent="0.2">
      <c r="A302" s="125">
        <v>5110200000</v>
      </c>
      <c r="B302" s="125" t="s">
        <v>433</v>
      </c>
    </row>
    <row r="303" spans="1:2" x14ac:dyDescent="0.2">
      <c r="A303" s="125">
        <v>5110250000</v>
      </c>
      <c r="B303" s="125" t="s">
        <v>433</v>
      </c>
    </row>
    <row r="304" spans="1:2" x14ac:dyDescent="0.2">
      <c r="A304" s="125">
        <v>5110300000</v>
      </c>
      <c r="B304" s="125" t="s">
        <v>433</v>
      </c>
    </row>
    <row r="305" spans="1:2" x14ac:dyDescent="0.2">
      <c r="A305" s="125">
        <v>5110350000</v>
      </c>
      <c r="B305" s="125" t="s">
        <v>433</v>
      </c>
    </row>
    <row r="306" spans="1:2" x14ac:dyDescent="0.2">
      <c r="A306" s="125">
        <v>5110950000</v>
      </c>
      <c r="B306" s="125" t="s">
        <v>433</v>
      </c>
    </row>
    <row r="307" spans="1:2" x14ac:dyDescent="0.2">
      <c r="A307" s="125">
        <v>5130</v>
      </c>
      <c r="B307" s="125" t="s">
        <v>434</v>
      </c>
    </row>
    <row r="308" spans="1:2" x14ac:dyDescent="0.2">
      <c r="A308" s="125">
        <v>5145400000</v>
      </c>
      <c r="B308" s="125" t="s">
        <v>435</v>
      </c>
    </row>
    <row r="309" spans="1:2" x14ac:dyDescent="0.2">
      <c r="A309" s="125">
        <v>5195350000</v>
      </c>
      <c r="B309" s="125" t="s">
        <v>435</v>
      </c>
    </row>
    <row r="310" spans="1:2" x14ac:dyDescent="0.2">
      <c r="A310" s="125">
        <v>5195300000</v>
      </c>
      <c r="B310" s="125" t="s">
        <v>415</v>
      </c>
    </row>
    <row r="311" spans="1:2" x14ac:dyDescent="0.2">
      <c r="A311" s="125">
        <v>5135350000</v>
      </c>
      <c r="B311" s="125" t="s">
        <v>436</v>
      </c>
    </row>
    <row r="312" spans="1:2" x14ac:dyDescent="0.2">
      <c r="A312" s="125">
        <v>5145050000</v>
      </c>
      <c r="B312" s="125" t="s">
        <v>437</v>
      </c>
    </row>
    <row r="313" spans="1:2" x14ac:dyDescent="0.2">
      <c r="A313" s="125">
        <v>5145100000</v>
      </c>
      <c r="B313" s="125" t="s">
        <v>437</v>
      </c>
    </row>
    <row r="314" spans="1:2" x14ac:dyDescent="0.2">
      <c r="A314" s="125">
        <v>5145200000</v>
      </c>
      <c r="B314" s="125" t="s">
        <v>437</v>
      </c>
    </row>
    <row r="315" spans="1:2" x14ac:dyDescent="0.2">
      <c r="A315" s="125">
        <v>5145250000</v>
      </c>
      <c r="B315" s="125" t="s">
        <v>437</v>
      </c>
    </row>
    <row r="316" spans="1:2" x14ac:dyDescent="0.2">
      <c r="A316" s="125">
        <v>5150050000</v>
      </c>
      <c r="B316" s="125" t="s">
        <v>437</v>
      </c>
    </row>
    <row r="317" spans="1:2" x14ac:dyDescent="0.2">
      <c r="A317" s="125">
        <v>5150100000</v>
      </c>
      <c r="B317" s="125" t="s">
        <v>437</v>
      </c>
    </row>
    <row r="318" spans="1:2" x14ac:dyDescent="0.2">
      <c r="A318" s="125">
        <v>5150150000</v>
      </c>
      <c r="B318" s="125" t="s">
        <v>437</v>
      </c>
    </row>
    <row r="319" spans="1:2" x14ac:dyDescent="0.2">
      <c r="A319" s="125">
        <v>5150950000</v>
      </c>
      <c r="B319" s="125" t="s">
        <v>437</v>
      </c>
    </row>
    <row r="320" spans="1:2" x14ac:dyDescent="0.2">
      <c r="A320" s="125">
        <v>5195150000</v>
      </c>
      <c r="B320" s="125" t="s">
        <v>437</v>
      </c>
    </row>
    <row r="321" spans="1:2" x14ac:dyDescent="0.2">
      <c r="A321" s="125">
        <v>5195250000</v>
      </c>
      <c r="B321" s="125" t="s">
        <v>437</v>
      </c>
    </row>
    <row r="322" spans="1:2" x14ac:dyDescent="0.2">
      <c r="A322" s="125">
        <v>5195400000</v>
      </c>
      <c r="B322" s="125" t="s">
        <v>437</v>
      </c>
    </row>
    <row r="323" spans="1:2" x14ac:dyDescent="0.2">
      <c r="A323" s="139">
        <v>5140050000</v>
      </c>
      <c r="B323" s="125" t="s">
        <v>438</v>
      </c>
    </row>
    <row r="324" spans="1:2" x14ac:dyDescent="0.2">
      <c r="A324" s="139">
        <v>5140100000</v>
      </c>
      <c r="B324" s="125" t="s">
        <v>439</v>
      </c>
    </row>
    <row r="325" spans="1:2" x14ac:dyDescent="0.2">
      <c r="A325" s="125">
        <v>5105210000</v>
      </c>
      <c r="B325" s="125" t="s">
        <v>440</v>
      </c>
    </row>
    <row r="326" spans="1:2" x14ac:dyDescent="0.2">
      <c r="A326" s="125">
        <v>5155050000</v>
      </c>
      <c r="B326" s="125" t="s">
        <v>440</v>
      </c>
    </row>
    <row r="327" spans="1:2" x14ac:dyDescent="0.2">
      <c r="A327" s="125">
        <v>5155060000</v>
      </c>
      <c r="B327" s="125" t="s">
        <v>440</v>
      </c>
    </row>
    <row r="328" spans="1:2" x14ac:dyDescent="0.2">
      <c r="A328" s="125">
        <v>5155150000</v>
      </c>
      <c r="B328" s="125" t="s">
        <v>440</v>
      </c>
    </row>
    <row r="329" spans="1:2" x14ac:dyDescent="0.2">
      <c r="A329" s="125">
        <v>5155200000</v>
      </c>
      <c r="B329" s="125" t="s">
        <v>440</v>
      </c>
    </row>
    <row r="330" spans="1:2" x14ac:dyDescent="0.2">
      <c r="A330" s="125">
        <v>5155950000</v>
      </c>
      <c r="B330" s="125" t="s">
        <v>440</v>
      </c>
    </row>
    <row r="332" spans="1:2" x14ac:dyDescent="0.2">
      <c r="B332" s="125" t="s">
        <v>441</v>
      </c>
    </row>
    <row r="333" spans="1:2" x14ac:dyDescent="0.2">
      <c r="A333" s="125">
        <v>5135950300</v>
      </c>
      <c r="B333" s="125" t="s">
        <v>442</v>
      </c>
    </row>
    <row r="334" spans="1:2" x14ac:dyDescent="0.2">
      <c r="A334" s="125">
        <v>5198530000</v>
      </c>
      <c r="B334" s="125" t="s">
        <v>442</v>
      </c>
    </row>
    <row r="335" spans="1:2" x14ac:dyDescent="0.2">
      <c r="A335" s="125">
        <v>5398050000</v>
      </c>
      <c r="B335" s="125" t="s">
        <v>442</v>
      </c>
    </row>
    <row r="336" spans="1:2" x14ac:dyDescent="0.2">
      <c r="A336" s="125">
        <v>5398210000</v>
      </c>
      <c r="B336" s="125" t="s">
        <v>443</v>
      </c>
    </row>
    <row r="337" spans="1:2" x14ac:dyDescent="0.2">
      <c r="A337" s="125">
        <v>5110358000</v>
      </c>
      <c r="B337" s="125" t="s">
        <v>444</v>
      </c>
    </row>
    <row r="338" spans="1:2" x14ac:dyDescent="0.2">
      <c r="A338" s="125">
        <v>5210358000</v>
      </c>
      <c r="B338" s="125" t="s">
        <v>444</v>
      </c>
    </row>
    <row r="340" spans="1:2" x14ac:dyDescent="0.2">
      <c r="B340" s="125" t="s">
        <v>445</v>
      </c>
    </row>
    <row r="341" spans="1:2" x14ac:dyDescent="0.2">
      <c r="A341" s="125">
        <v>4210200100</v>
      </c>
      <c r="B341" s="125" t="s">
        <v>446</v>
      </c>
    </row>
    <row r="342" spans="1:2" x14ac:dyDescent="0.2">
      <c r="A342" s="125">
        <v>4210200200</v>
      </c>
      <c r="B342" s="125" t="s">
        <v>446</v>
      </c>
    </row>
    <row r="343" spans="1:2" x14ac:dyDescent="0.2">
      <c r="A343" s="125">
        <v>4210200400</v>
      </c>
      <c r="B343" s="125" t="s">
        <v>447</v>
      </c>
    </row>
    <row r="344" spans="1:2" x14ac:dyDescent="0.2">
      <c r="A344" s="125">
        <v>4210200500</v>
      </c>
      <c r="B344" s="125" t="s">
        <v>447</v>
      </c>
    </row>
    <row r="345" spans="1:2" x14ac:dyDescent="0.2">
      <c r="A345" s="125">
        <v>4210200501</v>
      </c>
      <c r="B345" s="125" t="s">
        <v>447</v>
      </c>
    </row>
    <row r="346" spans="1:2" x14ac:dyDescent="0.2">
      <c r="A346" s="125">
        <v>4210201000</v>
      </c>
      <c r="B346" s="125" t="s">
        <v>447</v>
      </c>
    </row>
    <row r="347" spans="1:2" x14ac:dyDescent="0.2">
      <c r="A347" s="125">
        <v>4210201001</v>
      </c>
      <c r="B347" s="125" t="s">
        <v>447</v>
      </c>
    </row>
    <row r="348" spans="1:2" x14ac:dyDescent="0.2">
      <c r="A348" s="125">
        <v>4210201100</v>
      </c>
      <c r="B348" s="125" t="s">
        <v>447</v>
      </c>
    </row>
    <row r="349" spans="1:2" x14ac:dyDescent="0.2">
      <c r="A349" s="125">
        <v>4210051000</v>
      </c>
      <c r="B349" s="125" t="s">
        <v>448</v>
      </c>
    </row>
    <row r="350" spans="1:2" x14ac:dyDescent="0.2">
      <c r="A350" s="125">
        <v>4210201000</v>
      </c>
      <c r="B350" s="125" t="s">
        <v>448</v>
      </c>
    </row>
    <row r="351" spans="1:2" x14ac:dyDescent="0.2">
      <c r="A351" s="125">
        <v>4210400000</v>
      </c>
      <c r="B351" s="125" t="s">
        <v>448</v>
      </c>
    </row>
    <row r="352" spans="1:2" x14ac:dyDescent="0.2">
      <c r="A352" s="125">
        <v>4245010000</v>
      </c>
      <c r="B352" s="125" t="s">
        <v>448</v>
      </c>
    </row>
    <row r="353" spans="1:2" x14ac:dyDescent="0.2">
      <c r="A353" s="125">
        <v>4250500100</v>
      </c>
      <c r="B353" s="125" t="s">
        <v>448</v>
      </c>
    </row>
    <row r="354" spans="1:2" x14ac:dyDescent="0.2">
      <c r="A354" s="125">
        <v>4250500200</v>
      </c>
      <c r="B354" s="125" t="s">
        <v>448</v>
      </c>
    </row>
    <row r="355" spans="1:2" x14ac:dyDescent="0.2">
      <c r="A355" s="125">
        <v>4250500300</v>
      </c>
      <c r="B355" s="125" t="s">
        <v>448</v>
      </c>
    </row>
    <row r="356" spans="1:2" x14ac:dyDescent="0.2">
      <c r="A356" s="125">
        <v>4250506600</v>
      </c>
      <c r="B356" s="125" t="s">
        <v>448</v>
      </c>
    </row>
    <row r="357" spans="1:2" x14ac:dyDescent="0.2">
      <c r="A357" s="125">
        <v>4255200000</v>
      </c>
      <c r="B357" s="125" t="s">
        <v>448</v>
      </c>
    </row>
    <row r="358" spans="1:2" x14ac:dyDescent="0.2">
      <c r="A358" s="125">
        <v>4295050000</v>
      </c>
      <c r="B358" s="125" t="s">
        <v>448</v>
      </c>
    </row>
    <row r="359" spans="1:2" x14ac:dyDescent="0.2">
      <c r="A359" s="125">
        <v>4295810000</v>
      </c>
      <c r="B359" s="125" t="s">
        <v>448</v>
      </c>
    </row>
    <row r="361" spans="1:2" x14ac:dyDescent="0.2">
      <c r="B361" s="125" t="s">
        <v>449</v>
      </c>
    </row>
    <row r="362" spans="1:2" x14ac:dyDescent="0.2">
      <c r="A362" s="125">
        <v>5305350000</v>
      </c>
      <c r="B362" s="125" t="s">
        <v>450</v>
      </c>
    </row>
    <row r="363" spans="1:2" x14ac:dyDescent="0.2">
      <c r="A363" s="125">
        <v>5310150000</v>
      </c>
      <c r="B363" s="125" t="s">
        <v>450</v>
      </c>
    </row>
    <row r="364" spans="1:2" x14ac:dyDescent="0.2">
      <c r="A364" s="125">
        <v>5310300000</v>
      </c>
      <c r="B364" s="125" t="s">
        <v>450</v>
      </c>
    </row>
    <row r="365" spans="1:2" x14ac:dyDescent="0.2">
      <c r="A365" s="125">
        <v>5310350000</v>
      </c>
      <c r="B365" s="125" t="s">
        <v>450</v>
      </c>
    </row>
    <row r="366" spans="1:2" x14ac:dyDescent="0.2">
      <c r="A366" s="125">
        <v>5313050000</v>
      </c>
      <c r="B366" s="125" t="s">
        <v>450</v>
      </c>
    </row>
    <row r="367" spans="1:2" x14ac:dyDescent="0.2">
      <c r="A367" s="125">
        <v>5315150200</v>
      </c>
      <c r="B367" s="125" t="s">
        <v>450</v>
      </c>
    </row>
    <row r="368" spans="1:2" x14ac:dyDescent="0.2">
      <c r="A368" s="125">
        <v>5315160000</v>
      </c>
      <c r="B368" s="125" t="s">
        <v>450</v>
      </c>
    </row>
    <row r="369" spans="1:3" x14ac:dyDescent="0.2">
      <c r="A369" s="125">
        <v>5315200000</v>
      </c>
      <c r="B369" s="125" t="s">
        <v>450</v>
      </c>
    </row>
    <row r="370" spans="1:3" x14ac:dyDescent="0.2">
      <c r="A370" s="125">
        <v>5315200100</v>
      </c>
      <c r="B370" s="125" t="s">
        <v>450</v>
      </c>
    </row>
    <row r="371" spans="1:3" x14ac:dyDescent="0.2">
      <c r="A371" s="125">
        <v>5315950000</v>
      </c>
      <c r="B371" s="125" t="s">
        <v>450</v>
      </c>
    </row>
    <row r="372" spans="1:3" x14ac:dyDescent="0.2">
      <c r="A372" s="125">
        <v>5395200000</v>
      </c>
      <c r="B372" s="125" t="s">
        <v>450</v>
      </c>
    </row>
    <row r="373" spans="1:3" x14ac:dyDescent="0.2">
      <c r="A373" s="125">
        <v>5395300000</v>
      </c>
      <c r="B373" s="125" t="s">
        <v>450</v>
      </c>
    </row>
    <row r="374" spans="1:3" x14ac:dyDescent="0.2">
      <c r="A374" s="125">
        <v>5395950000</v>
      </c>
      <c r="B374" s="125" t="s">
        <v>450</v>
      </c>
    </row>
    <row r="375" spans="1:3" x14ac:dyDescent="0.2">
      <c r="A375" s="125">
        <v>5305250500</v>
      </c>
      <c r="B375" s="125" t="s">
        <v>451</v>
      </c>
    </row>
    <row r="376" spans="1:3" x14ac:dyDescent="0.2">
      <c r="A376" s="125">
        <v>5305050000</v>
      </c>
      <c r="B376" s="125" t="s">
        <v>452</v>
      </c>
      <c r="C376" s="125">
        <v>5305050000</v>
      </c>
    </row>
    <row r="377" spans="1:3" x14ac:dyDescent="0.2">
      <c r="A377" s="125">
        <v>5305150000</v>
      </c>
      <c r="B377" s="125" t="s">
        <v>452</v>
      </c>
      <c r="C377" s="125">
        <v>5305200100</v>
      </c>
    </row>
    <row r="378" spans="1:3" x14ac:dyDescent="0.2">
      <c r="A378" s="125">
        <v>5305200100</v>
      </c>
      <c r="B378" s="125" t="s">
        <v>452</v>
      </c>
      <c r="C378" s="125">
        <v>5305202200</v>
      </c>
    </row>
    <row r="379" spans="1:3" x14ac:dyDescent="0.2">
      <c r="A379" s="125">
        <v>5305200200</v>
      </c>
      <c r="B379" s="125" t="s">
        <v>452</v>
      </c>
      <c r="C379" s="125">
        <v>5305150000</v>
      </c>
    </row>
    <row r="380" spans="1:3" x14ac:dyDescent="0.2">
      <c r="A380" s="125">
        <v>5305200300</v>
      </c>
      <c r="B380" s="125" t="s">
        <v>452</v>
      </c>
      <c r="C380" s="125">
        <v>5305200101</v>
      </c>
    </row>
    <row r="381" spans="1:3" x14ac:dyDescent="0.2">
      <c r="A381" s="125">
        <v>5305200400</v>
      </c>
      <c r="B381" s="125" t="s">
        <v>452</v>
      </c>
    </row>
    <row r="382" spans="1:3" x14ac:dyDescent="0.2">
      <c r="A382" s="125">
        <v>5305950000</v>
      </c>
      <c r="B382" s="125" t="s">
        <v>452</v>
      </c>
    </row>
    <row r="383" spans="1:3" x14ac:dyDescent="0.2">
      <c r="A383" s="125">
        <v>5315150000</v>
      </c>
      <c r="B383" s="125" t="s">
        <v>452</v>
      </c>
    </row>
    <row r="385" spans="1:2" x14ac:dyDescent="0.2">
      <c r="A385" s="125">
        <v>5405050100</v>
      </c>
      <c r="B385" s="125" t="s">
        <v>453</v>
      </c>
    </row>
    <row r="389" spans="1:2" x14ac:dyDescent="0.2">
      <c r="B389" s="125" t="s">
        <v>374</v>
      </c>
    </row>
    <row r="390" spans="1:2" x14ac:dyDescent="0.2">
      <c r="A390" s="125">
        <v>5205180100</v>
      </c>
      <c r="B390" s="125" t="s">
        <v>390</v>
      </c>
    </row>
    <row r="391" spans="1:2" x14ac:dyDescent="0.2">
      <c r="A391" s="125">
        <v>5205361000</v>
      </c>
      <c r="B391" s="125" t="s">
        <v>392</v>
      </c>
    </row>
    <row r="392" spans="1:2" x14ac:dyDescent="0.2">
      <c r="A392" s="125">
        <v>5205391000</v>
      </c>
      <c r="B392" s="125" t="s">
        <v>392</v>
      </c>
    </row>
    <row r="393" spans="1:2" x14ac:dyDescent="0.2">
      <c r="A393" s="125">
        <v>5205422000</v>
      </c>
      <c r="B393" s="125" t="s">
        <v>392</v>
      </c>
    </row>
    <row r="394" spans="1:2" x14ac:dyDescent="0.2">
      <c r="A394" s="125">
        <v>5205691000</v>
      </c>
      <c r="B394" s="125" t="s">
        <v>392</v>
      </c>
    </row>
    <row r="395" spans="1:2" x14ac:dyDescent="0.2">
      <c r="A395" s="125">
        <v>5205701000</v>
      </c>
      <c r="B395" s="125" t="s">
        <v>392</v>
      </c>
    </row>
    <row r="396" spans="1:2" x14ac:dyDescent="0.2">
      <c r="A396" s="125">
        <v>5205060100</v>
      </c>
      <c r="B396" s="125" t="s">
        <v>409</v>
      </c>
    </row>
    <row r="397" spans="1:2" x14ac:dyDescent="0.2">
      <c r="A397" s="125">
        <v>5205150100</v>
      </c>
      <c r="B397" s="125" t="s">
        <v>409</v>
      </c>
    </row>
    <row r="398" spans="1:2" x14ac:dyDescent="0.2">
      <c r="A398" s="125">
        <v>5205360100</v>
      </c>
      <c r="B398" s="125" t="s">
        <v>410</v>
      </c>
    </row>
    <row r="399" spans="1:2" x14ac:dyDescent="0.2">
      <c r="A399" s="125">
        <v>5205390100</v>
      </c>
      <c r="B399" s="125" t="s">
        <v>410</v>
      </c>
    </row>
    <row r="400" spans="1:2" x14ac:dyDescent="0.2">
      <c r="A400" s="125">
        <v>5205600100</v>
      </c>
      <c r="B400" s="125" t="s">
        <v>410</v>
      </c>
    </row>
    <row r="401" spans="1:2" x14ac:dyDescent="0.2">
      <c r="A401" s="125">
        <v>5205690100</v>
      </c>
      <c r="B401" s="125" t="s">
        <v>410</v>
      </c>
    </row>
    <row r="402" spans="1:2" x14ac:dyDescent="0.2">
      <c r="A402" s="125">
        <v>5205700100</v>
      </c>
      <c r="B402" s="125" t="s">
        <v>410</v>
      </c>
    </row>
    <row r="403" spans="1:2" x14ac:dyDescent="0.2">
      <c r="A403" s="125">
        <v>5205700100</v>
      </c>
      <c r="B403" s="125" t="s">
        <v>410</v>
      </c>
    </row>
    <row r="404" spans="1:2" x14ac:dyDescent="0.2">
      <c r="A404" s="125">
        <v>5205700200</v>
      </c>
      <c r="B404" s="125" t="s">
        <v>410</v>
      </c>
    </row>
    <row r="405" spans="1:2" x14ac:dyDescent="0.2">
      <c r="A405" s="125">
        <v>5205780100</v>
      </c>
      <c r="B405" s="125" t="s">
        <v>410</v>
      </c>
    </row>
    <row r="406" spans="1:2" x14ac:dyDescent="0.2">
      <c r="A406" s="125">
        <v>5105060000</v>
      </c>
      <c r="B406" s="125" t="s">
        <v>425</v>
      </c>
    </row>
    <row r="407" spans="1:2" x14ac:dyDescent="0.2">
      <c r="A407" s="125">
        <v>5105150000</v>
      </c>
      <c r="B407" s="125" t="s">
        <v>425</v>
      </c>
    </row>
    <row r="408" spans="1:2" x14ac:dyDescent="0.2">
      <c r="A408" s="125">
        <v>5105360000</v>
      </c>
      <c r="B408" s="125" t="s">
        <v>426</v>
      </c>
    </row>
    <row r="409" spans="1:2" x14ac:dyDescent="0.2">
      <c r="A409" s="125">
        <v>5105390000</v>
      </c>
      <c r="B409" s="125" t="s">
        <v>426</v>
      </c>
    </row>
    <row r="410" spans="1:2" x14ac:dyDescent="0.2">
      <c r="A410" s="125">
        <v>5105600000</v>
      </c>
      <c r="B410" s="125" t="s">
        <v>426</v>
      </c>
    </row>
    <row r="411" spans="1:2" x14ac:dyDescent="0.2">
      <c r="A411" s="125">
        <v>5105690000</v>
      </c>
      <c r="B411" s="125" t="s">
        <v>426</v>
      </c>
    </row>
    <row r="412" spans="1:2" x14ac:dyDescent="0.2">
      <c r="A412" s="125">
        <v>5105700000</v>
      </c>
      <c r="B412" s="125" t="s">
        <v>426</v>
      </c>
    </row>
    <row r="413" spans="1:2" x14ac:dyDescent="0.2">
      <c r="A413" s="125">
        <v>5105780000</v>
      </c>
      <c r="B413" s="125" t="s">
        <v>426</v>
      </c>
    </row>
    <row r="414" spans="1:2" x14ac:dyDescent="0.2">
      <c r="A414" s="125">
        <v>5105950000</v>
      </c>
      <c r="B414" s="125" t="s">
        <v>426</v>
      </c>
    </row>
    <row r="415" spans="1:2" x14ac:dyDescent="0.2">
      <c r="A415" s="125">
        <v>5105180000</v>
      </c>
      <c r="B415" s="125" t="s">
        <v>427</v>
      </c>
    </row>
    <row r="416" spans="1:2" x14ac:dyDescent="0.2">
      <c r="A416" s="125">
        <v>5105391000</v>
      </c>
      <c r="B416" s="125" t="s">
        <v>429</v>
      </c>
    </row>
    <row r="417" spans="1:3" x14ac:dyDescent="0.2">
      <c r="A417" s="125">
        <v>5105691000</v>
      </c>
      <c r="B417" s="125" t="s">
        <v>429</v>
      </c>
    </row>
    <row r="418" spans="1:3" x14ac:dyDescent="0.2">
      <c r="A418" s="125">
        <v>5105701000</v>
      </c>
      <c r="B418" s="125" t="s">
        <v>429</v>
      </c>
    </row>
    <row r="421" spans="1:3" x14ac:dyDescent="0.2">
      <c r="A421" s="125">
        <v>5160100000</v>
      </c>
      <c r="B421" s="125" t="s">
        <v>454</v>
      </c>
      <c r="C421" s="125" t="s">
        <v>455</v>
      </c>
    </row>
    <row r="427" spans="1:3" x14ac:dyDescent="0.2">
      <c r="A427" s="126" t="s">
        <v>456</v>
      </c>
    </row>
    <row r="428" spans="1:3" x14ac:dyDescent="0.2">
      <c r="A428" s="125">
        <v>1105050100</v>
      </c>
      <c r="B428" s="125" t="s">
        <v>457</v>
      </c>
      <c r="C428" s="127" t="e">
        <f ca="1">[1]!Consulta(4,"Saldos por cuenta","Saldo Inicial","Periodo","=",Paramet!$B$4,"Cuenta","IN",ctas!A428,"Plan_cuenta","=","NIF")</f>
        <v>#NAME?</v>
      </c>
    </row>
    <row r="429" spans="1:3" x14ac:dyDescent="0.2">
      <c r="A429" s="125">
        <v>1105100200</v>
      </c>
      <c r="B429" s="125" t="s">
        <v>458</v>
      </c>
      <c r="C429" s="127" t="e">
        <f ca="1">[1]!Consulta(4,"Saldos por cuenta","Saldo Inicial","Periodo","=",201908,"Cuenta","IN",ctas!A429,"Plan_cuenta","=","NIF")</f>
        <v>#NAME?</v>
      </c>
    </row>
    <row r="430" spans="1:3" x14ac:dyDescent="0.2">
      <c r="A430" s="125">
        <v>1110050101</v>
      </c>
      <c r="B430" s="125" t="s">
        <v>459</v>
      </c>
      <c r="C430" s="127" t="e">
        <f ca="1">[1]!Consulta(4,"Saldos por cuenta","Saldo Inicial","Periodo","=",201908,"Cuenta","IN",ctas!A430,"Plan_cuenta","=","NIF")</f>
        <v>#NAME?</v>
      </c>
    </row>
    <row r="431" spans="1:3" x14ac:dyDescent="0.2">
      <c r="A431" s="125">
        <v>1110050106</v>
      </c>
      <c r="B431" s="125" t="s">
        <v>460</v>
      </c>
      <c r="C431" s="127" t="e">
        <f ca="1">[1]!Consulta(4,"Saldos por cuenta","Saldo Inicial","Periodo","=",201908,"Cuenta","IN",ctas!A431,"Plan_cuenta","=","NIF")</f>
        <v>#NAME?</v>
      </c>
    </row>
    <row r="432" spans="1:3" x14ac:dyDescent="0.2">
      <c r="A432" s="125">
        <v>1110050108</v>
      </c>
      <c r="B432" s="125" t="s">
        <v>461</v>
      </c>
      <c r="C432" s="127" t="e">
        <f ca="1">[1]!Consulta(4,"Saldos por cuenta","Saldo Inicial","Periodo","=",201908,"Cuenta","IN",ctas!A432,"Plan_cuenta","=","NIF")</f>
        <v>#NAME?</v>
      </c>
    </row>
    <row r="433" spans="1:3" x14ac:dyDescent="0.2">
      <c r="A433" s="125">
        <v>1110050110</v>
      </c>
      <c r="B433" s="125" t="s">
        <v>462</v>
      </c>
      <c r="C433" s="127" t="e">
        <f ca="1">[1]!Consulta(4,"Saldos por cuenta","Saldo Inicial","Periodo","=",201908,"Cuenta","IN",ctas!A433,"Plan_cuenta","=","NIF")</f>
        <v>#NAME?</v>
      </c>
    </row>
    <row r="434" spans="1:3" x14ac:dyDescent="0.2">
      <c r="A434" s="125">
        <v>1110050111</v>
      </c>
      <c r="B434" s="125" t="s">
        <v>463</v>
      </c>
      <c r="C434" s="127" t="e">
        <f ca="1">[1]!Consulta(4,"Saldos por cuenta","Saldo Inicial","Periodo","=",201908,"Cuenta","IN",ctas!A434,"Plan_cuenta","=","NIF")</f>
        <v>#NAME?</v>
      </c>
    </row>
    <row r="435" spans="1:3" x14ac:dyDescent="0.2">
      <c r="A435" s="125">
        <v>1110100101</v>
      </c>
      <c r="B435" s="125" t="s">
        <v>464</v>
      </c>
      <c r="C435" s="127" t="e">
        <f ca="1">[1]!Consulta(4,"Saldos por cuenta","Saldo Inicial","Periodo","=",201908,"Cuenta","IN",ctas!A435,"Plan_cuenta","=","NIF")</f>
        <v>#NAME?</v>
      </c>
    </row>
    <row r="436" spans="1:3" x14ac:dyDescent="0.2">
      <c r="A436" s="125">
        <v>1125100200</v>
      </c>
      <c r="B436" s="125" t="s">
        <v>465</v>
      </c>
      <c r="C436" s="127" t="e">
        <f ca="1">[1]!Consulta(4,"Saldos por cuenta","Saldo Inicial","Periodo","=",201908,"Cuenta","IN",ctas!A436,"Plan_cuenta","=","NIF")</f>
        <v>#NAME?</v>
      </c>
    </row>
    <row r="437" spans="1:3" x14ac:dyDescent="0.2">
      <c r="A437" s="125">
        <v>1130050100</v>
      </c>
      <c r="B437" s="125" t="s">
        <v>466</v>
      </c>
      <c r="C437" s="127" t="e">
        <f ca="1">[1]!Consulta(4,"Saldos por cuenta","Saldo Inicial","Periodo","=",201908,"Cuenta","IN",ctas!A437,"Plan_cuenta","=","NIF")</f>
        <v>#NAME?</v>
      </c>
    </row>
    <row r="438" spans="1:3" x14ac:dyDescent="0.2">
      <c r="A438" s="126"/>
      <c r="C438" s="127" t="e">
        <f ca="1">SUM(C428:C437)</f>
        <v>#NAME?</v>
      </c>
    </row>
    <row r="439" spans="1:3" x14ac:dyDescent="0.2">
      <c r="A439" s="126"/>
    </row>
    <row r="440" spans="1:3" x14ac:dyDescent="0.2">
      <c r="A440" s="125">
        <v>1101</v>
      </c>
      <c r="B440" s="125" t="s">
        <v>467</v>
      </c>
    </row>
    <row r="441" spans="1:3" x14ac:dyDescent="0.2">
      <c r="A441" s="125">
        <v>1102</v>
      </c>
      <c r="B441" s="125" t="s">
        <v>468</v>
      </c>
    </row>
    <row r="442" spans="1:3" x14ac:dyDescent="0.2">
      <c r="A442" s="125">
        <v>1103</v>
      </c>
      <c r="B442" s="125" t="s">
        <v>469</v>
      </c>
    </row>
    <row r="443" spans="1:3" x14ac:dyDescent="0.2">
      <c r="A443" s="125">
        <v>1104</v>
      </c>
      <c r="B443" s="125" t="s">
        <v>470</v>
      </c>
    </row>
    <row r="444" spans="1:3" x14ac:dyDescent="0.2">
      <c r="A444" s="125" t="s">
        <v>471</v>
      </c>
      <c r="B444" s="125" t="s">
        <v>472</v>
      </c>
    </row>
    <row r="445" spans="1:3" x14ac:dyDescent="0.2">
      <c r="A445" s="125">
        <v>1106</v>
      </c>
      <c r="B445" s="125" t="s">
        <v>473</v>
      </c>
    </row>
    <row r="446" spans="1:3" x14ac:dyDescent="0.2">
      <c r="B446" s="125" t="s">
        <v>474</v>
      </c>
    </row>
    <row r="448" spans="1:3" x14ac:dyDescent="0.2">
      <c r="B448" s="125" t="s">
        <v>475</v>
      </c>
    </row>
    <row r="450" spans="1:2" x14ac:dyDescent="0.2">
      <c r="B450" s="125" t="s">
        <v>98</v>
      </c>
    </row>
    <row r="451" spans="1:2" x14ac:dyDescent="0.2">
      <c r="A451" s="125">
        <v>1201</v>
      </c>
      <c r="B451" s="125" t="s">
        <v>476</v>
      </c>
    </row>
    <row r="452" spans="1:2" x14ac:dyDescent="0.2">
      <c r="A452" s="125">
        <v>1202</v>
      </c>
      <c r="B452" s="125" t="s">
        <v>477</v>
      </c>
    </row>
    <row r="453" spans="1:2" x14ac:dyDescent="0.2">
      <c r="A453" s="125">
        <v>1203</v>
      </c>
      <c r="B453" s="125" t="s">
        <v>478</v>
      </c>
    </row>
    <row r="454" spans="1:2" x14ac:dyDescent="0.2">
      <c r="A454" s="125">
        <v>1204</v>
      </c>
      <c r="B454" s="125" t="s">
        <v>479</v>
      </c>
    </row>
    <row r="455" spans="1:2" x14ac:dyDescent="0.2">
      <c r="A455" s="125">
        <v>1205</v>
      </c>
      <c r="B455" s="125" t="s">
        <v>480</v>
      </c>
    </row>
    <row r="456" spans="1:2" x14ac:dyDescent="0.2">
      <c r="A456" s="125">
        <v>1206</v>
      </c>
      <c r="B456" s="125" t="s">
        <v>481</v>
      </c>
    </row>
    <row r="458" spans="1:2" x14ac:dyDescent="0.2">
      <c r="B458" s="125" t="s">
        <v>482</v>
      </c>
    </row>
    <row r="460" spans="1:2" x14ac:dyDescent="0.2">
      <c r="B460" s="125" t="s">
        <v>483</v>
      </c>
    </row>
    <row r="461" spans="1:2" x14ac:dyDescent="0.2">
      <c r="A461" s="125">
        <v>1208</v>
      </c>
      <c r="B461" s="125" t="s">
        <v>484</v>
      </c>
    </row>
    <row r="463" spans="1:2" x14ac:dyDescent="0.2">
      <c r="B463" s="125" t="s">
        <v>99</v>
      </c>
    </row>
    <row r="464" spans="1:2" x14ac:dyDescent="0.2">
      <c r="A464" s="125" t="s">
        <v>485</v>
      </c>
      <c r="B464" s="125" t="s">
        <v>486</v>
      </c>
    </row>
    <row r="465" spans="1:2" x14ac:dyDescent="0.2">
      <c r="A465" s="125">
        <v>1210</v>
      </c>
      <c r="B465" s="125" t="s">
        <v>487</v>
      </c>
    </row>
    <row r="466" spans="1:2" x14ac:dyDescent="0.2">
      <c r="A466" s="125">
        <v>1211</v>
      </c>
      <c r="B466" s="125" t="s">
        <v>488</v>
      </c>
    </row>
    <row r="467" spans="1:2" x14ac:dyDescent="0.2">
      <c r="A467" s="125">
        <v>1212</v>
      </c>
      <c r="B467" s="125" t="s">
        <v>489</v>
      </c>
    </row>
    <row r="468" spans="1:2" x14ac:dyDescent="0.2">
      <c r="B468" s="125" t="s">
        <v>490</v>
      </c>
    </row>
    <row r="470" spans="1:2" x14ac:dyDescent="0.2">
      <c r="B470" s="125" t="s">
        <v>100</v>
      </c>
    </row>
    <row r="471" spans="1:2" x14ac:dyDescent="0.2">
      <c r="A471" s="125">
        <v>1214</v>
      </c>
      <c r="B471" s="125" t="s">
        <v>491</v>
      </c>
    </row>
    <row r="472" spans="1:2" x14ac:dyDescent="0.2">
      <c r="A472" s="125">
        <v>1242</v>
      </c>
      <c r="B472" s="125" t="s">
        <v>492</v>
      </c>
    </row>
    <row r="473" spans="1:2" x14ac:dyDescent="0.2">
      <c r="A473" s="125">
        <v>1243</v>
      </c>
      <c r="B473" s="125" t="s">
        <v>493</v>
      </c>
    </row>
    <row r="474" spans="1:2" x14ac:dyDescent="0.2">
      <c r="A474" s="125">
        <v>1244</v>
      </c>
      <c r="B474" s="125" t="s">
        <v>494</v>
      </c>
    </row>
    <row r="475" spans="1:2" x14ac:dyDescent="0.2">
      <c r="A475" s="125">
        <v>1245</v>
      </c>
      <c r="B475" s="125" t="s">
        <v>495</v>
      </c>
    </row>
    <row r="476" spans="1:2" x14ac:dyDescent="0.2">
      <c r="A476" s="125">
        <v>1246</v>
      </c>
      <c r="B476" s="125" t="s">
        <v>496</v>
      </c>
    </row>
    <row r="477" spans="1:2" x14ac:dyDescent="0.2">
      <c r="A477" s="125">
        <v>1215</v>
      </c>
      <c r="B477" s="125" t="s">
        <v>497</v>
      </c>
    </row>
    <row r="478" spans="1:2" x14ac:dyDescent="0.2">
      <c r="A478" s="125">
        <v>1216</v>
      </c>
      <c r="B478" s="125" t="s">
        <v>498</v>
      </c>
    </row>
    <row r="479" spans="1:2" x14ac:dyDescent="0.2">
      <c r="A479" s="125">
        <v>1217</v>
      </c>
      <c r="B479" s="125" t="s">
        <v>499</v>
      </c>
    </row>
    <row r="480" spans="1:2" x14ac:dyDescent="0.2">
      <c r="A480" s="125">
        <v>1218</v>
      </c>
      <c r="B480" s="125" t="s">
        <v>500</v>
      </c>
    </row>
    <row r="481" spans="1:2" x14ac:dyDescent="0.2">
      <c r="A481" s="125">
        <v>1219</v>
      </c>
      <c r="B481" s="125" t="s">
        <v>501</v>
      </c>
    </row>
    <row r="482" spans="1:2" x14ac:dyDescent="0.2">
      <c r="A482" s="125">
        <v>1220</v>
      </c>
      <c r="B482" s="125" t="s">
        <v>502</v>
      </c>
    </row>
    <row r="483" spans="1:2" x14ac:dyDescent="0.2">
      <c r="A483" s="125">
        <v>1221</v>
      </c>
      <c r="B483" s="125" t="s">
        <v>503</v>
      </c>
    </row>
    <row r="484" spans="1:2" x14ac:dyDescent="0.2">
      <c r="A484" s="125">
        <v>1222</v>
      </c>
      <c r="B484" s="125" t="s">
        <v>504</v>
      </c>
    </row>
    <row r="485" spans="1:2" x14ac:dyDescent="0.2">
      <c r="A485" s="125">
        <v>1223</v>
      </c>
      <c r="B485" s="125" t="s">
        <v>505</v>
      </c>
    </row>
    <row r="486" spans="1:2" x14ac:dyDescent="0.2">
      <c r="A486" s="125">
        <v>1224</v>
      </c>
      <c r="B486" s="125" t="s">
        <v>506</v>
      </c>
    </row>
    <row r="487" spans="1:2" x14ac:dyDescent="0.2">
      <c r="A487" s="125">
        <v>1225</v>
      </c>
      <c r="B487" s="125" t="s">
        <v>507</v>
      </c>
    </row>
    <row r="488" spans="1:2" x14ac:dyDescent="0.2">
      <c r="A488" s="125">
        <v>1226</v>
      </c>
      <c r="B488" s="125" t="s">
        <v>508</v>
      </c>
    </row>
    <row r="489" spans="1:2" x14ac:dyDescent="0.2">
      <c r="A489" s="125">
        <v>1227</v>
      </c>
      <c r="B489" s="125" t="s">
        <v>509</v>
      </c>
    </row>
    <row r="490" spans="1:2" x14ac:dyDescent="0.2">
      <c r="A490" s="125">
        <v>1228</v>
      </c>
      <c r="B490" s="125" t="s">
        <v>510</v>
      </c>
    </row>
    <row r="491" spans="1:2" x14ac:dyDescent="0.2">
      <c r="A491" s="125">
        <v>1229</v>
      </c>
      <c r="B491" s="125" t="s">
        <v>511</v>
      </c>
    </row>
    <row r="492" spans="1:2" x14ac:dyDescent="0.2">
      <c r="A492" s="125">
        <v>1230</v>
      </c>
      <c r="B492" s="125" t="s">
        <v>512</v>
      </c>
    </row>
    <row r="493" spans="1:2" x14ac:dyDescent="0.2">
      <c r="A493" s="125">
        <v>1231</v>
      </c>
      <c r="B493" s="125" t="s">
        <v>513</v>
      </c>
    </row>
    <row r="494" spans="1:2" x14ac:dyDescent="0.2">
      <c r="A494" s="125">
        <v>1232</v>
      </c>
      <c r="B494" s="125" t="s">
        <v>514</v>
      </c>
    </row>
    <row r="495" spans="1:2" x14ac:dyDescent="0.2">
      <c r="A495" s="125">
        <v>1233</v>
      </c>
      <c r="B495" s="125" t="s">
        <v>515</v>
      </c>
    </row>
    <row r="496" spans="1:2" x14ac:dyDescent="0.2">
      <c r="A496" s="125">
        <v>1234</v>
      </c>
      <c r="B496" s="125" t="s">
        <v>516</v>
      </c>
    </row>
    <row r="497" spans="1:2" x14ac:dyDescent="0.2">
      <c r="A497" s="125">
        <v>1235</v>
      </c>
      <c r="B497" s="125" t="s">
        <v>517</v>
      </c>
    </row>
    <row r="498" spans="1:2" x14ac:dyDescent="0.2">
      <c r="A498" s="125">
        <v>1236</v>
      </c>
      <c r="B498" s="125" t="s">
        <v>518</v>
      </c>
    </row>
    <row r="499" spans="1:2" x14ac:dyDescent="0.2">
      <c r="A499" s="125">
        <v>1237</v>
      </c>
      <c r="B499" s="125" t="s">
        <v>519</v>
      </c>
    </row>
    <row r="500" spans="1:2" x14ac:dyDescent="0.2">
      <c r="A500" s="125">
        <v>1238</v>
      </c>
      <c r="B500" s="125" t="s">
        <v>520</v>
      </c>
    </row>
    <row r="501" spans="1:2" x14ac:dyDescent="0.2">
      <c r="A501" s="125">
        <v>1239</v>
      </c>
      <c r="B501" s="125" t="s">
        <v>521</v>
      </c>
    </row>
    <row r="502" spans="1:2" x14ac:dyDescent="0.2">
      <c r="A502" s="125">
        <v>1240</v>
      </c>
      <c r="B502" s="125" t="s">
        <v>522</v>
      </c>
    </row>
    <row r="503" spans="1:2" x14ac:dyDescent="0.2">
      <c r="A503" s="125">
        <v>1241</v>
      </c>
      <c r="B503" s="125" t="s">
        <v>523</v>
      </c>
    </row>
    <row r="504" spans="1:2" x14ac:dyDescent="0.2">
      <c r="B504" s="125" t="s">
        <v>524</v>
      </c>
    </row>
    <row r="506" spans="1:2" x14ac:dyDescent="0.2">
      <c r="B506" s="125" t="s">
        <v>525</v>
      </c>
    </row>
    <row r="508" spans="1:2" x14ac:dyDescent="0.2">
      <c r="B508" s="125" t="s">
        <v>526</v>
      </c>
    </row>
    <row r="510" spans="1:2" x14ac:dyDescent="0.2">
      <c r="B510" s="125" t="s">
        <v>527</v>
      </c>
    </row>
    <row r="512" spans="1:2" x14ac:dyDescent="0.2">
      <c r="B512" s="125" t="s">
        <v>528</v>
      </c>
    </row>
    <row r="513" spans="1:2" x14ac:dyDescent="0.2">
      <c r="A513" s="125">
        <v>2101</v>
      </c>
      <c r="B513" s="125" t="s">
        <v>529</v>
      </c>
    </row>
    <row r="514" spans="1:2" x14ac:dyDescent="0.2">
      <c r="A514" s="125">
        <v>2102</v>
      </c>
      <c r="B514" s="125" t="s">
        <v>530</v>
      </c>
    </row>
    <row r="515" spans="1:2" x14ac:dyDescent="0.2">
      <c r="A515" s="125">
        <v>2103</v>
      </c>
      <c r="B515" s="125" t="s">
        <v>531</v>
      </c>
    </row>
    <row r="516" spans="1:2" x14ac:dyDescent="0.2">
      <c r="A516" s="125">
        <v>1207</v>
      </c>
      <c r="B516" s="125" t="s">
        <v>532</v>
      </c>
    </row>
    <row r="517" spans="1:2" x14ac:dyDescent="0.2">
      <c r="B517" s="125" t="s">
        <v>533</v>
      </c>
    </row>
    <row r="519" spans="1:2" x14ac:dyDescent="0.2">
      <c r="B519" s="125" t="s">
        <v>101</v>
      </c>
    </row>
    <row r="520" spans="1:2" x14ac:dyDescent="0.2">
      <c r="A520" s="125">
        <v>3101</v>
      </c>
      <c r="B520" s="125" t="s">
        <v>534</v>
      </c>
    </row>
    <row r="521" spans="1:2" x14ac:dyDescent="0.2">
      <c r="A521" s="125" t="s">
        <v>535</v>
      </c>
      <c r="B521" s="125" t="s">
        <v>536</v>
      </c>
    </row>
    <row r="522" spans="1:2" x14ac:dyDescent="0.2">
      <c r="A522" s="125">
        <v>3103</v>
      </c>
      <c r="B522" s="125" t="s">
        <v>537</v>
      </c>
    </row>
    <row r="523" spans="1:2" x14ac:dyDescent="0.2">
      <c r="A523" s="125">
        <v>3104</v>
      </c>
      <c r="B523" s="125" t="s">
        <v>538</v>
      </c>
    </row>
    <row r="524" spans="1:2" x14ac:dyDescent="0.2">
      <c r="B524" s="125" t="s">
        <v>539</v>
      </c>
    </row>
    <row r="526" spans="1:2" x14ac:dyDescent="0.2">
      <c r="B526" s="125" t="s">
        <v>540</v>
      </c>
    </row>
    <row r="534" spans="1:12" x14ac:dyDescent="0.2">
      <c r="B534" s="125" t="s">
        <v>541</v>
      </c>
    </row>
    <row r="535" spans="1:12" x14ac:dyDescent="0.2">
      <c r="B535" s="125" t="s">
        <v>542</v>
      </c>
    </row>
    <row r="536" spans="1:12" x14ac:dyDescent="0.2">
      <c r="A536" s="125">
        <v>5101</v>
      </c>
      <c r="B536" s="125" t="s">
        <v>543</v>
      </c>
    </row>
    <row r="537" spans="1:12" x14ac:dyDescent="0.2">
      <c r="A537" s="125">
        <v>5102</v>
      </c>
      <c r="B537" s="125" t="s">
        <v>544</v>
      </c>
    </row>
    <row r="538" spans="1:12" x14ac:dyDescent="0.2">
      <c r="A538" s="125">
        <v>5103</v>
      </c>
      <c r="B538" s="125" t="s">
        <v>545</v>
      </c>
    </row>
    <row r="539" spans="1:12" x14ac:dyDescent="0.2">
      <c r="A539" s="125">
        <v>5104</v>
      </c>
      <c r="B539" s="125" t="s">
        <v>546</v>
      </c>
    </row>
    <row r="540" spans="1:12" x14ac:dyDescent="0.2">
      <c r="A540" s="125">
        <v>5105</v>
      </c>
      <c r="B540" s="125" t="s">
        <v>547</v>
      </c>
      <c r="E540" s="125" t="s">
        <v>548</v>
      </c>
      <c r="F540" s="125" t="s">
        <v>549</v>
      </c>
    </row>
    <row r="541" spans="1:12" x14ac:dyDescent="0.2">
      <c r="B541" s="125" t="s">
        <v>550</v>
      </c>
    </row>
    <row r="542" spans="1:12" x14ac:dyDescent="0.2">
      <c r="E542" s="125" t="s">
        <v>551</v>
      </c>
      <c r="G542" s="125"/>
      <c r="H542" s="125"/>
      <c r="I542" s="125"/>
      <c r="J542" s="125"/>
      <c r="K542" s="125"/>
      <c r="L542" s="125"/>
    </row>
    <row r="543" spans="1:12" x14ac:dyDescent="0.2">
      <c r="B543" s="125" t="s">
        <v>540</v>
      </c>
      <c r="E543" s="125" t="s">
        <v>552</v>
      </c>
      <c r="F543" s="125" t="s">
        <v>553</v>
      </c>
      <c r="G543" s="125" t="s">
        <v>115</v>
      </c>
      <c r="H543" s="125"/>
      <c r="I543" s="125"/>
      <c r="J543" s="125"/>
      <c r="K543" s="125"/>
      <c r="L543" s="125"/>
    </row>
    <row r="544" spans="1:12" x14ac:dyDescent="0.2">
      <c r="A544" s="125">
        <v>6190</v>
      </c>
      <c r="B544" s="125" t="s">
        <v>554</v>
      </c>
      <c r="E544" s="125" t="s">
        <v>555</v>
      </c>
      <c r="F544" s="125" t="s">
        <v>556</v>
      </c>
      <c r="G544" s="136">
        <v>157866000</v>
      </c>
      <c r="H544" s="125"/>
      <c r="I544" s="125"/>
      <c r="J544" s="125"/>
      <c r="K544" s="125"/>
      <c r="L544" s="125"/>
    </row>
    <row r="545" spans="1:12" x14ac:dyDescent="0.2">
      <c r="A545" s="125">
        <v>7101</v>
      </c>
      <c r="B545" s="125" t="s">
        <v>557</v>
      </c>
      <c r="E545" s="125" t="s">
        <v>558</v>
      </c>
      <c r="F545" s="125" t="s">
        <v>559</v>
      </c>
      <c r="G545" s="136">
        <v>487283000</v>
      </c>
      <c r="H545" s="125"/>
      <c r="I545" s="125"/>
      <c r="J545" s="125"/>
      <c r="K545" s="125"/>
      <c r="L545" s="125"/>
    </row>
    <row r="546" spans="1:12" x14ac:dyDescent="0.2">
      <c r="A546" s="125">
        <v>7102</v>
      </c>
      <c r="B546" s="125" t="s">
        <v>559</v>
      </c>
      <c r="E546" s="125" t="s">
        <v>560</v>
      </c>
      <c r="F546" s="125" t="s">
        <v>561</v>
      </c>
      <c r="G546" s="136">
        <v>821000000</v>
      </c>
      <c r="H546" s="125"/>
      <c r="I546" s="125"/>
      <c r="J546" s="125"/>
      <c r="K546" s="125"/>
      <c r="L546" s="125"/>
    </row>
    <row r="547" spans="1:12" x14ac:dyDescent="0.2">
      <c r="A547" s="125">
        <v>7103</v>
      </c>
      <c r="B547" s="125" t="s">
        <v>562</v>
      </c>
      <c r="E547" s="125" t="s">
        <v>346</v>
      </c>
      <c r="G547" s="136">
        <v>1466149000</v>
      </c>
      <c r="H547" s="125"/>
      <c r="I547" s="125"/>
      <c r="J547" s="125"/>
      <c r="K547" s="125"/>
      <c r="L547" s="125"/>
    </row>
    <row r="548" spans="1:12" x14ac:dyDescent="0.2">
      <c r="A548" s="125">
        <v>7104</v>
      </c>
      <c r="B548" s="125" t="s">
        <v>563</v>
      </c>
      <c r="G548" s="136"/>
      <c r="H548" s="125"/>
      <c r="I548" s="125"/>
      <c r="J548" s="125"/>
      <c r="K548" s="125"/>
      <c r="L548" s="125"/>
    </row>
    <row r="549" spans="1:12" x14ac:dyDescent="0.2">
      <c r="A549" s="125">
        <v>7105</v>
      </c>
      <c r="B549" s="125" t="s">
        <v>564</v>
      </c>
      <c r="G549" s="125"/>
      <c r="H549" s="125"/>
      <c r="I549" s="125"/>
      <c r="J549" s="125"/>
      <c r="K549" s="125"/>
      <c r="L549" s="125"/>
    </row>
    <row r="550" spans="1:12" x14ac:dyDescent="0.2">
      <c r="A550" s="125" t="s">
        <v>565</v>
      </c>
      <c r="B550" s="125" t="s">
        <v>566</v>
      </c>
      <c r="G550" s="125"/>
      <c r="H550" s="125"/>
      <c r="I550" s="125"/>
      <c r="J550" s="125"/>
      <c r="K550" s="125"/>
      <c r="L550" s="125"/>
    </row>
    <row r="551" spans="1:12" x14ac:dyDescent="0.2">
      <c r="A551" s="125">
        <v>4101</v>
      </c>
      <c r="B551" s="125" t="s">
        <v>567</v>
      </c>
      <c r="G551" s="125"/>
      <c r="H551" s="125"/>
      <c r="I551" s="125"/>
      <c r="J551" s="125"/>
      <c r="K551" s="125"/>
    </row>
    <row r="552" spans="1:12" x14ac:dyDescent="0.2">
      <c r="A552" s="125">
        <v>4102</v>
      </c>
      <c r="B552" s="125" t="s">
        <v>556</v>
      </c>
      <c r="G552" s="125"/>
      <c r="H552" s="125"/>
      <c r="I552" s="125"/>
      <c r="J552" s="125"/>
      <c r="K552" s="125"/>
    </row>
    <row r="553" spans="1:12" x14ac:dyDescent="0.2">
      <c r="A553" s="125">
        <v>7104</v>
      </c>
      <c r="B553" s="125" t="s">
        <v>568</v>
      </c>
      <c r="E553" s="125">
        <v>6190</v>
      </c>
      <c r="F553" s="125" t="s">
        <v>554</v>
      </c>
      <c r="G553" s="125"/>
      <c r="H553" s="125"/>
      <c r="I553" s="125"/>
      <c r="J553" s="125"/>
      <c r="K553" s="125"/>
    </row>
    <row r="554" spans="1:12" x14ac:dyDescent="0.2">
      <c r="G554" s="125"/>
      <c r="H554" s="125"/>
      <c r="I554" s="125"/>
      <c r="J554" s="125"/>
      <c r="K554" s="125"/>
    </row>
    <row r="555" spans="1:12" x14ac:dyDescent="0.2">
      <c r="B555" s="125" t="s">
        <v>569</v>
      </c>
      <c r="G555" s="125"/>
      <c r="H555" s="125"/>
      <c r="I555" s="125"/>
      <c r="J555" s="125"/>
      <c r="K555" s="125"/>
    </row>
    <row r="556" spans="1:12" x14ac:dyDescent="0.2">
      <c r="A556" s="126" t="s">
        <v>570</v>
      </c>
      <c r="G556" s="125"/>
    </row>
    <row r="557" spans="1:12" x14ac:dyDescent="0.2">
      <c r="A557" s="140">
        <v>1110050100</v>
      </c>
      <c r="B557" s="141" t="s">
        <v>571</v>
      </c>
      <c r="G557" s="125"/>
    </row>
    <row r="558" spans="1:12" x14ac:dyDescent="0.2">
      <c r="A558" s="140">
        <v>1110050200</v>
      </c>
      <c r="B558" s="125" t="s">
        <v>572</v>
      </c>
      <c r="G558" s="125"/>
    </row>
    <row r="559" spans="1:12" x14ac:dyDescent="0.2">
      <c r="G559" s="125"/>
    </row>
    <row r="563" spans="1:2" x14ac:dyDescent="0.2">
      <c r="A563" s="125">
        <v>4170250000</v>
      </c>
      <c r="B563" s="125" t="s">
        <v>573</v>
      </c>
    </row>
    <row r="565" spans="1:2" x14ac:dyDescent="0.2">
      <c r="A565" s="125">
        <v>4218050000</v>
      </c>
      <c r="B565" s="125" t="s">
        <v>574</v>
      </c>
    </row>
    <row r="568" spans="1:2" x14ac:dyDescent="0.2">
      <c r="A568" s="125">
        <v>5210350000</v>
      </c>
      <c r="B568" s="125" t="s">
        <v>575</v>
      </c>
    </row>
    <row r="569" spans="1:2" x14ac:dyDescent="0.2">
      <c r="A569" s="125">
        <v>5140950000</v>
      </c>
    </row>
    <row r="571" spans="1:2" x14ac:dyDescent="0.2">
      <c r="A571" s="140">
        <v>5305950000</v>
      </c>
      <c r="B571" s="125" t="s">
        <v>576</v>
      </c>
    </row>
    <row r="572" spans="1:2" x14ac:dyDescent="0.2">
      <c r="A572" s="140">
        <v>5313050000</v>
      </c>
      <c r="B572" s="125" t="s">
        <v>574</v>
      </c>
    </row>
    <row r="573" spans="1:2" x14ac:dyDescent="0.2">
      <c r="A573" s="125">
        <v>5310950000</v>
      </c>
      <c r="B573" s="125" t="s">
        <v>577</v>
      </c>
    </row>
    <row r="577" spans="1:3" x14ac:dyDescent="0.2">
      <c r="A577" s="125">
        <v>1101</v>
      </c>
      <c r="B577" s="125" t="s">
        <v>578</v>
      </c>
    </row>
    <row r="578" spans="1:3" x14ac:dyDescent="0.2">
      <c r="A578" s="125">
        <v>1102</v>
      </c>
      <c r="B578" s="125" t="s">
        <v>579</v>
      </c>
    </row>
    <row r="579" spans="1:3" x14ac:dyDescent="0.2">
      <c r="A579" s="125">
        <v>1103</v>
      </c>
      <c r="B579" s="125" t="s">
        <v>580</v>
      </c>
    </row>
    <row r="580" spans="1:3" x14ac:dyDescent="0.2">
      <c r="A580" s="125">
        <v>1104</v>
      </c>
      <c r="B580" s="125" t="s">
        <v>581</v>
      </c>
    </row>
    <row r="581" spans="1:3" x14ac:dyDescent="0.2">
      <c r="A581" s="125">
        <v>1106</v>
      </c>
      <c r="B581" s="125" t="s">
        <v>582</v>
      </c>
    </row>
    <row r="582" spans="1:3" x14ac:dyDescent="0.2">
      <c r="A582" s="125">
        <v>9999</v>
      </c>
      <c r="B582" s="125" t="s">
        <v>583</v>
      </c>
      <c r="C582" s="125" t="s">
        <v>584</v>
      </c>
    </row>
    <row r="584" spans="1:3" x14ac:dyDescent="0.2">
      <c r="A584" s="125">
        <v>1218</v>
      </c>
      <c r="B584" s="125" t="s">
        <v>585</v>
      </c>
    </row>
    <row r="585" spans="1:3" x14ac:dyDescent="0.2">
      <c r="A585" s="125">
        <v>1223</v>
      </c>
      <c r="B585" s="125" t="s">
        <v>586</v>
      </c>
    </row>
    <row r="586" spans="1:3" x14ac:dyDescent="0.2">
      <c r="A586" s="125">
        <v>1231</v>
      </c>
      <c r="B586" s="125" t="s">
        <v>587</v>
      </c>
    </row>
    <row r="587" spans="1:3" x14ac:dyDescent="0.2">
      <c r="A587" s="125">
        <v>1235</v>
      </c>
      <c r="B587" s="125" t="s">
        <v>588</v>
      </c>
    </row>
    <row r="588" spans="1:3" x14ac:dyDescent="0.2">
      <c r="A588" s="125">
        <v>1201</v>
      </c>
      <c r="B588" s="125" t="s">
        <v>589</v>
      </c>
    </row>
    <row r="591" spans="1:3" x14ac:dyDescent="0.2">
      <c r="A591" s="125">
        <v>5103</v>
      </c>
      <c r="B591" s="125" t="s">
        <v>545</v>
      </c>
      <c r="C591" s="125" t="s">
        <v>590</v>
      </c>
    </row>
    <row r="592" spans="1:3" x14ac:dyDescent="0.2">
      <c r="A592" s="125">
        <v>5104</v>
      </c>
      <c r="B592" s="125" t="s">
        <v>546</v>
      </c>
      <c r="C592" s="125" t="s">
        <v>584</v>
      </c>
    </row>
    <row r="593" spans="1:3" x14ac:dyDescent="0.2">
      <c r="A593" s="125">
        <v>5105</v>
      </c>
      <c r="B593" s="125" t="s">
        <v>591</v>
      </c>
      <c r="C593" s="125" t="s">
        <v>584</v>
      </c>
    </row>
    <row r="594" spans="1:3" x14ac:dyDescent="0.2">
      <c r="A594" s="125">
        <v>5106</v>
      </c>
      <c r="B594" s="125" t="s">
        <v>592</v>
      </c>
      <c r="C594" s="125" t="s">
        <v>590</v>
      </c>
    </row>
    <row r="595" spans="1:3" x14ac:dyDescent="0.2">
      <c r="A595" s="125">
        <v>7101</v>
      </c>
      <c r="B595" s="125" t="s">
        <v>593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C34CA-84BA-4ADC-91C1-B18D95E00139}">
  <sheetPr>
    <tabColor theme="2" tint="-0.749992370372631"/>
  </sheetPr>
  <dimension ref="A1:AG50"/>
  <sheetViews>
    <sheetView showGridLines="0" tabSelected="1" zoomScaleNormal="100" workbookViewId="0">
      <selection activeCell="J2" sqref="J2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11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OCTUBRE de 2025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OCTUBRE de 2025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2025</v>
      </c>
      <c r="E7" s="13" t="str">
        <f>+'COLOMB$ '!F7:F7</f>
        <v>Real 2025</v>
      </c>
      <c r="G7" s="10" t="s">
        <v>24</v>
      </c>
      <c r="H7" s="13" t="str">
        <f>+'COLOMB$ '!I7:I7</f>
        <v>Real 2024</v>
      </c>
      <c r="J7" s="10" t="s">
        <v>25</v>
      </c>
      <c r="K7" s="13" t="str">
        <f>+C7</f>
        <v>Ppto 2025</v>
      </c>
      <c r="M7" s="23" t="str">
        <f>+E7</f>
        <v>Real 2025</v>
      </c>
      <c r="N7" s="23"/>
      <c r="O7" s="10" t="s">
        <v>24</v>
      </c>
      <c r="P7" s="13" t="str">
        <f>+H7</f>
        <v>Real 2024</v>
      </c>
      <c r="R7" s="10" t="s">
        <v>25</v>
      </c>
      <c r="S7" s="24"/>
      <c r="T7" s="15"/>
      <c r="U7" s="15" t="str">
        <f>+C7</f>
        <v>Ppto 2025</v>
      </c>
      <c r="V7" s="15" t="str">
        <f>+M7</f>
        <v>Real 2025</v>
      </c>
      <c r="W7" s="15" t="str">
        <f>+H7</f>
        <v>Real 2024</v>
      </c>
      <c r="X7" s="15" t="str">
        <f>+U7</f>
        <v>Ppto 2025</v>
      </c>
      <c r="Y7" s="15" t="str">
        <f>+V7</f>
        <v>Real 2025</v>
      </c>
      <c r="Z7" s="15" t="s">
        <v>26</v>
      </c>
      <c r="AA7" s="15" t="s">
        <v>24</v>
      </c>
      <c r="AB7" s="15" t="str">
        <f>+W7</f>
        <v>Real 2024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374570</v>
      </c>
      <c r="D10" s="33">
        <f t="shared" ref="D10:D20" si="0">+C10/$C$20</f>
        <v>0.36205624983688767</v>
      </c>
      <c r="E10" s="32">
        <v>383006.43900000001</v>
      </c>
      <c r="F10" s="33">
        <f t="shared" ref="F10:F20" si="1">+E10/$E$20</f>
        <v>0.40524944898799031</v>
      </c>
      <c r="G10" s="33">
        <f t="shared" ref="G10:G20" si="2">IF(C10=0,"",(E10-C10)/ABS(C10)+1)</f>
        <v>1.0225229970366021</v>
      </c>
      <c r="H10" s="32">
        <v>409325.42800000001</v>
      </c>
      <c r="I10" s="33">
        <f t="shared" ref="I10:I19" si="3">+H10/$H$20</f>
        <v>0.42776116688939969</v>
      </c>
      <c r="J10" s="34">
        <f t="shared" ref="J10:J20" si="4">IF(H10=0,"",(E10-H10)/ABS(H10))</f>
        <v>-6.4298446174225948E-2</v>
      </c>
      <c r="K10" s="32">
        <v>3815903</v>
      </c>
      <c r="L10" s="33">
        <f t="shared" ref="L10:L20" si="5">+K10/$K$20</f>
        <v>0.36566612530861048</v>
      </c>
      <c r="M10" s="32">
        <v>3960242.73</v>
      </c>
      <c r="N10" s="33">
        <f t="shared" ref="N10:N20" si="6">+M10/$M$20</f>
        <v>0.40345354443373688</v>
      </c>
      <c r="O10" s="33">
        <f t="shared" ref="O10:O20" si="7">IF(K10=0,"",(M10-K10)/ABS(K10)+1)</f>
        <v>1.0378258383402303</v>
      </c>
      <c r="P10" s="32">
        <v>3900028.4670000002</v>
      </c>
      <c r="Q10" s="33">
        <f t="shared" ref="Q10:Q20" si="8">+P10/$P$20</f>
        <v>0.39519665450526564</v>
      </c>
      <c r="R10" s="34">
        <f t="shared" ref="R10:R20" si="9">IF(P10=0,"",(M10-P10)/ABS(P10))</f>
        <v>1.5439441919335047E-2</v>
      </c>
      <c r="S10" s="24"/>
      <c r="T10" s="19" t="s">
        <v>31</v>
      </c>
      <c r="U10" s="35">
        <f>+'COLOMB$ '!U10</f>
        <v>-51569</v>
      </c>
      <c r="V10" s="35">
        <f>+'COLOMB$ '!V10</f>
        <v>-51569</v>
      </c>
      <c r="W10" s="35">
        <f>+'COLOMB$ '!W10</f>
        <v>144197</v>
      </c>
      <c r="X10" s="35">
        <f>+'COLOMB$ '!X10</f>
        <v>125133</v>
      </c>
      <c r="Y10" s="35">
        <f>+'COLOMB$ '!Y10</f>
        <v>125133</v>
      </c>
      <c r="Z10" s="36">
        <f>+Y10-X10</f>
        <v>0</v>
      </c>
      <c r="AA10" s="37">
        <f>IF(X10=0,"",(Y10-X10)/ABS(X10)+1)</f>
        <v>1</v>
      </c>
      <c r="AB10" s="35">
        <f>+'COLOMB$ '!AB10</f>
        <v>35896</v>
      </c>
      <c r="AC10" s="34">
        <f>IF(W10=0,"",(Y10-AB10)/ABS(AB10))</f>
        <v>2.4859872966347227</v>
      </c>
    </row>
    <row r="11" spans="1:33" x14ac:dyDescent="0.2">
      <c r="A11" s="38"/>
      <c r="B11" s="19" t="str">
        <f>+'COLOMB$ '!B11</f>
        <v>Instalaciones</v>
      </c>
      <c r="C11" s="32">
        <v>60727</v>
      </c>
      <c r="D11" s="33">
        <f t="shared" si="0"/>
        <v>5.8698213641895175E-2</v>
      </c>
      <c r="E11" s="32">
        <v>52869.222999999998</v>
      </c>
      <c r="F11" s="33">
        <f t="shared" si="1"/>
        <v>5.5939590846338705E-2</v>
      </c>
      <c r="G11" s="33">
        <f t="shared" si="2"/>
        <v>0.8706048874470993</v>
      </c>
      <c r="H11" s="32">
        <v>26212.837</v>
      </c>
      <c r="I11" s="33">
        <f t="shared" si="3"/>
        <v>2.7393445350777548E-2</v>
      </c>
      <c r="J11" s="34">
        <f t="shared" si="4"/>
        <v>1.0169210604712493</v>
      </c>
      <c r="K11" s="32">
        <v>652809</v>
      </c>
      <c r="L11" s="33">
        <f t="shared" si="5"/>
        <v>6.2556657649994962E-2</v>
      </c>
      <c r="M11" s="32">
        <v>415745.53200000001</v>
      </c>
      <c r="N11" s="33">
        <f t="shared" si="6"/>
        <v>4.2354476708524783E-2</v>
      </c>
      <c r="O11" s="33">
        <f t="shared" si="7"/>
        <v>0.63685631172364354</v>
      </c>
      <c r="P11" s="32">
        <v>499811.95899999997</v>
      </c>
      <c r="Q11" s="33">
        <f t="shared" si="8"/>
        <v>5.0646813414278333E-2</v>
      </c>
      <c r="R11" s="34">
        <f t="shared" si="9"/>
        <v>-0.16819610952926392</v>
      </c>
      <c r="S11" s="24"/>
      <c r="T11" s="19" t="s">
        <v>32</v>
      </c>
      <c r="U11" s="35">
        <f>+'COLOMB$ '!U11</f>
        <v>1268565.48499</v>
      </c>
      <c r="V11" s="35">
        <f>+'COLOMB$ '!V11</f>
        <v>1268565.48499</v>
      </c>
      <c r="W11" s="35">
        <f>+'COLOMB$ '!W11</f>
        <v>1265070.1290599999</v>
      </c>
      <c r="X11" s="35">
        <f>+'COLOMB$ '!X11</f>
        <v>11598483.894549999</v>
      </c>
      <c r="Y11" s="35">
        <f>+'COLOMB$ '!Y11</f>
        <v>11598483.894549999</v>
      </c>
      <c r="Z11" s="36">
        <f>+Y11-X11</f>
        <v>0</v>
      </c>
      <c r="AA11" s="37">
        <f>IF(X11=0,"",(Y11-X11)/ABS(X11)+1)</f>
        <v>1</v>
      </c>
      <c r="AB11" s="35">
        <f>+'COLOMB$ '!AB11</f>
        <v>11318962.775309999</v>
      </c>
      <c r="AC11" s="34">
        <f>IF(AB11=0,"",(Y11-AB11)/ABS(AB11))</f>
        <v>2.4694941116841462E-2</v>
      </c>
    </row>
    <row r="12" spans="1:33" x14ac:dyDescent="0.2">
      <c r="A12" s="38"/>
      <c r="B12" s="19" t="str">
        <f>+'COLOMB$ '!B12</f>
        <v>Voice Experience (Publihold)</v>
      </c>
      <c r="C12" s="32">
        <v>59330</v>
      </c>
      <c r="D12" s="33">
        <f t="shared" si="0"/>
        <v>5.7347885049049696E-2</v>
      </c>
      <c r="E12" s="32">
        <v>41552.050999999999</v>
      </c>
      <c r="F12" s="33">
        <f t="shared" si="1"/>
        <v>4.3965176710960917E-2</v>
      </c>
      <c r="G12" s="33">
        <f t="shared" si="2"/>
        <v>0.70035481206809369</v>
      </c>
      <c r="H12" s="32">
        <v>46689.699000000001</v>
      </c>
      <c r="I12" s="33">
        <f t="shared" si="3"/>
        <v>4.8792571288668728E-2</v>
      </c>
      <c r="J12" s="34">
        <f t="shared" si="4"/>
        <v>-0.11003814781500307</v>
      </c>
      <c r="K12" s="32">
        <v>690730</v>
      </c>
      <c r="L12" s="33">
        <f t="shared" si="5"/>
        <v>6.6190509227938066E-2</v>
      </c>
      <c r="M12" s="32">
        <v>572749.91899999999</v>
      </c>
      <c r="N12" s="33">
        <f t="shared" si="6"/>
        <v>5.8349449932500908E-2</v>
      </c>
      <c r="O12" s="33">
        <f t="shared" si="7"/>
        <v>0.82919508201468006</v>
      </c>
      <c r="P12" s="32">
        <v>647775.76399999997</v>
      </c>
      <c r="Q12" s="33">
        <f t="shared" si="8"/>
        <v>6.5640242620924563E-2</v>
      </c>
      <c r="R12" s="34">
        <f t="shared" si="9"/>
        <v>-0.11582070396817128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104339</v>
      </c>
      <c r="D13" s="33">
        <f t="shared" si="0"/>
        <v>0.1008532104859733</v>
      </c>
      <c r="E13" s="32">
        <v>98180.937999999995</v>
      </c>
      <c r="F13" s="33">
        <f t="shared" si="1"/>
        <v>0.10388277317088143</v>
      </c>
      <c r="G13" s="33">
        <f t="shared" si="2"/>
        <v>0.94098024707923211</v>
      </c>
      <c r="H13" s="32">
        <v>73398.841</v>
      </c>
      <c r="I13" s="33">
        <f t="shared" si="3"/>
        <v>7.6704674879102583E-2</v>
      </c>
      <c r="J13" s="34">
        <f t="shared" si="4"/>
        <v>0.33763608065691386</v>
      </c>
      <c r="K13" s="32">
        <v>1121264</v>
      </c>
      <c r="L13" s="33">
        <f t="shared" si="5"/>
        <v>0.10744724442105416</v>
      </c>
      <c r="M13" s="32">
        <v>895242.549</v>
      </c>
      <c r="N13" s="33">
        <f t="shared" si="6"/>
        <v>9.1203697385979013E-2</v>
      </c>
      <c r="O13" s="33">
        <f t="shared" si="7"/>
        <v>0.79842262749896542</v>
      </c>
      <c r="P13" s="32">
        <v>954652.9911799999</v>
      </c>
      <c r="Q13" s="33">
        <f t="shared" si="8"/>
        <v>9.6736644750183259E-2</v>
      </c>
      <c r="R13" s="34">
        <f t="shared" si="9"/>
        <v>-6.2232499901944009E-2</v>
      </c>
      <c r="S13" s="24"/>
      <c r="T13" s="19" t="s">
        <v>33</v>
      </c>
      <c r="U13" s="35">
        <f>+'COLOMB$ '!U13</f>
        <v>588823.47</v>
      </c>
      <c r="V13" s="35">
        <f>+'COLOMB$ '!V13</f>
        <v>588823.47</v>
      </c>
      <c r="W13" s="35">
        <f>+'COLOMB$ '!W13</f>
        <v>174065.454</v>
      </c>
      <c r="X13" s="35">
        <f>+'COLOMB$ '!X13</f>
        <v>2483152.8059999999</v>
      </c>
      <c r="Y13" s="35">
        <f>+'COLOMB$ '!Y13</f>
        <v>2483152.8059999999</v>
      </c>
      <c r="Z13" s="36">
        <f>+X13-Y13</f>
        <v>0</v>
      </c>
      <c r="AA13" s="37">
        <f>IF(X13=0,"",(Y13-X13)/ABS(X13)+1)</f>
        <v>1</v>
      </c>
      <c r="AB13" s="35">
        <f>+'COLOMB$ '!AB13</f>
        <v>1799652.067</v>
      </c>
      <c r="AC13" s="34">
        <f>IF(AB13=0,"",(Y13-AB13)/ABS(AB13))</f>
        <v>0.37979604587646099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9545.1370000000006</v>
      </c>
      <c r="V14" s="35">
        <f>+'COLOMB$ '!V14</f>
        <v>9545.1370000000006</v>
      </c>
      <c r="W14" s="35">
        <f>+'COLOMB$ '!W14</f>
        <v>11116.694</v>
      </c>
      <c r="X14" s="35">
        <f>+'COLOMB$ '!X14</f>
        <v>101762.13099999999</v>
      </c>
      <c r="Y14" s="35">
        <f>+'COLOMB$ '!Y14</f>
        <v>101762.13099999999</v>
      </c>
      <c r="Z14" s="36">
        <f>+X14-Y14</f>
        <v>0</v>
      </c>
      <c r="AA14" s="37">
        <f>IF(X14=0,"",(Y14-X14)/ABS(X14)+1)</f>
        <v>1</v>
      </c>
      <c r="AB14" s="35">
        <f>+'COLOMB$ '!AB14</f>
        <v>123040.245</v>
      </c>
      <c r="AC14" s="34">
        <f>IF(AB14=0,"",(Y14-AB14)/ABS(AB14))</f>
        <v>-0.1729362128627101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145719</v>
      </c>
      <c r="D15" s="33">
        <f t="shared" si="0"/>
        <v>0.14085077467491106</v>
      </c>
      <c r="E15" s="32">
        <v>122358.94</v>
      </c>
      <c r="F15" s="33">
        <f t="shared" si="1"/>
        <v>0.1294649070214576</v>
      </c>
      <c r="G15" s="33">
        <f t="shared" si="2"/>
        <v>0.83969104921115301</v>
      </c>
      <c r="H15" s="32">
        <v>123324.012</v>
      </c>
      <c r="I15" s="33">
        <f t="shared" si="3"/>
        <v>0.12887844162616335</v>
      </c>
      <c r="J15" s="34">
        <f t="shared" si="4"/>
        <v>-7.8254995466738465E-3</v>
      </c>
      <c r="K15" s="32">
        <v>1352176</v>
      </c>
      <c r="L15" s="33">
        <f t="shared" si="5"/>
        <v>0.12957482374559723</v>
      </c>
      <c r="M15" s="32">
        <v>1185886.4509999999</v>
      </c>
      <c r="N15" s="33">
        <f t="shared" si="6"/>
        <v>0.12081332498321258</v>
      </c>
      <c r="O15" s="33">
        <f t="shared" si="7"/>
        <v>0.87702078057885946</v>
      </c>
      <c r="P15" s="32">
        <v>1335051.828</v>
      </c>
      <c r="Q15" s="33">
        <f t="shared" si="8"/>
        <v>0.13528311920825251</v>
      </c>
      <c r="R15" s="34">
        <f t="shared" si="9"/>
        <v>-0.1117300271581667</v>
      </c>
      <c r="S15" s="24"/>
      <c r="T15" s="19" t="s">
        <v>35</v>
      </c>
      <c r="U15" s="35">
        <f>+'COLOMB$ '!U15</f>
        <v>436069.52299999999</v>
      </c>
      <c r="V15" s="35">
        <f>+'COLOMB$ '!V15</f>
        <v>436069.52299999999</v>
      </c>
      <c r="W15" s="35">
        <f>+'COLOMB$ '!W15</f>
        <v>422588.35700000002</v>
      </c>
      <c r="X15" s="35">
        <f>+'COLOMB$ '!X15</f>
        <v>4715383.0080000004</v>
      </c>
      <c r="Y15" s="35">
        <f>+'COLOMB$ '!Y15</f>
        <v>4715383.0080000004</v>
      </c>
      <c r="Z15" s="36">
        <f>+X15-Y15</f>
        <v>0</v>
      </c>
      <c r="AA15" s="37">
        <f>IF(X15=0,"",(Y15-X15)/ABS(X15)+1)</f>
        <v>1</v>
      </c>
      <c r="AB15" s="35">
        <f>+'COLOMB$ '!AB15</f>
        <v>4459430.8490000004</v>
      </c>
      <c r="AC15" s="34">
        <f>IF(AB15=0,"",(Y15-AB15)/ABS(AB15))</f>
        <v>5.7395700856622919E-2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212230.73530999999</v>
      </c>
      <c r="V16" s="35">
        <f>+'COLOMB$ '!V16</f>
        <v>212230.73530999999</v>
      </c>
      <c r="W16" s="35">
        <f>+'COLOMB$ '!W16</f>
        <v>281413.04038000002</v>
      </c>
      <c r="X16" s="35">
        <f>+'COLOMB$ '!X16</f>
        <v>2258818.8152700001</v>
      </c>
      <c r="Y16" s="35">
        <f>+'COLOMB$ '!Y16</f>
        <v>2258818.8152700001</v>
      </c>
      <c r="Z16" s="36">
        <f>+X16-Y16</f>
        <v>0</v>
      </c>
      <c r="AA16" s="37">
        <f>IF(X16=0,"",(Y16-X16)/ABS(X16)+1)</f>
        <v>1</v>
      </c>
      <c r="AB16" s="35">
        <f>+'COLOMB$ '!AB16</f>
        <v>2490013.9890600001</v>
      </c>
      <c r="AC16" s="34">
        <f>IF(AB16=0,"",(Y16-AB16)/ABS(AB16))</f>
        <v>-9.2848945751215606E-2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24424</v>
      </c>
      <c r="D17" s="33">
        <f t="shared" si="0"/>
        <v>2.3608035470048708E-2</v>
      </c>
      <c r="E17" s="32">
        <v>20963.865000000002</v>
      </c>
      <c r="F17" s="33">
        <f t="shared" si="1"/>
        <v>2.2181336590815427E-2</v>
      </c>
      <c r="G17" s="33">
        <f t="shared" si="2"/>
        <v>0.85833053553881433</v>
      </c>
      <c r="H17" s="32">
        <v>16199.207</v>
      </c>
      <c r="I17" s="33">
        <f t="shared" si="3"/>
        <v>1.6928808265981785E-2</v>
      </c>
      <c r="J17" s="34">
        <f t="shared" si="4"/>
        <v>0.29412908915850022</v>
      </c>
      <c r="K17" s="32">
        <v>177282</v>
      </c>
      <c r="L17" s="33">
        <f t="shared" si="5"/>
        <v>1.698838309751613E-2</v>
      </c>
      <c r="M17" s="32">
        <v>183812.26800000001</v>
      </c>
      <c r="N17" s="33">
        <f t="shared" si="6"/>
        <v>1.8726051934448967E-2</v>
      </c>
      <c r="O17" s="33">
        <f t="shared" si="7"/>
        <v>1.0368354824516872</v>
      </c>
      <c r="P17" s="32">
        <v>165570.72099999999</v>
      </c>
      <c r="Q17" s="33">
        <f t="shared" si="8"/>
        <v>1.6777568568251355E-2</v>
      </c>
      <c r="R17" s="34">
        <f t="shared" si="9"/>
        <v>0.11017374865451013</v>
      </c>
      <c r="S17" s="24"/>
      <c r="T17" s="19" t="s">
        <v>37</v>
      </c>
      <c r="U17" s="35">
        <f>U13+U14+U15+U16</f>
        <v>1246668.8653099998</v>
      </c>
      <c r="V17" s="35">
        <f>V13+V14+V15+V16</f>
        <v>1246668.8653099998</v>
      </c>
      <c r="W17" s="35">
        <f>W13+W14+W15+W16</f>
        <v>889183.54538000003</v>
      </c>
      <c r="X17" s="35">
        <f>X13+X14+X15+X16</f>
        <v>9559116.7602699995</v>
      </c>
      <c r="Y17" s="35">
        <f>Y13+Y14+Y15+Y16</f>
        <v>9559116.7602699995</v>
      </c>
      <c r="Z17" s="36">
        <f>+Y17-X17</f>
        <v>0</v>
      </c>
      <c r="AA17" s="37">
        <f>IF(X17=0,"",(Y17-X17)/ABS(X17)+1)</f>
        <v>1</v>
      </c>
      <c r="AB17" s="35">
        <f>+'COLOMB$ '!AB17</f>
        <v>8872137.1500599999</v>
      </c>
      <c r="AC17" s="34">
        <f>IF(AB17=0,"",(Y17-AB17)/ABS(AB17))</f>
        <v>7.7431130582258159E-2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235125</v>
      </c>
      <c r="D18" s="33">
        <f t="shared" si="0"/>
        <v>0.22726987143363914</v>
      </c>
      <c r="E18" s="32">
        <v>198169.13500000001</v>
      </c>
      <c r="F18" s="33">
        <f t="shared" si="1"/>
        <v>0.20967776148843459</v>
      </c>
      <c r="G18" s="33">
        <f t="shared" si="2"/>
        <v>0.84282460393407765</v>
      </c>
      <c r="H18" s="32">
        <v>206241.61799999999</v>
      </c>
      <c r="I18" s="33">
        <f t="shared" si="3"/>
        <v>0.21553060020702602</v>
      </c>
      <c r="J18" s="41">
        <f t="shared" si="4"/>
        <v>-3.9140902201416881E-2</v>
      </c>
      <c r="K18" s="32">
        <v>2176742</v>
      </c>
      <c r="L18" s="33">
        <f t="shared" si="5"/>
        <v>0.20859042091387425</v>
      </c>
      <c r="M18" s="32">
        <v>2155614.9980000001</v>
      </c>
      <c r="N18" s="33">
        <f t="shared" si="6"/>
        <v>0.21960535519438293</v>
      </c>
      <c r="O18" s="33">
        <f t="shared" si="7"/>
        <v>0.99029420941939839</v>
      </c>
      <c r="P18" s="32">
        <v>1806126.8089999999</v>
      </c>
      <c r="Q18" s="33">
        <f t="shared" si="8"/>
        <v>0.18301796475812002</v>
      </c>
      <c r="R18" s="34">
        <f t="shared" si="9"/>
        <v>0.19350146803562576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30329</v>
      </c>
      <c r="D19" s="33">
        <f t="shared" si="0"/>
        <v>2.9315759407595284E-2</v>
      </c>
      <c r="E19" s="32">
        <v>28012.203000000001</v>
      </c>
      <c r="F19" s="33">
        <f t="shared" si="1"/>
        <v>2.9639005183121032E-2</v>
      </c>
      <c r="G19" s="33">
        <f t="shared" si="2"/>
        <v>0.92361116423225298</v>
      </c>
      <c r="H19" s="32">
        <v>55510.152000000002</v>
      </c>
      <c r="I19" s="33">
        <f t="shared" si="3"/>
        <v>5.8010291492880194E-2</v>
      </c>
      <c r="J19" s="34">
        <f t="shared" si="4"/>
        <v>-0.49536792837461513</v>
      </c>
      <c r="K19" s="32">
        <v>448578</v>
      </c>
      <c r="L19" s="33">
        <f t="shared" si="5"/>
        <v>4.2985835635414707E-2</v>
      </c>
      <c r="M19" s="32">
        <v>446563.62300000002</v>
      </c>
      <c r="N19" s="33">
        <f t="shared" si="6"/>
        <v>4.5494099427213906E-2</v>
      </c>
      <c r="O19" s="33">
        <f t="shared" si="7"/>
        <v>0.99550941642256197</v>
      </c>
      <c r="P19" s="32">
        <v>559558.08600000001</v>
      </c>
      <c r="Q19" s="33">
        <f t="shared" si="8"/>
        <v>5.6700992174724477E-2</v>
      </c>
      <c r="R19" s="34">
        <f t="shared" si="9"/>
        <v>-0.20193518032728416</v>
      </c>
      <c r="S19" s="24"/>
      <c r="T19" s="19" t="s">
        <v>38</v>
      </c>
      <c r="U19" s="35">
        <f>U11-U17</f>
        <v>21896.619680000236</v>
      </c>
      <c r="V19" s="35">
        <f>V11-V17</f>
        <v>21896.619680000236</v>
      </c>
      <c r="W19" s="35">
        <f>W11-W17</f>
        <v>375886.58367999992</v>
      </c>
      <c r="X19" s="35">
        <f>X11-X17</f>
        <v>2039367.1342799999</v>
      </c>
      <c r="Y19" s="35">
        <f>Y11-Y17</f>
        <v>2039367.1342799999</v>
      </c>
      <c r="Z19" s="36">
        <f>+Y19-X19</f>
        <v>0</v>
      </c>
      <c r="AA19" s="37">
        <f>IF(X19=0,"",(Y19-X19)/ABS(X19)+1)</f>
        <v>1</v>
      </c>
      <c r="AB19" s="35">
        <f>AB11-AB17</f>
        <v>2446825.6252499986</v>
      </c>
      <c r="AC19" s="34">
        <f>IF(AB19=0,"",(Y19-AB19)/ABS(AB19))</f>
        <v>-0.16652534891135434</v>
      </c>
      <c r="AE19" s="40"/>
    </row>
    <row r="20" spans="1:32" x14ac:dyDescent="0.2">
      <c r="B20" s="42" t="s">
        <v>39</v>
      </c>
      <c r="C20" s="43">
        <f>SUM(C10:C19)</f>
        <v>1034563</v>
      </c>
      <c r="D20" s="44">
        <f t="shared" si="0"/>
        <v>1</v>
      </c>
      <c r="E20" s="43">
        <f>SUM(E10:E19)</f>
        <v>945112.79399999999</v>
      </c>
      <c r="F20" s="44">
        <f t="shared" si="1"/>
        <v>1</v>
      </c>
      <c r="G20" s="44">
        <f t="shared" si="2"/>
        <v>0.91353817408896321</v>
      </c>
      <c r="H20" s="43">
        <f>SUM(H10:H19)</f>
        <v>956901.79400000011</v>
      </c>
      <c r="I20" s="44">
        <f>+H22/$H$22</f>
        <v>1</v>
      </c>
      <c r="J20" s="45">
        <f t="shared" si="4"/>
        <v>-1.2319968542142909E-2</v>
      </c>
      <c r="K20" s="43">
        <f>SUM(K10:K19)</f>
        <v>10435484</v>
      </c>
      <c r="L20" s="44">
        <f t="shared" si="5"/>
        <v>1</v>
      </c>
      <c r="M20" s="43">
        <f>SUM(M10:M19)</f>
        <v>9815858.0700000003</v>
      </c>
      <c r="N20" s="44">
        <f t="shared" si="6"/>
        <v>1</v>
      </c>
      <c r="O20" s="44">
        <f t="shared" si="7"/>
        <v>0.9406231728207336</v>
      </c>
      <c r="P20" s="43">
        <f>SUM(P10:P19)</f>
        <v>9868576.6251799986</v>
      </c>
      <c r="Q20" s="44">
        <f t="shared" si="8"/>
        <v>1</v>
      </c>
      <c r="R20" s="45">
        <f t="shared" si="9"/>
        <v>-5.3420627089711343E-3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-29672.380319999764</v>
      </c>
      <c r="V21" s="35">
        <f>+V10+V19</f>
        <v>-29672.380319999764</v>
      </c>
      <c r="W21" s="35">
        <f>+'COLOMB$ '!W21</f>
        <v>520083.58367999992</v>
      </c>
      <c r="X21" s="35">
        <f>+X10+X19</f>
        <v>2164500.1342799999</v>
      </c>
      <c r="Y21" s="35">
        <f>+Y10+Y19</f>
        <v>2164500.1342799999</v>
      </c>
      <c r="Z21" s="36">
        <f>+Y21-X21</f>
        <v>0</v>
      </c>
      <c r="AA21" s="37">
        <f>IF(X21=0,"",(Y21-X21)/ABS(X21)+1)</f>
        <v>1</v>
      </c>
      <c r="AB21" s="35">
        <f>+'COLOMB$ '!AB21</f>
        <v>2482721.6252499986</v>
      </c>
      <c r="AC21" s="34">
        <f>IF(AB21=0,"",(Y21-AB21)/ABS(AB21))</f>
        <v>-0.12817445489401388</v>
      </c>
    </row>
    <row r="22" spans="1:32" x14ac:dyDescent="0.2">
      <c r="B22" s="19" t="s">
        <v>41</v>
      </c>
      <c r="C22" s="32">
        <v>147765</v>
      </c>
      <c r="D22" s="33">
        <f>+C22/$C$20</f>
        <v>0.14282842127545639</v>
      </c>
      <c r="E22" s="32">
        <v>113829.3768</v>
      </c>
      <c r="F22" s="33">
        <f>+E22/$E$20</f>
        <v>0.12043999141969081</v>
      </c>
      <c r="G22" s="33">
        <f>IF(C22=0,"",(E22-C22)/ABS(C22)+1)</f>
        <v>0.77034058674246264</v>
      </c>
      <c r="H22" s="32">
        <v>119757.83108</v>
      </c>
      <c r="I22" s="33">
        <f>+H22/$H$20</f>
        <v>0.12515164234293408</v>
      </c>
      <c r="J22" s="34">
        <f>IF(H22=0,"",(E22-H22)/ABS(H22))</f>
        <v>-4.9503687788397824E-2</v>
      </c>
      <c r="K22" s="32">
        <v>1417076</v>
      </c>
      <c r="L22" s="33">
        <f>+K22/$K$20</f>
        <v>0.13579398904736953</v>
      </c>
      <c r="M22" s="32">
        <v>1291582.2056800001</v>
      </c>
      <c r="N22" s="33">
        <f>+M22/$M$20</f>
        <v>0.13158118184567436</v>
      </c>
      <c r="O22" s="33">
        <f>IF(K22=0,"",(M22-K22)/ABS(K22)+1)</f>
        <v>0.91144173331564438</v>
      </c>
      <c r="P22" s="32">
        <v>1178925.7696500001</v>
      </c>
      <c r="Q22" s="33">
        <f>+P22/$P$20</f>
        <v>0.11946259470103644</v>
      </c>
      <c r="R22" s="34">
        <f>IF(P22=0,"",(M22-P22)/ABS(P22))</f>
        <v>9.5558549087823796E-2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2444.5610000000001</v>
      </c>
      <c r="V23" s="35">
        <f>+'COLOMB$ '!V23</f>
        <v>2444.5610000000001</v>
      </c>
      <c r="W23" s="35">
        <f>+'COLOMB$ '!W23</f>
        <v>135205.416</v>
      </c>
      <c r="X23" s="35">
        <f>+'COLOMB$ '!X23</f>
        <v>86514.364870000005</v>
      </c>
      <c r="Y23" s="35">
        <f>+'COLOMB$ '!Y23</f>
        <v>86514.364870000005</v>
      </c>
      <c r="Z23" s="36">
        <f>+Y23-X23</f>
        <v>0</v>
      </c>
      <c r="AA23" s="37">
        <f>IF(X23=0,"",(Y23-X23)/ABS(X23)+1)</f>
        <v>1</v>
      </c>
      <c r="AB23" s="35">
        <f>+'COLOMB$ '!AB23</f>
        <v>431614.94614999997</v>
      </c>
      <c r="AC23" s="34">
        <f>IF(AB23=0,"",(Y23-AB23)/ABS(AB23))</f>
        <v>-0.79955660562335229</v>
      </c>
    </row>
    <row r="24" spans="1:32" x14ac:dyDescent="0.2">
      <c r="B24" s="46" t="s">
        <v>43</v>
      </c>
      <c r="C24" s="35">
        <f>+C20-C22</f>
        <v>886798</v>
      </c>
      <c r="D24" s="33">
        <f>+C24/$C$20</f>
        <v>0.85717157872454364</v>
      </c>
      <c r="E24" s="35">
        <f>+E20-E22</f>
        <v>831283.41720000003</v>
      </c>
      <c r="F24" s="33">
        <f>+E24/$E$20</f>
        <v>0.87956000858030925</v>
      </c>
      <c r="G24" s="33">
        <f>IF(C24=0,"",(E24-C24)/ABS(C24)+1)</f>
        <v>0.93739884077320879</v>
      </c>
      <c r="H24" s="35">
        <f>+H20-H22</f>
        <v>837143.96292000008</v>
      </c>
      <c r="I24" s="33">
        <f>+H24/$H$20</f>
        <v>0.87484835765706592</v>
      </c>
      <c r="J24" s="34">
        <f>IF(H24=0,"",(E24-H24)/ABS(H24))</f>
        <v>-7.0006426368508659E-3</v>
      </c>
      <c r="K24" s="35">
        <f>+K20-K22</f>
        <v>9018408</v>
      </c>
      <c r="L24" s="33">
        <f>+K24/$K$20</f>
        <v>0.8642060109526305</v>
      </c>
      <c r="M24" s="35">
        <f>+M20-M22</f>
        <v>8524275.8643200006</v>
      </c>
      <c r="N24" s="33">
        <f>+M24/$M$20</f>
        <v>0.86841881815432564</v>
      </c>
      <c r="O24" s="33">
        <f>IF(K24=0,"",(M24-K24)/ABS(K24)+1)</f>
        <v>0.94520849625787617</v>
      </c>
      <c r="P24" s="35">
        <f>+P20-P22</f>
        <v>8689650.8555299975</v>
      </c>
      <c r="Q24" s="33">
        <f>+P24/$P$20</f>
        <v>0.88053740529896352</v>
      </c>
      <c r="R24" s="34">
        <f>IF(P24=0,"",(M24-P24)/ABS(P24))</f>
        <v>-1.9031258442881401E-2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126.84860999999999</v>
      </c>
      <c r="V25" s="35">
        <f>+'COLOMB$ '!V25</f>
        <v>126.84860999999999</v>
      </c>
      <c r="W25" s="35">
        <f>+'COLOMB$ '!W25</f>
        <v>56212.762029999998</v>
      </c>
      <c r="X25" s="35">
        <f>+'COLOMB$ '!X25</f>
        <v>1881709.3228800001</v>
      </c>
      <c r="Y25" s="35">
        <f>+'COLOMB$ '!Y25</f>
        <v>1881709.3228800001</v>
      </c>
      <c r="Z25" s="36">
        <f>+Y25-X25</f>
        <v>0</v>
      </c>
      <c r="AA25" s="37">
        <f>IF(X25=0,"",(Y25-X25)/ABS(X25)+1)</f>
        <v>1</v>
      </c>
      <c r="AB25" s="35">
        <f>+'COLOMB$ '!AB25</f>
        <v>1831541.8468299999</v>
      </c>
      <c r="AC25" s="34">
        <f>IF(AB25=0,"",(Y25-AB25)/ABS(AB25))</f>
        <v>2.7390843478039634E-2</v>
      </c>
    </row>
    <row r="26" spans="1:32" x14ac:dyDescent="0.2">
      <c r="B26" s="19" t="s">
        <v>45</v>
      </c>
      <c r="C26" s="32">
        <v>238151</v>
      </c>
      <c r="D26" s="33">
        <f>+C26/$C$20</f>
        <v>0.23019477789172821</v>
      </c>
      <c r="E26" s="32">
        <v>247069.43637000001</v>
      </c>
      <c r="F26" s="33">
        <f>+E26/$E$20</f>
        <v>0.26141793650293133</v>
      </c>
      <c r="G26" s="33">
        <f>IF(C26=0,"",(E26-C26)/ABS(C26)+1)</f>
        <v>1.0374486622772947</v>
      </c>
      <c r="H26" s="32">
        <v>226537.26358</v>
      </c>
      <c r="I26" s="33">
        <f>+H26/$H$20</f>
        <v>0.23674034786060813</v>
      </c>
      <c r="J26" s="34">
        <f>IF(H26=0,"",(E26-H26)/ABS(H26))</f>
        <v>9.0634858325412862E-2</v>
      </c>
      <c r="K26" s="32">
        <v>2275391</v>
      </c>
      <c r="L26" s="33">
        <f>+K26/$K$20</f>
        <v>0.2180436479994603</v>
      </c>
      <c r="M26" s="32">
        <v>2195893.7234899998</v>
      </c>
      <c r="N26" s="33">
        <f>+M26/$M$20</f>
        <v>0.22370878916854589</v>
      </c>
      <c r="O26" s="33">
        <f>IF(K26=0,"",(M26-K26)/ABS(K26)+1)</f>
        <v>0.9650621468969508</v>
      </c>
      <c r="P26" s="32">
        <v>2123798.0566699998</v>
      </c>
      <c r="Q26" s="33">
        <f>+P26/$P$20</f>
        <v>0.21520814372065158</v>
      </c>
      <c r="R26" s="34">
        <f>IF(P26=0,"",(M26-P26)/ABS(P26))</f>
        <v>3.3946573495336002E-2</v>
      </c>
      <c r="S26" s="24"/>
      <c r="AC26" s="34"/>
    </row>
    <row r="27" spans="1:32" x14ac:dyDescent="0.2">
      <c r="B27" s="19" t="s">
        <v>46</v>
      </c>
      <c r="C27" s="32">
        <v>291179</v>
      </c>
      <c r="D27" s="33">
        <f>+C27/$C$20</f>
        <v>0.28145120210175695</v>
      </c>
      <c r="E27" s="32">
        <v>334402.78241000004</v>
      </c>
      <c r="F27" s="33">
        <f>+E27/$E$20</f>
        <v>0.35382314633019352</v>
      </c>
      <c r="G27" s="33">
        <f>IF(C27=0,"",(E27-C27)/ABS(C27)+1)</f>
        <v>1.1484440238135307</v>
      </c>
      <c r="H27" s="32">
        <v>334156.50266</v>
      </c>
      <c r="I27" s="33">
        <f>+H27/$H$20</f>
        <v>0.34920668427548163</v>
      </c>
      <c r="J27" s="34">
        <f>IF(H27=0,"",(E27-H27)/ABS(H27))</f>
        <v>7.3701917526540462E-4</v>
      </c>
      <c r="K27" s="32">
        <v>3382705</v>
      </c>
      <c r="L27" s="33">
        <f>+K27/$K$20</f>
        <v>0.32415410727475602</v>
      </c>
      <c r="M27" s="32">
        <v>3298193.0278000003</v>
      </c>
      <c r="N27" s="33">
        <f>+M27/$M$20</f>
        <v>0.33600659303338931</v>
      </c>
      <c r="O27" s="33">
        <f>IF(K27=0,"",(M27-K27)/ABS(K27)+1)</f>
        <v>0.97501645215884925</v>
      </c>
      <c r="P27" s="32">
        <v>3413045.4798000003</v>
      </c>
      <c r="Q27" s="33">
        <f>+P27/$P$20</f>
        <v>0.34584982307291429</v>
      </c>
      <c r="R27" s="34">
        <f>IF(P27=0,"",(M27-P27)/ABS(P27))</f>
        <v>-3.3651017157477266E-2</v>
      </c>
      <c r="S27" s="24"/>
      <c r="T27" s="19" t="s">
        <v>47</v>
      </c>
      <c r="U27" s="35">
        <f>+'COLOMB$ '!U27</f>
        <v>372749.21888</v>
      </c>
      <c r="V27" s="35">
        <f>+'COLOMB$ '!V27</f>
        <v>372749.21888</v>
      </c>
      <c r="W27" s="35">
        <f>+'COLOMB$ '!W27</f>
        <v>230957.04274999999</v>
      </c>
      <c r="X27" s="35">
        <f>+'COLOMB$ '!X27</f>
        <v>601269</v>
      </c>
      <c r="Y27" s="35">
        <f>+'COLOMB$ '!Y27</f>
        <v>601269</v>
      </c>
      <c r="Z27" s="36">
        <f>+Y27-X27</f>
        <v>0</v>
      </c>
      <c r="AA27" s="37">
        <f>IF(X27=0,"",(Y27-X27)/ABS(X27)+1)</f>
        <v>1</v>
      </c>
      <c r="AB27" s="35">
        <f>+'COLOMB$ '!AB27</f>
        <v>-355522</v>
      </c>
      <c r="AC27" s="34">
        <f>IF(AB27=0,"",(Y27-AB27)/ABS(AB27))</f>
        <v>2.6912286722059395</v>
      </c>
    </row>
    <row r="28" spans="1:32" x14ac:dyDescent="0.2">
      <c r="B28" s="19" t="s">
        <v>48</v>
      </c>
      <c r="C28" s="35">
        <f>SUM(C26:C27)</f>
        <v>529330</v>
      </c>
      <c r="D28" s="33">
        <f>+C28/$C$20</f>
        <v>0.51164597999348516</v>
      </c>
      <c r="E28" s="35">
        <f>SUM(E26:E27)</f>
        <v>581472.21878</v>
      </c>
      <c r="F28" s="33">
        <f>+E28/$E$20</f>
        <v>0.61524108283312473</v>
      </c>
      <c r="G28" s="33">
        <f>IF(C28=0,"",(E28-C28)/ABS(C28)+1)</f>
        <v>1.0985060714110291</v>
      </c>
      <c r="H28" s="35">
        <f>SUM(H26:H27)</f>
        <v>560693.76624000003</v>
      </c>
      <c r="I28" s="33">
        <f>+H28/$H$20</f>
        <v>0.58594703213608978</v>
      </c>
      <c r="J28" s="34">
        <f>IF(H28=0,"",(E28-H28)/ABS(H28))</f>
        <v>3.705846897378548E-2</v>
      </c>
      <c r="K28" s="35">
        <f>SUM(K26:K27)</f>
        <v>5658096</v>
      </c>
      <c r="L28" s="33">
        <f>+K28/$K$20</f>
        <v>0.54219775527421632</v>
      </c>
      <c r="M28" s="35">
        <f>SUM(M26:M27)</f>
        <v>5494086.75129</v>
      </c>
      <c r="N28" s="33">
        <f>+M28/$M$20</f>
        <v>0.55971538220193517</v>
      </c>
      <c r="O28" s="33">
        <f>IF(K28=0,"",(M28-K28)/ABS(K28)+1)</f>
        <v>0.97101334994846322</v>
      </c>
      <c r="P28" s="35">
        <f>SUM(P26:P27)</f>
        <v>5536843.5364699997</v>
      </c>
      <c r="Q28" s="33">
        <f>+P28/$P$20</f>
        <v>0.56105796679356579</v>
      </c>
      <c r="R28" s="34">
        <f>IF(P28=0,"",(M28-P28)/ABS(P28))</f>
        <v>-7.7222310687253288E-3</v>
      </c>
      <c r="S28" s="24"/>
      <c r="T28" s="19" t="s">
        <v>49</v>
      </c>
      <c r="U28" s="35">
        <f>+'COLOMB$ '!U28</f>
        <v>0</v>
      </c>
      <c r="V28" s="35">
        <f>+'COLOMB$ '!V28</f>
        <v>0</v>
      </c>
      <c r="W28" s="35">
        <f>+'COLOMB$ '!W28</f>
        <v>81513.63</v>
      </c>
      <c r="X28" s="35">
        <f>+'COLOMB$ '!X28</f>
        <v>0</v>
      </c>
      <c r="Y28" s="35">
        <f>+'COLOMB$ '!Y28</f>
        <v>0</v>
      </c>
      <c r="Z28" s="36">
        <f>+Y28-X28</f>
        <v>0</v>
      </c>
      <c r="AA28" s="37" t="str">
        <f>IF(X28=0,"",(Y28-X28)/ABS(X28)+1)</f>
        <v/>
      </c>
      <c r="AB28" s="35">
        <f>+'COLOMB$ '!AB28</f>
        <v>558892.43984999997</v>
      </c>
      <c r="AC28" s="34">
        <f>IF(AB28=0,"",(Y28-AB28)/ABS(AB28))</f>
        <v>-1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59604</v>
      </c>
      <c r="D30" s="33">
        <f>+C30/$C$20</f>
        <v>5.7612731172485387E-2</v>
      </c>
      <c r="E30" s="35">
        <v>65949.527000000002</v>
      </c>
      <c r="F30" s="33">
        <f>+E30/$E$20</f>
        <v>6.977953046311211E-2</v>
      </c>
      <c r="G30" s="33">
        <f>IF(C30=0,"",(E30-C30)/ABS(C30)+1)</f>
        <v>1.1064614287631702</v>
      </c>
      <c r="H30" s="35">
        <v>60773.783000000003</v>
      </c>
      <c r="I30" s="33">
        <f>+H30/$H$20</f>
        <v>6.3510992853254067E-2</v>
      </c>
      <c r="J30" s="34">
        <f>IF(H30=0,"",(E30-H30)/ABS(H30))</f>
        <v>8.5164091233221384E-2</v>
      </c>
      <c r="K30" s="35">
        <v>608164</v>
      </c>
      <c r="L30" s="33">
        <f>+K30/$K$20</f>
        <v>5.8278466049107067E-2</v>
      </c>
      <c r="M30" s="35">
        <v>617995.64719000005</v>
      </c>
      <c r="N30" s="33">
        <f>+M30/$M$20</f>
        <v>6.2958902093212518E-2</v>
      </c>
      <c r="O30" s="33">
        <f>IF(K30=0,"",(M30-K30)/ABS(K30)+1)</f>
        <v>1.0161661117560397</v>
      </c>
      <c r="P30" s="35">
        <v>565063.86863000004</v>
      </c>
      <c r="Q30" s="33">
        <f>+P30/$P$20</f>
        <v>5.7258902685947737E-2</v>
      </c>
      <c r="R30" s="34">
        <f>IF(P30=0,"",(M30-P30)/ABS(P30))</f>
        <v>9.3673974746135064E-2</v>
      </c>
      <c r="S30" s="24"/>
      <c r="T30" s="42" t="s">
        <v>51</v>
      </c>
      <c r="U30" s="43">
        <f>U21-U23-U25-U27-U28</f>
        <v>-404993.0088099998</v>
      </c>
      <c r="V30" s="43">
        <f>V21-V23-V25-V27-V28</f>
        <v>-404993.0088099998</v>
      </c>
      <c r="W30" s="43">
        <f>W21-W23-W25-W27-W28</f>
        <v>16194.732899999974</v>
      </c>
      <c r="X30" s="43">
        <f>X21-X23-X25-X27-X28</f>
        <v>-404992.55347000016</v>
      </c>
      <c r="Y30" s="43">
        <f>Y21-Y23-Y25-Y27-Y28</f>
        <v>-404992.55347000016</v>
      </c>
      <c r="Z30" s="47">
        <f>+Y30-X30</f>
        <v>0</v>
      </c>
      <c r="AA30" s="48">
        <f>IF(U30=0,"",(V30-U30)/ABS(U30)+1)</f>
        <v>1</v>
      </c>
      <c r="AB30" s="43">
        <f>AB21-AB23-AB25-AB27-AB28</f>
        <v>16194.392419998767</v>
      </c>
      <c r="AC30" s="34">
        <f>IF(AB30=0,"",(Y30-AB30)/ABS(AB30))</f>
        <v>-26.008196847809312</v>
      </c>
    </row>
    <row r="31" spans="1:32" x14ac:dyDescent="0.2">
      <c r="B31" s="19" t="s">
        <v>52</v>
      </c>
      <c r="C31" s="35">
        <v>168277</v>
      </c>
      <c r="D31" s="33">
        <f>+C31/$C$20</f>
        <v>0.16265515004886122</v>
      </c>
      <c r="E31" s="35">
        <v>254281.47718000002</v>
      </c>
      <c r="F31" s="33">
        <f>+E31/$E$20</f>
        <v>0.26904881490790611</v>
      </c>
      <c r="G31" s="33">
        <f>IF(C31=0,"",(E31-C31)/ABS(C31)+1)</f>
        <v>1.5110887238303512</v>
      </c>
      <c r="H31" s="35">
        <v>194595.38243999999</v>
      </c>
      <c r="I31" s="33">
        <f>+H31/$H$20</f>
        <v>0.2033598261181648</v>
      </c>
      <c r="J31" s="34">
        <f>IF(H31=0,"",(E31-H31)/ABS(H31))</f>
        <v>0.30671896728280884</v>
      </c>
      <c r="K31" s="35">
        <v>2093456</v>
      </c>
      <c r="L31" s="33">
        <f>+K31/$K$20</f>
        <v>0.20060938237268153</v>
      </c>
      <c r="M31" s="35">
        <v>1991750.9538199999</v>
      </c>
      <c r="N31" s="33">
        <f>+M31/$M$20</f>
        <v>0.20291154778483872</v>
      </c>
      <c r="O31" s="33">
        <f>IF(K31=0,"",(M31-K31)/ABS(K31)+1)</f>
        <v>0.95141763372146337</v>
      </c>
      <c r="P31" s="35">
        <v>1918750.26465</v>
      </c>
      <c r="Q31" s="33">
        <f>+P31/$P$20</f>
        <v>0.19443029501886275</v>
      </c>
      <c r="R31" s="34">
        <f>IF(P31=0,"",(M31-P31)/ABS(P31))</f>
        <v>3.8045956534794798E-2</v>
      </c>
      <c r="S31" s="24"/>
    </row>
    <row r="32" spans="1:32" x14ac:dyDescent="0.2">
      <c r="B32" s="19" t="s">
        <v>53</v>
      </c>
      <c r="C32" s="35">
        <f>SUM(C30:C31)</f>
        <v>227881</v>
      </c>
      <c r="D32" s="33">
        <f>+C32/$C$20</f>
        <v>0.22026788122134661</v>
      </c>
      <c r="E32" s="35">
        <f>SUM(E30:E31)</f>
        <v>320231.00418000005</v>
      </c>
      <c r="F32" s="33">
        <f>+E32/$E$20</f>
        <v>0.3388283453710183</v>
      </c>
      <c r="G32" s="33">
        <f>IF(C32=0,"",(E32-C32)/ABS(C32)+1)</f>
        <v>1.4052553928585536</v>
      </c>
      <c r="H32" s="35">
        <f>SUM(H30:H31)</f>
        <v>255369.16543999998</v>
      </c>
      <c r="I32" s="33">
        <f>+H32/$H$20</f>
        <v>0.26687081897141884</v>
      </c>
      <c r="J32" s="34">
        <f>IF(H32=0,"",(E32-H32)/ABS(H32))</f>
        <v>0.25399244512642472</v>
      </c>
      <c r="K32" s="35">
        <f>SUM(K30:K31)</f>
        <v>2701620</v>
      </c>
      <c r="L32" s="33">
        <f>+K32/$K$20</f>
        <v>0.25888784842178858</v>
      </c>
      <c r="M32" s="35">
        <f>SUM(M30:M31)</f>
        <v>2609746.6010099999</v>
      </c>
      <c r="N32" s="33">
        <f>+M32/$M$20</f>
        <v>0.26587044987805125</v>
      </c>
      <c r="O32" s="33">
        <f>IF(K32=0,"",(M32-K32)/ABS(K32)+1)</f>
        <v>0.96599321925733439</v>
      </c>
      <c r="P32" s="35">
        <f t="shared" ref="P32" si="10">SUM(P30:P31)</f>
        <v>2483814.1332800002</v>
      </c>
      <c r="Q32" s="33">
        <f>+P32/$P$20</f>
        <v>0.25168919770481052</v>
      </c>
      <c r="R32" s="34">
        <f>IF(P32=0,"",(M32-P32)/ABS(P32))</f>
        <v>5.0701244526577996E-2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757211</v>
      </c>
      <c r="D34" s="33">
        <f>+C34/$C$20</f>
        <v>0.73191386121483182</v>
      </c>
      <c r="E34" s="35">
        <f>E28+E32</f>
        <v>901703.22296000004</v>
      </c>
      <c r="F34" s="33">
        <f>+E34/$E$20</f>
        <v>0.95406942820414309</v>
      </c>
      <c r="G34" s="33">
        <f>IF(C34=0,"",(E34-C34)/ABS(C34)+1)</f>
        <v>1.1908216110965109</v>
      </c>
      <c r="H34" s="35">
        <f>H28+H32</f>
        <v>816062.93168000004</v>
      </c>
      <c r="I34" s="33">
        <f>+H34/$H$20</f>
        <v>0.85281785110750863</v>
      </c>
      <c r="J34" s="34">
        <f>IF(H34=0,"",(E34-H34)/ABS(H34))</f>
        <v>0.10494324390362315</v>
      </c>
      <c r="K34" s="35">
        <f>K28+K32</f>
        <v>8359716</v>
      </c>
      <c r="L34" s="33">
        <f>+K34/$K$20</f>
        <v>0.8010856036960049</v>
      </c>
      <c r="M34" s="35">
        <f>M28+M32</f>
        <v>8103833.3522999994</v>
      </c>
      <c r="N34" s="33">
        <f>+M34/$M$20</f>
        <v>0.82558583207998637</v>
      </c>
      <c r="O34" s="33">
        <f>IF(K34=0,"",(M34-K34)/ABS(K34)+1)</f>
        <v>0.96939098795939949</v>
      </c>
      <c r="P34" s="35">
        <f>P28+P32</f>
        <v>8020657.6697499994</v>
      </c>
      <c r="Q34" s="33">
        <f>+P34/$P$20</f>
        <v>0.81274716449837625</v>
      </c>
      <c r="R34" s="34">
        <f>IF(P34=0,"",(M34-P34)/ABS(P34))</f>
        <v>1.0370182343487622E-2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129587</v>
      </c>
      <c r="D36" s="44">
        <f>+C36/$C$20</f>
        <v>0.12525771750971182</v>
      </c>
      <c r="E36" s="43">
        <f>E24-E34</f>
        <v>-70419.805760000017</v>
      </c>
      <c r="F36" s="44">
        <f>+E36/$E$20</f>
        <v>-7.4509419623833825E-2</v>
      </c>
      <c r="G36" s="44">
        <f>IF(C36=0,"",(E36-C36)/ABS(C36)+1)</f>
        <v>-0.54341720820761363</v>
      </c>
      <c r="H36" s="43">
        <f>H24-H34</f>
        <v>21081.03124000004</v>
      </c>
      <c r="I36" s="44">
        <f>+H36/$H$20</f>
        <v>2.2030506549557204E-2</v>
      </c>
      <c r="J36" s="45">
        <f>IF(H36=0,"",(E36-H36)/ABS(H36))</f>
        <v>-4.3404345811310456</v>
      </c>
      <c r="K36" s="43">
        <f>K24-K34</f>
        <v>658692</v>
      </c>
      <c r="L36" s="44">
        <f>+K36/$K$20</f>
        <v>6.3120407256625571E-2</v>
      </c>
      <c r="M36" s="43">
        <f>+M24-M34</f>
        <v>420442.51202000119</v>
      </c>
      <c r="N36" s="44">
        <f>+M36/$M$20</f>
        <v>4.2832986074339316E-2</v>
      </c>
      <c r="O36" s="44">
        <f>IF(K36=0,"",(M36-K36)/ABS(K36)+1)</f>
        <v>0.63829910188677141</v>
      </c>
      <c r="P36" s="43">
        <f>P24-P34</f>
        <v>668993.18577999808</v>
      </c>
      <c r="Q36" s="44">
        <f>+P36/$P$20</f>
        <v>6.7790240800587181E-2</v>
      </c>
      <c r="R36" s="45">
        <f>IF(P36=0,"",(M36-P36)/ABS(P36))</f>
        <v>-0.37152945507240798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1459</v>
      </c>
      <c r="D38" s="33">
        <f>+C38/$C$20</f>
        <v>1.4102572777104922E-3</v>
      </c>
      <c r="E38" s="32">
        <v>292.82794000000001</v>
      </c>
      <c r="F38" s="33">
        <f>+E38/$E$20</f>
        <v>3.0983385460339036E-4</v>
      </c>
      <c r="G38" s="33">
        <f>IF(C38=0,"",(E38-C38)/ABS(C38)+1)</f>
        <v>0.20070455106237162</v>
      </c>
      <c r="H38" s="32">
        <v>1481.04989</v>
      </c>
      <c r="I38" s="33">
        <f>+H38/$H$20</f>
        <v>1.5477553697636811E-3</v>
      </c>
      <c r="J38" s="34">
        <f>IF(H38=0,"",(E38-H38)/ABS(H38))</f>
        <v>-0.80228354090084031</v>
      </c>
      <c r="K38" s="32">
        <v>14590</v>
      </c>
      <c r="L38" s="33">
        <f>+K38/$K$20</f>
        <v>1.3981143567466539E-3</v>
      </c>
      <c r="M38" s="32">
        <v>6829.8352300000006</v>
      </c>
      <c r="N38" s="33">
        <f>+M38/$M$20</f>
        <v>6.9579604567367181E-4</v>
      </c>
      <c r="O38" s="33">
        <f>IF(K38=0,"",(M38-K38)/ABS(K38)+1)</f>
        <v>0.46811756202878685</v>
      </c>
      <c r="P38" s="32">
        <v>17094.587440000003</v>
      </c>
      <c r="Q38" s="33">
        <f>+P38/$P$20</f>
        <v>1.7322242192843291E-3</v>
      </c>
      <c r="R38" s="34">
        <f>IF(P38=0,"",(M38-P38)/ABS(P38))</f>
        <v>-0.60046796952708448</v>
      </c>
      <c r="S38" s="24"/>
    </row>
    <row r="39" spans="2:20" x14ac:dyDescent="0.2">
      <c r="B39" s="19" t="s">
        <v>57</v>
      </c>
      <c r="C39" s="32">
        <v>39484</v>
      </c>
      <c r="D39" s="33">
        <f>+C39/$C$20</f>
        <v>3.8164906342098064E-2</v>
      </c>
      <c r="E39" s="32">
        <v>42548.851609999998</v>
      </c>
      <c r="F39" s="33">
        <f>+E39/$E$20</f>
        <v>4.5019866284870119E-2</v>
      </c>
      <c r="G39" s="33">
        <f>IF(C39=0,"",(E39-C39)/ABS(C39)+1)</f>
        <v>1.0776226220747644</v>
      </c>
      <c r="H39" s="32">
        <v>29194.464909999999</v>
      </c>
      <c r="I39" s="33">
        <f>+H39/$H$20</f>
        <v>3.0509363753998767E-2</v>
      </c>
      <c r="J39" s="34">
        <f>IF(H39=0,"",(E39-H39)/ABS(H39))</f>
        <v>0.45742871949078651</v>
      </c>
      <c r="K39" s="32">
        <v>381397</v>
      </c>
      <c r="L39" s="33">
        <f>+K39/$K$20</f>
        <v>3.6548089192604771E-2</v>
      </c>
      <c r="M39" s="32">
        <v>379872.00306000002</v>
      </c>
      <c r="N39" s="33">
        <f>+M39/$M$20</f>
        <v>3.8699826377990812E-2</v>
      </c>
      <c r="O39" s="33">
        <f>IF(K39=0,"",(M39-K39)/ABS(K39)+1)</f>
        <v>0.99600154972377863</v>
      </c>
      <c r="P39" s="32">
        <v>314938.61422000005</v>
      </c>
      <c r="Q39" s="33">
        <f>+P39/$P$20</f>
        <v>3.1913276471545432E-2</v>
      </c>
      <c r="R39" s="34">
        <f>IF(P39=0,"",(M39-P39)/ABS(P39))</f>
        <v>0.20617792137308644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91562</v>
      </c>
      <c r="D41" s="33">
        <f>+C41/$C$20</f>
        <v>8.8503068445324254E-2</v>
      </c>
      <c r="E41" s="35">
        <f>E36+E38-E39</f>
        <v>-112675.82943000001</v>
      </c>
      <c r="F41" s="33">
        <f>+E41/$E$20</f>
        <v>-0.11921945205410055</v>
      </c>
      <c r="G41" s="33">
        <f>IF(C41=0,"",(E41-C41)/ABS(C41)+1)</f>
        <v>-1.2305959833773836</v>
      </c>
      <c r="H41" s="35">
        <f>H36+H38-H39</f>
        <v>-6632.3837799999601</v>
      </c>
      <c r="I41" s="33">
        <f>+H41/$H$20</f>
        <v>-6.9311018346778844E-3</v>
      </c>
      <c r="J41" s="34">
        <f>IF(H41=0,"",(E41-H41)/ABS(H41))</f>
        <v>-15.988737860703333</v>
      </c>
      <c r="K41" s="35">
        <f>K36+K38-K39</f>
        <v>291885</v>
      </c>
      <c r="L41" s="33">
        <f>+K41/$K$20</f>
        <v>2.7970432420767452E-2</v>
      </c>
      <c r="M41" s="35">
        <f>M36+M38-M39</f>
        <v>47400.344190001197</v>
      </c>
      <c r="N41" s="33">
        <f>+M41/$M$20</f>
        <v>4.828955742022174E-3</v>
      </c>
      <c r="O41" s="33">
        <f>IF(K41=0,"",(M41-K41)/ABS(K41)+1)</f>
        <v>0.16239390235880979</v>
      </c>
      <c r="P41" s="35">
        <f>P36+P38-P39</f>
        <v>371149.15899999806</v>
      </c>
      <c r="Q41" s="33">
        <f>+P41/$P$20</f>
        <v>3.7609188548326081E-2</v>
      </c>
      <c r="R41" s="34">
        <f>IF(P41=0,"",(M41-P41)/ABS(P41))</f>
        <v>-0.87228761526036103</v>
      </c>
    </row>
    <row r="42" spans="2:20" x14ac:dyDescent="0.2">
      <c r="B42" s="19" t="s">
        <v>44</v>
      </c>
      <c r="C42" s="32">
        <v>28234</v>
      </c>
      <c r="D42" s="33">
        <f>+C42/$C$20</f>
        <v>2.7290749814172746E-2</v>
      </c>
      <c r="E42" s="32">
        <v>-37768.870000000003</v>
      </c>
      <c r="F42" s="33">
        <f>+E42/$E$20</f>
        <v>-3.9962288353066144E-2</v>
      </c>
      <c r="G42" s="33">
        <f>IF(C42=0,"",(E42-C42)/ABS(C42)+1)</f>
        <v>-1.3377087908195793</v>
      </c>
      <c r="H42" s="32">
        <v>-1383.3420000000001</v>
      </c>
      <c r="I42" s="33">
        <f>+H42/$H$20</f>
        <v>-1.4456467828505293E-3</v>
      </c>
      <c r="J42" s="34">
        <f>IF(H42=0,"",(E42-H42)/ABS(H42))</f>
        <v>-26.302626537761451</v>
      </c>
      <c r="K42" s="32">
        <v>120695.66</v>
      </c>
      <c r="L42" s="33">
        <f>+K42/$K$20</f>
        <v>1.1565889996094095E-2</v>
      </c>
      <c r="M42" s="32">
        <v>27670.937000000002</v>
      </c>
      <c r="N42" s="33">
        <f>+M42/$M$20</f>
        <v>2.819003372162654E-3</v>
      </c>
      <c r="O42" s="33">
        <f>IF(K42=0,"",(M42-K42)/ABS(K42)+1)</f>
        <v>0.22926207122940467</v>
      </c>
      <c r="P42" s="32">
        <v>138994.81700000001</v>
      </c>
      <c r="Q42" s="33">
        <f>+P42/$P$20</f>
        <v>1.408458608360502E-2</v>
      </c>
      <c r="R42" s="34">
        <f>IF(P42=0,"",(M42-P42)/ABS(P42))</f>
        <v>-0.80092108758271174</v>
      </c>
    </row>
    <row r="43" spans="2:20" x14ac:dyDescent="0.2">
      <c r="B43" s="42" t="s">
        <v>59</v>
      </c>
      <c r="C43" s="43">
        <f>C41-C42</f>
        <v>63328</v>
      </c>
      <c r="D43" s="44">
        <f>+C43/$C$20</f>
        <v>6.1212318631151508E-2</v>
      </c>
      <c r="E43" s="43">
        <f>E41-E42</f>
        <v>-74906.959430000017</v>
      </c>
      <c r="F43" s="44">
        <f>+E43/$E$20</f>
        <v>-7.9257163701034417E-2</v>
      </c>
      <c r="G43" s="44">
        <f>IF(C43=0,"",(E43-C43)/ABS(C43)+1)</f>
        <v>-1.1828410723534617</v>
      </c>
      <c r="H43" s="43">
        <f>H41-H42</f>
        <v>-5249.0417799999595</v>
      </c>
      <c r="I43" s="44">
        <f>+H43/$H$20</f>
        <v>-5.4854550518273551E-3</v>
      </c>
      <c r="J43" s="45">
        <f>IF(H43=0,"",(E43-H43)/ABS(H43))</f>
        <v>-13.27059691454782</v>
      </c>
      <c r="K43" s="43">
        <f>+K41-K42</f>
        <v>171189.34</v>
      </c>
      <c r="L43" s="44">
        <f>+K43/$K$20</f>
        <v>1.6404542424673353E-2</v>
      </c>
      <c r="M43" s="43">
        <f>+M41-M42</f>
        <v>19729.407190001195</v>
      </c>
      <c r="N43" s="44">
        <f>+M43/$M$20</f>
        <v>2.0099523698595199E-3</v>
      </c>
      <c r="O43" s="44">
        <f>IF(K43=0,"",(M43-K43)/ABS(K43)+1)</f>
        <v>0.11524904056526641</v>
      </c>
      <c r="P43" s="43">
        <f>+P41-P42</f>
        <v>232154.34199999805</v>
      </c>
      <c r="Q43" s="44">
        <f>+P43/$P$20</f>
        <v>2.3524602464721062E-2</v>
      </c>
      <c r="R43" s="45">
        <f>IF(P43=0,"",(M43-P43)/ABS(P43))</f>
        <v>-0.91501598884589741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177961</v>
      </c>
      <c r="D45" s="33">
        <f>+C45/$C$20</f>
        <v>0.17201562398809933</v>
      </c>
      <c r="E45" s="32">
        <v>-20294.663740000011</v>
      </c>
      <c r="F45" s="33">
        <f>+E45/$E$20</f>
        <v>-2.1473271623069373E-2</v>
      </c>
      <c r="G45" s="33">
        <f>IF(C45=0,"",(E45-C45)/ABS(C45)+1)</f>
        <v>-0.11403995111288445</v>
      </c>
      <c r="H45" s="32">
        <v>68680.850890000031</v>
      </c>
      <c r="I45" s="33">
        <f>+H45/$H$20</f>
        <v>7.1774189703316643E-2</v>
      </c>
      <c r="J45" s="34">
        <f>IF(H45=0,"",(E45-H45)/ABS(H45))</f>
        <v>-1.2954923166648613</v>
      </c>
      <c r="K45" s="32">
        <v>1151079</v>
      </c>
      <c r="L45" s="33">
        <f>+K45/$K$20</f>
        <v>0.11030432321107483</v>
      </c>
      <c r="M45" s="32">
        <v>906147.25725000119</v>
      </c>
      <c r="N45" s="33">
        <f>+M45/$M$20</f>
        <v>9.2314625047344556E-2</v>
      </c>
      <c r="O45" s="33">
        <f>IF(K45=0,"",(M45-K45)/ABS(K45)+1)</f>
        <v>0.78721552321778188</v>
      </c>
      <c r="P45" s="32">
        <v>1147060.2341699982</v>
      </c>
      <c r="Q45" s="33">
        <f>+P45/$P$20</f>
        <v>0.11623360467640655</v>
      </c>
      <c r="R45" s="34">
        <f>IF(P45=0,"",(M45-P45)/ABS(P45))</f>
        <v>-0.2100264395394365</v>
      </c>
      <c r="T45" s="40"/>
    </row>
    <row r="46" spans="2:20" x14ac:dyDescent="0.2">
      <c r="B46" s="19" t="s">
        <v>35</v>
      </c>
      <c r="C46" s="32">
        <v>408082</v>
      </c>
      <c r="D46" s="34">
        <f t="shared" ref="D46" si="11">+C46/$C$20</f>
        <v>0.39444867059811728</v>
      </c>
      <c r="E46" s="32">
        <v>455157.46899999998</v>
      </c>
      <c r="F46" s="34">
        <f>+E46/$E$20</f>
        <v>0.4815906332974686</v>
      </c>
      <c r="G46" s="34">
        <f>IF(C46=0,"",(E46-C46)/ABS(C46)+1)</f>
        <v>1.11535786680128</v>
      </c>
      <c r="H46" s="32">
        <v>434838.73</v>
      </c>
      <c r="I46" s="34">
        <f t="shared" ref="I46" si="12">+H46/$H$20</f>
        <v>0.45442357065954037</v>
      </c>
      <c r="J46" s="34">
        <f>IF(H46=0,"",(E46-H46)/ABS(H46))</f>
        <v>4.6727068216761654E-2</v>
      </c>
      <c r="K46" s="32">
        <v>4482828</v>
      </c>
      <c r="L46" s="34">
        <f t="shared" ref="L46" si="13">+K46/$K$20</f>
        <v>0.42957547536846397</v>
      </c>
      <c r="M46" s="32">
        <v>4576216.2589999996</v>
      </c>
      <c r="N46" s="34">
        <f>+M46/$M$20</f>
        <v>0.4662064412877151</v>
      </c>
      <c r="O46" s="34">
        <f>IF(K46=0,"",(M46-K46)/ABS(K46)+1)</f>
        <v>1.0208324430471121</v>
      </c>
      <c r="P46" s="32">
        <v>4280085.33</v>
      </c>
      <c r="Q46" s="34">
        <f t="shared" ref="Q46" si="14">+P46/$P$20</f>
        <v>0.433708476162532</v>
      </c>
      <c r="R46" s="34">
        <f>IF(P46=0,"",(M46-P46)/ABS(P46))</f>
        <v>6.9188089995392582E-2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E0A85-01E1-40E0-B1DF-DEDD13B8B9C6}">
  <sheetPr>
    <tabColor theme="2" tint="-0.499984740745262"/>
  </sheetPr>
  <dimension ref="A1:AI56"/>
  <sheetViews>
    <sheetView showGridLines="0" topLeftCell="F1" zoomScale="95" zoomScaleNormal="95" workbookViewId="0">
      <selection activeCell="Q38" sqref="Q38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2" width="9.7109375" style="2" bestFit="1" customWidth="1"/>
    <col min="23" max="23" width="14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OCTUBRE de 2025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OCTUBRE de 2025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2025</v>
      </c>
      <c r="F7" s="61" t="str">
        <f>"Real "&amp;Paramet!F3</f>
        <v>Real 2025</v>
      </c>
      <c r="G7" s="62" t="s">
        <v>24</v>
      </c>
      <c r="I7" s="61" t="str">
        <f>"Real "&amp;Paramet!F4</f>
        <v>Real 2024</v>
      </c>
      <c r="J7" s="62" t="s">
        <v>25</v>
      </c>
      <c r="K7" s="62"/>
      <c r="L7" s="61" t="str">
        <f>+D7</f>
        <v>Ppto 2025</v>
      </c>
      <c r="M7" s="62"/>
      <c r="N7" s="61" t="str">
        <f>+F7</f>
        <v>Real 2025</v>
      </c>
      <c r="O7" s="62" t="s">
        <v>24</v>
      </c>
      <c r="P7" s="62" t="str">
        <f>+I7</f>
        <v>Real 2024</v>
      </c>
      <c r="Q7" s="62"/>
      <c r="R7" s="62" t="s">
        <v>25</v>
      </c>
      <c r="S7" s="63"/>
      <c r="U7" s="61" t="str">
        <f>+D7</f>
        <v>Ppto 2025</v>
      </c>
      <c r="V7" s="61" t="str">
        <f>+N7</f>
        <v>Real 2025</v>
      </c>
      <c r="W7" s="61" t="str">
        <f>+I7</f>
        <v>Real 2024</v>
      </c>
      <c r="X7" s="61" t="str">
        <f>+U7</f>
        <v>Ppto 2025</v>
      </c>
      <c r="Y7" s="61" t="str">
        <f>+V7</f>
        <v>Real 2025</v>
      </c>
      <c r="Z7" s="61" t="s">
        <v>26</v>
      </c>
      <c r="AA7" s="61" t="s">
        <v>24</v>
      </c>
      <c r="AB7" s="61" t="str">
        <f>+W7</f>
        <v>Real 2024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374570</v>
      </c>
      <c r="D10" s="34">
        <f t="shared" ref="D10:D15" si="0">+C10/$C$20</f>
        <v>0.36205624983688767</v>
      </c>
      <c r="E10" s="32">
        <v>377453.36599999998</v>
      </c>
      <c r="F10" s="34">
        <f t="shared" ref="F10:F20" si="1">+E10/$E$20</f>
        <v>0.40425528957090628</v>
      </c>
      <c r="G10" s="34">
        <f t="shared" ref="G10:G20" si="2">IF(C10=0,"",(E10-C10)/ABS(C10)+1)</f>
        <v>1.0076978028138932</v>
      </c>
      <c r="H10" s="32">
        <v>401628.603</v>
      </c>
      <c r="I10" s="34">
        <f t="shared" ref="I10:I18" si="3">+H10/$H$20</f>
        <v>0.42794985983780864</v>
      </c>
      <c r="J10" s="34">
        <f t="shared" ref="J10:J20" si="4">IF(H10=0,"",(E10-H10)/ABS(H10))</f>
        <v>-6.0193016183162688E-2</v>
      </c>
      <c r="K10" s="32">
        <v>3815903</v>
      </c>
      <c r="L10" s="34">
        <f t="shared" ref="L10:L46" si="5">+K10/$K$20</f>
        <v>0.36584814691669226</v>
      </c>
      <c r="M10" s="32">
        <v>3895003.7969999998</v>
      </c>
      <c r="N10" s="34">
        <f t="shared" ref="N10:N20" si="6">+M10/$M$20</f>
        <v>0.40252337740516642</v>
      </c>
      <c r="O10" s="34">
        <f t="shared" ref="O10:O19" si="7">IF(K10=0,"",(M10-K10)/ABS(K10)+1)</f>
        <v>1.0207292473105316</v>
      </c>
      <c r="P10" s="32">
        <v>3800513.55</v>
      </c>
      <c r="Q10" s="34">
        <f t="shared" ref="Q10:Q46" si="8">+P10/$P$20</f>
        <v>0.39282546922302353</v>
      </c>
      <c r="R10" s="34">
        <f t="shared" ref="R10:R18" si="9">IF(P10=0,"",(M10-P10)/ABS(P10))</f>
        <v>2.4862494438416087E-2</v>
      </c>
      <c r="S10" s="67"/>
      <c r="T10" s="3" t="s">
        <v>31</v>
      </c>
      <c r="U10" s="32">
        <f>+V10</f>
        <v>-51569</v>
      </c>
      <c r="V10" s="32">
        <v>-51569</v>
      </c>
      <c r="W10" s="32">
        <v>144197</v>
      </c>
      <c r="X10" s="32">
        <v>125133</v>
      </c>
      <c r="Y10" s="32">
        <v>125133</v>
      </c>
      <c r="Z10" s="63">
        <f>+Y10-X10</f>
        <v>0</v>
      </c>
      <c r="AA10" s="68">
        <f>IF(X10=0,"",(Y10-X10)/ABS(X10)+1)</f>
        <v>1</v>
      </c>
      <c r="AB10" s="32">
        <v>35896</v>
      </c>
      <c r="AC10" s="34">
        <f>IF(W10=0,"",(Y10-AB10)/ABS(AB10))</f>
        <v>2.4859872966347227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60727</v>
      </c>
      <c r="D11" s="34">
        <f t="shared" si="0"/>
        <v>5.8698213641895175E-2</v>
      </c>
      <c r="E11" s="32">
        <v>52869.222999999998</v>
      </c>
      <c r="F11" s="34">
        <f t="shared" si="1"/>
        <v>5.6623320861453968E-2</v>
      </c>
      <c r="G11" s="34">
        <f t="shared" si="2"/>
        <v>0.8706048874470993</v>
      </c>
      <c r="H11" s="32">
        <v>26212.837</v>
      </c>
      <c r="I11" s="34">
        <f t="shared" si="3"/>
        <v>2.7930729625104227E-2</v>
      </c>
      <c r="J11" s="34">
        <f t="shared" si="4"/>
        <v>1.0169210604712493</v>
      </c>
      <c r="K11" s="32">
        <v>652809</v>
      </c>
      <c r="L11" s="34">
        <f t="shared" si="5"/>
        <v>6.2587797158507166E-2</v>
      </c>
      <c r="M11" s="32">
        <v>415745.53200000001</v>
      </c>
      <c r="N11" s="34">
        <f t="shared" si="6"/>
        <v>4.2964603991051696E-2</v>
      </c>
      <c r="O11" s="34">
        <f t="shared" si="7"/>
        <v>0.63685631172364354</v>
      </c>
      <c r="P11" s="32">
        <v>499695.98700000002</v>
      </c>
      <c r="Q11" s="34">
        <f t="shared" si="8"/>
        <v>5.1649154247098233E-2</v>
      </c>
      <c r="R11" s="34">
        <f t="shared" si="9"/>
        <v>-0.16800306022869865</v>
      </c>
      <c r="S11" s="67"/>
      <c r="T11" s="3" t="s">
        <v>32</v>
      </c>
      <c r="U11" s="32">
        <v>1268565.48499</v>
      </c>
      <c r="V11" s="32">
        <v>1268565.48499</v>
      </c>
      <c r="W11" s="32">
        <v>1265070.1290599999</v>
      </c>
      <c r="X11" s="32">
        <v>11598483.894549999</v>
      </c>
      <c r="Y11" s="32">
        <v>11598483.894549999</v>
      </c>
      <c r="Z11" s="63">
        <f>+Y11-X11</f>
        <v>0</v>
      </c>
      <c r="AA11" s="68">
        <f>IF(X11=0,"",(Y11-X11)/ABS(X11)+1)</f>
        <v>1</v>
      </c>
      <c r="AB11" s="32">
        <v>11318962.775309999</v>
      </c>
      <c r="AC11" s="34">
        <f>IF(AB11=0,"",(Y11-AB11)/ABS(AB11))</f>
        <v>2.4694941116841462E-2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59330</v>
      </c>
      <c r="D12" s="34">
        <f t="shared" si="0"/>
        <v>5.7347885049049696E-2</v>
      </c>
      <c r="E12" s="32">
        <v>41400.300999999999</v>
      </c>
      <c r="F12" s="34">
        <f t="shared" si="1"/>
        <v>4.4340022309080906E-2</v>
      </c>
      <c r="G12" s="34">
        <f t="shared" si="2"/>
        <v>0.69779708410584862</v>
      </c>
      <c r="H12" s="32">
        <v>46437.029000000002</v>
      </c>
      <c r="I12" s="34">
        <f t="shared" si="3"/>
        <v>4.9480340551925919E-2</v>
      </c>
      <c r="J12" s="34">
        <f t="shared" si="4"/>
        <v>-0.10846361424198785</v>
      </c>
      <c r="K12" s="32">
        <v>690730</v>
      </c>
      <c r="L12" s="34">
        <f t="shared" si="5"/>
        <v>6.6223457598310762E-2</v>
      </c>
      <c r="M12" s="32">
        <v>569158.44999999995</v>
      </c>
      <c r="N12" s="34">
        <f t="shared" si="6"/>
        <v>5.8818833950597435E-2</v>
      </c>
      <c r="O12" s="34">
        <f t="shared" si="7"/>
        <v>0.8239955554268672</v>
      </c>
      <c r="P12" s="32">
        <v>643078.26899999997</v>
      </c>
      <c r="Q12" s="34">
        <f t="shared" si="8"/>
        <v>6.6469312487270241E-2</v>
      </c>
      <c r="R12" s="34">
        <f t="shared" si="9"/>
        <v>-0.11494684638457285</v>
      </c>
      <c r="S12" s="67"/>
      <c r="T12" s="2" t="s">
        <v>70</v>
      </c>
      <c r="U12" s="55">
        <f>+V12</f>
        <v>654251</v>
      </c>
      <c r="V12" s="32">
        <v>654251</v>
      </c>
      <c r="W12" s="32"/>
      <c r="X12" s="32">
        <f>+Y12</f>
        <v>654251</v>
      </c>
      <c r="Y12" s="32">
        <f>+V12</f>
        <v>654251</v>
      </c>
      <c r="AD12" s="53"/>
      <c r="AE12" s="53"/>
      <c r="AF12" s="53"/>
      <c r="AG12" s="53"/>
      <c r="AH12" s="53"/>
      <c r="AI12" s="55"/>
    </row>
    <row r="13" spans="1:35" x14ac:dyDescent="0.2">
      <c r="A13" s="38" t="s">
        <v>71</v>
      </c>
      <c r="B13" s="3" t="s">
        <v>72</v>
      </c>
      <c r="C13" s="32">
        <v>104339</v>
      </c>
      <c r="D13" s="34">
        <f t="shared" si="0"/>
        <v>0.1008532104859733</v>
      </c>
      <c r="E13" s="32">
        <v>98180.937999999995</v>
      </c>
      <c r="F13" s="34">
        <f t="shared" si="1"/>
        <v>0.10515249590205852</v>
      </c>
      <c r="G13" s="34">
        <f t="shared" si="2"/>
        <v>0.94098024707923211</v>
      </c>
      <c r="H13" s="32">
        <v>73398.841</v>
      </c>
      <c r="I13" s="34">
        <f t="shared" si="3"/>
        <v>7.8209130235197918E-2</v>
      </c>
      <c r="J13" s="34">
        <f t="shared" si="4"/>
        <v>0.33763608065691386</v>
      </c>
      <c r="K13" s="32">
        <v>1116072</v>
      </c>
      <c r="L13" s="34">
        <f t="shared" si="5"/>
        <v>0.10700294871898121</v>
      </c>
      <c r="M13" s="32">
        <v>889551.76300000004</v>
      </c>
      <c r="N13" s="34">
        <f t="shared" si="6"/>
        <v>9.1929404611946305E-2</v>
      </c>
      <c r="O13" s="34">
        <f t="shared" si="7"/>
        <v>0.79703797156455858</v>
      </c>
      <c r="P13" s="32">
        <v>951535.54217999999</v>
      </c>
      <c r="Q13" s="34">
        <f t="shared" si="8"/>
        <v>9.8351812438411804E-2</v>
      </c>
      <c r="R13" s="34">
        <f t="shared" si="9"/>
        <v>-6.5140792363880623E-2</v>
      </c>
      <c r="S13" s="67"/>
      <c r="T13" s="3" t="s">
        <v>33</v>
      </c>
      <c r="U13" s="32">
        <v>588823.47</v>
      </c>
      <c r="V13" s="32">
        <v>588823.47</v>
      </c>
      <c r="W13" s="32">
        <v>174065.454</v>
      </c>
      <c r="X13" s="32">
        <v>2483152.8059999999</v>
      </c>
      <c r="Y13" s="32">
        <v>2483152.8059999999</v>
      </c>
      <c r="Z13" s="63">
        <f>+X13-Y13</f>
        <v>0</v>
      </c>
      <c r="AA13" s="68">
        <f>IF(X13=0,"",(Y13-X13)/ABS(X13)+1)</f>
        <v>1</v>
      </c>
      <c r="AB13" s="32">
        <v>1799652.067</v>
      </c>
      <c r="AC13" s="34">
        <f>IF(AB13=0,"",(Y13-AB13)/ABS(AB13))</f>
        <v>0.37979604587646099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73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9545.1370000000006</v>
      </c>
      <c r="V14" s="32">
        <v>9545.1370000000006</v>
      </c>
      <c r="W14" s="32">
        <v>11116.694</v>
      </c>
      <c r="X14" s="32">
        <v>101762.13099999999</v>
      </c>
      <c r="Y14" s="32">
        <v>101762.13099999999</v>
      </c>
      <c r="Z14" s="63">
        <f>+X14-Y14</f>
        <v>0</v>
      </c>
      <c r="AA14" s="68">
        <f>IF(X14=0,"",(Y14-X14)/ABS(X14)+1)</f>
        <v>1</v>
      </c>
      <c r="AB14" s="32">
        <v>123040.245</v>
      </c>
      <c r="AC14" s="34">
        <f>IF(AB14=0,"",(Y14-AB14)/ABS(AB14))</f>
        <v>-0.1729362128627101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74</v>
      </c>
      <c r="B15" s="3" t="s">
        <v>75</v>
      </c>
      <c r="C15" s="32">
        <v>145719</v>
      </c>
      <c r="D15" s="34">
        <f t="shared" si="0"/>
        <v>0.14085077467491106</v>
      </c>
      <c r="E15" s="32">
        <v>121303.557</v>
      </c>
      <c r="F15" s="34">
        <f t="shared" si="1"/>
        <v>0.12991698837046783</v>
      </c>
      <c r="G15" s="34">
        <f t="shared" si="2"/>
        <v>0.83244845902044351</v>
      </c>
      <c r="H15" s="32">
        <v>121522.315</v>
      </c>
      <c r="I15" s="34">
        <f t="shared" si="3"/>
        <v>0.12948643917030986</v>
      </c>
      <c r="J15" s="34">
        <f t="shared" si="4"/>
        <v>-1.8001467467106895E-3</v>
      </c>
      <c r="K15" s="32">
        <v>1352176</v>
      </c>
      <c r="L15" s="34">
        <f t="shared" si="5"/>
        <v>0.12963932361625158</v>
      </c>
      <c r="M15" s="32">
        <v>1174671.6359999999</v>
      </c>
      <c r="N15" s="34">
        <f t="shared" si="6"/>
        <v>0.12139469405112169</v>
      </c>
      <c r="O15" s="34">
        <f t="shared" si="7"/>
        <v>0.86872687874951182</v>
      </c>
      <c r="P15" s="32">
        <v>1315580.608</v>
      </c>
      <c r="Q15" s="34">
        <f t="shared" si="8"/>
        <v>0.13597993082758791</v>
      </c>
      <c r="R15" s="34">
        <f t="shared" si="9"/>
        <v>-0.10710782079268842</v>
      </c>
      <c r="S15" s="67"/>
      <c r="T15" s="3" t="s">
        <v>35</v>
      </c>
      <c r="U15" s="32">
        <v>436069.52299999999</v>
      </c>
      <c r="V15" s="32">
        <v>436069.52299999999</v>
      </c>
      <c r="W15" s="32">
        <v>422588.35700000002</v>
      </c>
      <c r="X15" s="32">
        <v>4715383.0080000004</v>
      </c>
      <c r="Y15" s="32">
        <v>4715383.0080000004</v>
      </c>
      <c r="Z15" s="63">
        <f>+X15-Y15</f>
        <v>0</v>
      </c>
      <c r="AA15" s="68">
        <f>IF(X15=0,"",(Y15-X15)/ABS(X15)+1)</f>
        <v>1</v>
      </c>
      <c r="AB15" s="32">
        <v>4459430.8490000004</v>
      </c>
      <c r="AC15" s="34">
        <f>IF(AB15=0,"",(Y15-AB15)/ABS(AB15))</f>
        <v>5.7395700856622919E-2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76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212230.73530999999</v>
      </c>
      <c r="V16" s="32">
        <v>212230.73530999999</v>
      </c>
      <c r="W16" s="32">
        <v>281413.04038000002</v>
      </c>
      <c r="X16" s="32">
        <v>2258818.8152700001</v>
      </c>
      <c r="Y16" s="32">
        <v>2258818.8152700001</v>
      </c>
      <c r="Z16" s="63">
        <f>+X16-Y16</f>
        <v>0</v>
      </c>
      <c r="AA16" s="68">
        <f>IF(X16=0,"",(Y16-X16)/ABS(X16)+1)</f>
        <v>1</v>
      </c>
      <c r="AB16" s="32">
        <v>2490013.9890600001</v>
      </c>
      <c r="AC16" s="34">
        <f>IF(AB16=0,"",(Y16-AB16)/ABS(AB16))</f>
        <v>-9.2848945751215606E-2</v>
      </c>
      <c r="AD16" s="53"/>
      <c r="AE16" s="53"/>
      <c r="AF16" s="53"/>
      <c r="AG16" s="53"/>
      <c r="AH16" s="53"/>
      <c r="AI16" s="55"/>
    </row>
    <row r="17" spans="1:35" x14ac:dyDescent="0.2">
      <c r="A17" s="38" t="s">
        <v>77</v>
      </c>
      <c r="B17" s="3" t="s">
        <v>78</v>
      </c>
      <c r="C17" s="32">
        <v>24424</v>
      </c>
      <c r="D17" s="34">
        <f>+C17/$C$20</f>
        <v>2.3608035470048708E-2</v>
      </c>
      <c r="E17" s="32">
        <v>20963.865000000002</v>
      </c>
      <c r="F17" s="34">
        <f t="shared" si="1"/>
        <v>2.2452451294606785E-2</v>
      </c>
      <c r="G17" s="34">
        <f t="shared" si="2"/>
        <v>0.85833053553881433</v>
      </c>
      <c r="H17" s="32">
        <v>16199.207</v>
      </c>
      <c r="I17" s="34">
        <f t="shared" si="3"/>
        <v>1.7260843260044526E-2</v>
      </c>
      <c r="J17" s="34">
        <f t="shared" si="4"/>
        <v>0.29412908915850022</v>
      </c>
      <c r="K17" s="32">
        <v>177282</v>
      </c>
      <c r="L17" s="34">
        <f t="shared" si="5"/>
        <v>1.6996839589917521E-2</v>
      </c>
      <c r="M17" s="32">
        <v>183812.26800000001</v>
      </c>
      <c r="N17" s="34">
        <f t="shared" si="6"/>
        <v>1.8995805596094931E-2</v>
      </c>
      <c r="O17" s="34">
        <f t="shared" si="7"/>
        <v>1.0368354824516872</v>
      </c>
      <c r="P17" s="32">
        <v>165570.72099999999</v>
      </c>
      <c r="Q17" s="34">
        <f t="shared" si="8"/>
        <v>1.7113580917615546E-2</v>
      </c>
      <c r="R17" s="34">
        <f t="shared" si="9"/>
        <v>0.11017374865451013</v>
      </c>
      <c r="S17" s="67"/>
      <c r="T17" s="3" t="s">
        <v>37</v>
      </c>
      <c r="U17" s="32">
        <f t="shared" ref="U17:X17" si="10">SUM(U13:U16)</f>
        <v>1246668.8653099998</v>
      </c>
      <c r="V17" s="32">
        <f>SUM(V13:V16)</f>
        <v>1246668.8653099998</v>
      </c>
      <c r="W17" s="32">
        <v>889183.54538000003</v>
      </c>
      <c r="X17" s="32">
        <f t="shared" si="10"/>
        <v>9559116.7602699995</v>
      </c>
      <c r="Y17" s="32">
        <f>SUM(Y13:Y16)</f>
        <v>9559116.7602699995</v>
      </c>
      <c r="Z17" s="63">
        <f>+Y17-X17</f>
        <v>0</v>
      </c>
      <c r="AA17" s="68">
        <f>IF(X17=0,"",(Y17-X17)/ABS(X17)+1)</f>
        <v>1</v>
      </c>
      <c r="AB17" s="32">
        <v>8872137.1500599999</v>
      </c>
      <c r="AC17" s="34">
        <f>IF(AB17=0,"",(Y17-AB17)/ABS(AB17))</f>
        <v>7.7431130582258159E-2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79</v>
      </c>
      <c r="B18" s="3" t="s">
        <v>80</v>
      </c>
      <c r="C18" s="32">
        <v>235125</v>
      </c>
      <c r="D18" s="41">
        <f t="shared" ref="D18:D46" si="11">+C18/$C$20</f>
        <v>0.22726987143363914</v>
      </c>
      <c r="E18" s="32">
        <v>193517.04699999999</v>
      </c>
      <c r="F18" s="34">
        <f t="shared" si="1"/>
        <v>0.20725815933481881</v>
      </c>
      <c r="G18" s="34">
        <f t="shared" si="2"/>
        <v>0.82303900903774585</v>
      </c>
      <c r="H18" s="32">
        <v>197585.54699999999</v>
      </c>
      <c r="I18" s="34">
        <f t="shared" si="3"/>
        <v>0.21053457476141646</v>
      </c>
      <c r="J18" s="41">
        <f t="shared" si="4"/>
        <v>-2.0591080986303113E-2</v>
      </c>
      <c r="K18" s="32">
        <v>2176742</v>
      </c>
      <c r="L18" s="34">
        <f t="shared" si="5"/>
        <v>0.20869425323854787</v>
      </c>
      <c r="M18" s="32">
        <v>2101958.9840000002</v>
      </c>
      <c r="N18" s="34">
        <f t="shared" si="6"/>
        <v>0.21722382660024203</v>
      </c>
      <c r="O18" s="34">
        <f t="shared" si="7"/>
        <v>0.96564452011308655</v>
      </c>
      <c r="P18" s="32">
        <v>1739281.7479999999</v>
      </c>
      <c r="Q18" s="34">
        <f t="shared" si="8"/>
        <v>0.17977416993267675</v>
      </c>
      <c r="R18" s="41">
        <f t="shared" si="9"/>
        <v>0.20852126828620079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81</v>
      </c>
      <c r="B19" s="3" t="s">
        <v>82</v>
      </c>
      <c r="C19" s="32">
        <v>30329</v>
      </c>
      <c r="D19" s="34">
        <f t="shared" si="11"/>
        <v>2.9315759407595284E-2</v>
      </c>
      <c r="E19" s="32">
        <v>28012.203000000001</v>
      </c>
      <c r="F19" s="34">
        <f t="shared" si="1"/>
        <v>3.0001272356606858E-2</v>
      </c>
      <c r="G19" s="34">
        <f t="shared" si="2"/>
        <v>0.92361116423225298</v>
      </c>
      <c r="H19" s="32">
        <v>55510.152000000002</v>
      </c>
      <c r="I19" s="34"/>
      <c r="J19" s="34">
        <f t="shared" si="4"/>
        <v>-0.49536792837461513</v>
      </c>
      <c r="K19" s="32">
        <v>448578</v>
      </c>
      <c r="L19" s="34">
        <f t="shared" si="5"/>
        <v>4.3007233162791605E-2</v>
      </c>
      <c r="M19" s="32">
        <v>446563.62300000002</v>
      </c>
      <c r="N19" s="34">
        <f t="shared" si="6"/>
        <v>4.614945379377957E-2</v>
      </c>
      <c r="O19" s="34">
        <f t="shared" si="7"/>
        <v>0.99550941642256197</v>
      </c>
      <c r="P19" s="32">
        <v>559558.08600000001</v>
      </c>
      <c r="Q19" s="34">
        <f t="shared" si="8"/>
        <v>5.7836569926316132E-2</v>
      </c>
      <c r="R19" s="34"/>
      <c r="S19" s="67"/>
      <c r="T19" s="3" t="s">
        <v>38</v>
      </c>
      <c r="U19" s="32">
        <f>U11-U17</f>
        <v>21896.619680000236</v>
      </c>
      <c r="V19" s="32">
        <f>V11-V17</f>
        <v>21896.619680000236</v>
      </c>
      <c r="W19" s="32">
        <v>375886.58367999992</v>
      </c>
      <c r="X19" s="32">
        <f>X11-X17</f>
        <v>2039367.1342799999</v>
      </c>
      <c r="Y19" s="32">
        <f>Y11-Y17</f>
        <v>2039367.1342799999</v>
      </c>
      <c r="Z19" s="32">
        <f>+Y19-X19</f>
        <v>0</v>
      </c>
      <c r="AA19" s="68">
        <f>IF(X19=0,"",(Y19-X19)/ABS(X19)+1)</f>
        <v>1</v>
      </c>
      <c r="AB19" s="32">
        <v>2446825.6252499986</v>
      </c>
      <c r="AC19" s="34">
        <f>IF(AB19=0,"",(Y19-AB19)/ABS(AB19))</f>
        <v>-0.16652534891135434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1034563</v>
      </c>
      <c r="D20" s="45">
        <f t="shared" si="11"/>
        <v>1</v>
      </c>
      <c r="E20" s="69">
        <f>SUM(E10:E19)</f>
        <v>933700.5</v>
      </c>
      <c r="F20" s="45">
        <f t="shared" si="1"/>
        <v>1</v>
      </c>
      <c r="G20" s="45">
        <f t="shared" si="2"/>
        <v>0.90250714552907851</v>
      </c>
      <c r="H20" s="69">
        <f>SUM(H10:H19)</f>
        <v>938494.53100000008</v>
      </c>
      <c r="I20" s="45">
        <f>+H22/$H$22</f>
        <v>1</v>
      </c>
      <c r="J20" s="45">
        <f t="shared" si="4"/>
        <v>-5.1082141042333631E-3</v>
      </c>
      <c r="K20" s="69">
        <f>SUM(K10:K19)</f>
        <v>10430292</v>
      </c>
      <c r="L20" s="45">
        <f t="shared" si="5"/>
        <v>1</v>
      </c>
      <c r="M20" s="69">
        <f>SUM(M10:M19)</f>
        <v>9676466.0529999994</v>
      </c>
      <c r="N20" s="45">
        <f t="shared" si="6"/>
        <v>1</v>
      </c>
      <c r="O20" s="45">
        <f>IF(K20=0,"",(M20-K20)/ABS(K20)+1)</f>
        <v>0.92772724416535979</v>
      </c>
      <c r="P20" s="69">
        <f>SUM(P10:P19)</f>
        <v>9674814.5111799985</v>
      </c>
      <c r="Q20" s="45">
        <f t="shared" si="8"/>
        <v>1</v>
      </c>
      <c r="R20" s="45">
        <f>IF(P20=0,"",(M20-P20)/ABS(P20))</f>
        <v>1.7070526965580295E-4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+U10+U19+U12</f>
        <v>624578.61968000024</v>
      </c>
      <c r="V21" s="32">
        <f>+V10+V19+V12</f>
        <v>624578.61968000024</v>
      </c>
      <c r="W21" s="32">
        <v>520083.58367999992</v>
      </c>
      <c r="X21" s="32">
        <f>+X10+X19+X12</f>
        <v>2818751.1342799999</v>
      </c>
      <c r="Y21" s="32">
        <f>+Y10+Y19+Y12</f>
        <v>2818751.1342799999</v>
      </c>
      <c r="Z21" s="63">
        <f>+Y21-X21</f>
        <v>0</v>
      </c>
      <c r="AA21" s="68">
        <f>IF(X21=0,"",(Y21-X21)/ABS(X21)+1)</f>
        <v>1</v>
      </c>
      <c r="AB21" s="32">
        <v>2482721.6252499986</v>
      </c>
      <c r="AC21" s="34">
        <f>IF(AB21=0,"",(Y21-AB21)/ABS(AB21))</f>
        <v>0.13534723571603186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147765</v>
      </c>
      <c r="D22" s="34">
        <f t="shared" si="11"/>
        <v>0.14282842127545639</v>
      </c>
      <c r="E22" s="32">
        <v>113481.7078</v>
      </c>
      <c r="F22" s="34">
        <f>+E22/$E$20</f>
        <v>0.12153973120931177</v>
      </c>
      <c r="G22" s="34">
        <f>IF(C22=0,"",(E22-C22)/ABS(C22)+1)</f>
        <v>0.76798773593205427</v>
      </c>
      <c r="H22" s="32">
        <v>118051.40728</v>
      </c>
      <c r="I22" s="34">
        <f t="shared" ref="I22:I46" si="12">+H22/$H$20</f>
        <v>0.12578806096420395</v>
      </c>
      <c r="J22" s="34">
        <f>IF(H22=0,"",(E22-H22)/ABS(H22))</f>
        <v>-3.8709402838048031E-2</v>
      </c>
      <c r="K22" s="32">
        <v>1417076</v>
      </c>
      <c r="L22" s="34">
        <f t="shared" si="5"/>
        <v>0.13586158469964216</v>
      </c>
      <c r="M22" s="32">
        <v>1288082.54697</v>
      </c>
      <c r="N22" s="34">
        <f>+M22/$M$20</f>
        <v>0.1331149760578817</v>
      </c>
      <c r="O22" s="34">
        <f>IF(K22=0,"",(M22-K22)/ABS(K22)+1)</f>
        <v>0.90897209956981839</v>
      </c>
      <c r="P22" s="32">
        <v>1169060.77</v>
      </c>
      <c r="Q22" s="34">
        <f t="shared" si="8"/>
        <v>0.12083547117612019</v>
      </c>
      <c r="R22" s="34">
        <f>IF(P22=0,"",(M22-P22)/ABS(P22))</f>
        <v>0.10180974336346947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2444.5610000000001</v>
      </c>
      <c r="V23" s="32">
        <v>2444.5610000000001</v>
      </c>
      <c r="W23" s="32">
        <v>135205.416</v>
      </c>
      <c r="X23" s="32">
        <v>86514.364870000005</v>
      </c>
      <c r="Y23" s="32">
        <v>86514.364870000005</v>
      </c>
      <c r="Z23" s="63">
        <f>+Y23-X23</f>
        <v>0</v>
      </c>
      <c r="AA23" s="68">
        <f>IF(X23=0,"",(Y23-X23)/ABS(X23)+1)</f>
        <v>1</v>
      </c>
      <c r="AB23" s="32">
        <v>431614.94614999997</v>
      </c>
      <c r="AC23" s="34">
        <f>IF(AB23=0,"",(Y23-AB23)/ABS(AB23))</f>
        <v>-0.79955660562335229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886798</v>
      </c>
      <c r="D24" s="34">
        <f t="shared" si="11"/>
        <v>0.85717157872454364</v>
      </c>
      <c r="E24" s="32">
        <f>+E20-E22</f>
        <v>820218.79220000003</v>
      </c>
      <c r="F24" s="34">
        <f>+E24/$E$20</f>
        <v>0.87846026879068828</v>
      </c>
      <c r="G24" s="34">
        <f>IF(C24=0,"",(E24-C24)/ABS(C24)+1)</f>
        <v>0.92492178850200391</v>
      </c>
      <c r="H24" s="32">
        <f>+H20-H22</f>
        <v>820443.12372000003</v>
      </c>
      <c r="I24" s="34">
        <f t="shared" si="12"/>
        <v>0.87421193903579597</v>
      </c>
      <c r="J24" s="34">
        <f>IF(H24=0,"",(E24-H24)/ABS(H24))</f>
        <v>-2.7342726572301268E-4</v>
      </c>
      <c r="K24" s="32">
        <f>+K20-K22</f>
        <v>9013216</v>
      </c>
      <c r="L24" s="34">
        <f t="shared" si="5"/>
        <v>0.86413841530035784</v>
      </c>
      <c r="M24" s="32">
        <f>+M20-M22</f>
        <v>8388383.5060299989</v>
      </c>
      <c r="N24" s="34">
        <f>+M24/$M$20</f>
        <v>0.86688502394211819</v>
      </c>
      <c r="O24" s="34">
        <f>IF(K24=0,"",(M24-K24)/ABS(K24)+1)</f>
        <v>0.93067596582951073</v>
      </c>
      <c r="P24" s="32">
        <f>+P20-P22</f>
        <v>8505753.741179999</v>
      </c>
      <c r="Q24" s="34">
        <f t="shared" si="8"/>
        <v>0.87916452882387985</v>
      </c>
      <c r="R24" s="34">
        <f>IF(P24=0,"",(M24-P24)/ABS(P24))</f>
        <v>-1.379892232028309E-2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126.84860999999999</v>
      </c>
      <c r="V25" s="32">
        <v>126.84860999999999</v>
      </c>
      <c r="W25" s="32">
        <v>56212.762029999998</v>
      </c>
      <c r="X25" s="32">
        <v>1881709.3228800001</v>
      </c>
      <c r="Y25" s="32">
        <v>1881709.3228800001</v>
      </c>
      <c r="Z25" s="63">
        <f>+Y25-X25</f>
        <v>0</v>
      </c>
      <c r="AA25" s="68">
        <f>IF(X25=0,"",(Y25-X25)/ABS(X25)+1)</f>
        <v>1</v>
      </c>
      <c r="AB25" s="32">
        <v>1831541.8468299999</v>
      </c>
      <c r="AC25" s="34">
        <f>IF(AB25=0,"",(Y25-AB25)/ABS(AB25))</f>
        <v>2.7390843478039634E-2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238149</v>
      </c>
      <c r="D26" s="34">
        <f t="shared" si="11"/>
        <v>0.23019284470834545</v>
      </c>
      <c r="E26" s="32">
        <v>246779.94237</v>
      </c>
      <c r="F26" s="34">
        <f>+E26/$E$20</f>
        <v>0.26430310615663161</v>
      </c>
      <c r="G26" s="34">
        <f>IF(C26=0,"",(E26-C26)/ABS(C26)+1)</f>
        <v>1.0362417745613042</v>
      </c>
      <c r="H26" s="32">
        <v>226247.76958000002</v>
      </c>
      <c r="I26" s="34">
        <f t="shared" si="12"/>
        <v>0.24107521366046192</v>
      </c>
      <c r="J26" s="34">
        <f>IF(H26=0,"",(E26-H26)/ABS(H26))</f>
        <v>9.0750829624156426E-2</v>
      </c>
      <c r="K26" s="32">
        <v>2275371</v>
      </c>
      <c r="L26" s="34">
        <f t="shared" si="5"/>
        <v>0.21815026846803523</v>
      </c>
      <c r="M26" s="32">
        <v>2192930.4691099999</v>
      </c>
      <c r="N26" s="34">
        <f>+M26/$M$20</f>
        <v>0.22662513949812543</v>
      </c>
      <c r="O26" s="34">
        <f>IF(K26=0,"",(M26-K26)/ABS(K26)+1)</f>
        <v>0.96376831255650175</v>
      </c>
      <c r="P26" s="32">
        <v>2120747.9443800002</v>
      </c>
      <c r="Q26" s="34">
        <f t="shared" si="8"/>
        <v>0.21920295649382338</v>
      </c>
      <c r="R26" s="34">
        <f>IF(P26=0,"",(M26-P26)/ABS(P26))</f>
        <v>3.4036352561974188E-2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291179</v>
      </c>
      <c r="D27" s="34">
        <f t="shared" si="11"/>
        <v>0.28145120210175695</v>
      </c>
      <c r="E27" s="32">
        <v>334402.78241000004</v>
      </c>
      <c r="F27" s="34">
        <f>+E27/$E$20</f>
        <v>0.35814780265192109</v>
      </c>
      <c r="G27" s="34">
        <f>IF(C27=0,"",(E27-C27)/ABS(C27)+1)</f>
        <v>1.1484440238135307</v>
      </c>
      <c r="H27" s="32">
        <v>334156.50266</v>
      </c>
      <c r="I27" s="34">
        <f t="shared" si="12"/>
        <v>0.35605588697884483</v>
      </c>
      <c r="J27" s="34">
        <f>IF(H27=0,"",(E27-H27)/ABS(H27))</f>
        <v>7.3701917526540462E-4</v>
      </c>
      <c r="K27" s="32">
        <v>3382705</v>
      </c>
      <c r="L27" s="34">
        <f t="shared" si="5"/>
        <v>0.32431546499369335</v>
      </c>
      <c r="M27" s="32">
        <v>3298193.0278000003</v>
      </c>
      <c r="N27" s="34">
        <f>+M27/$M$20</f>
        <v>0.34084685563253331</v>
      </c>
      <c r="O27" s="34">
        <f>IF(K27=0,"",(M27-K27)/ABS(K27)+1)</f>
        <v>0.97501645215884925</v>
      </c>
      <c r="P27" s="32">
        <v>3413045.4798000003</v>
      </c>
      <c r="Q27" s="34">
        <f t="shared" si="8"/>
        <v>0.35277632205309584</v>
      </c>
      <c r="R27" s="34">
        <f>IF(P27=0,"",(M27-P27)/ABS(P27))</f>
        <v>-3.3651017157477266E-2</v>
      </c>
      <c r="S27" s="67"/>
      <c r="T27" s="3" t="s">
        <v>47</v>
      </c>
      <c r="U27" s="32">
        <v>372749.21888</v>
      </c>
      <c r="V27" s="32">
        <v>372749.21888</v>
      </c>
      <c r="W27" s="32">
        <v>230957.04274999999</v>
      </c>
      <c r="X27" s="32">
        <f>+Y27</f>
        <v>601269</v>
      </c>
      <c r="Y27" s="32">
        <v>601269</v>
      </c>
      <c r="Z27" s="63">
        <f>+Y27-X27</f>
        <v>0</v>
      </c>
      <c r="AA27" s="68">
        <f>IF(X27=0,"",(Y27-X27)/ABS(X27)+1)</f>
        <v>1</v>
      </c>
      <c r="AB27" s="32">
        <v>-355522</v>
      </c>
      <c r="AC27" s="34">
        <f>IF(AB27=0,"",(Y27-AB27)/ABS(AB27))</f>
        <v>2.6912286722059395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529328</v>
      </c>
      <c r="D28" s="34">
        <f t="shared" si="11"/>
        <v>0.51164404681010245</v>
      </c>
      <c r="E28" s="32">
        <f>SUM(E26:E27)</f>
        <v>581182.72478000005</v>
      </c>
      <c r="F28" s="34">
        <f>+E28/$E$20</f>
        <v>0.62245090880855269</v>
      </c>
      <c r="G28" s="34">
        <f>IF(C28=0,"",(E28-C28)/ABS(C28)+1)</f>
        <v>1.0979633134464832</v>
      </c>
      <c r="H28" s="32">
        <f>SUM(H26:H27)</f>
        <v>560404.27224000008</v>
      </c>
      <c r="I28" s="34">
        <f t="shared" si="12"/>
        <v>0.59713110063930674</v>
      </c>
      <c r="J28" s="34">
        <f>IF(H28=0,"",(E28-H28)/ABS(H28))</f>
        <v>3.7077612661563258E-2</v>
      </c>
      <c r="K28" s="32">
        <f>SUM(K26:K27)</f>
        <v>5658076</v>
      </c>
      <c r="L28" s="34">
        <f t="shared" si="5"/>
        <v>0.54246573346172855</v>
      </c>
      <c r="M28" s="32">
        <f>SUM(M26:M27)</f>
        <v>5491123.4969100002</v>
      </c>
      <c r="N28" s="34">
        <f>+M28/$M$20</f>
        <v>0.56747199513065871</v>
      </c>
      <c r="O28" s="34">
        <f>IF(K28=0,"",(M28-K28)/ABS(K28)+1)</f>
        <v>0.97049306105290922</v>
      </c>
      <c r="P28" s="32">
        <f>SUM(P26:P27)</f>
        <v>5533793.424180001</v>
      </c>
      <c r="Q28" s="34">
        <f t="shared" si="8"/>
        <v>0.57197927854691932</v>
      </c>
      <c r="R28" s="34">
        <f>IF(P28=0,"",(M28-P28)/ABS(P28))</f>
        <v>-7.7107914949542302E-3</v>
      </c>
      <c r="S28" s="67"/>
      <c r="T28" s="3" t="s">
        <v>49</v>
      </c>
      <c r="U28" s="32">
        <v>0</v>
      </c>
      <c r="V28" s="32">
        <v>0</v>
      </c>
      <c r="W28" s="32">
        <v>81513.63</v>
      </c>
      <c r="X28" s="32"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558892.43984999997</v>
      </c>
      <c r="AC28" s="34">
        <f>IF(AB28=0,"",(Y28-AB28)/ABS(AB28))</f>
        <v>-1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59604</v>
      </c>
      <c r="D30" s="34">
        <f t="shared" si="11"/>
        <v>5.7612731172485387E-2</v>
      </c>
      <c r="E30" s="32">
        <v>65949.527000000002</v>
      </c>
      <c r="F30" s="34">
        <f>+E30/$E$20</f>
        <v>7.0632421210013271E-2</v>
      </c>
      <c r="G30" s="34">
        <f>IF(C30=0,"",(E30-C30)/ABS(C30)+1)</f>
        <v>1.1064614287631702</v>
      </c>
      <c r="H30" s="32">
        <v>60769.58</v>
      </c>
      <c r="I30" s="34">
        <f t="shared" si="12"/>
        <v>6.4752194064730248E-2</v>
      </c>
      <c r="J30" s="34">
        <f>IF(H30=0,"",(E30-H30)/ABS(H30))</f>
        <v>8.523914432187947E-2</v>
      </c>
      <c r="K30" s="32">
        <v>608164</v>
      </c>
      <c r="L30" s="34">
        <f t="shared" si="5"/>
        <v>5.8307475955610831E-2</v>
      </c>
      <c r="M30" s="32">
        <v>617962.80982000008</v>
      </c>
      <c r="N30" s="34">
        <f>+M30/$M$20</f>
        <v>6.3862447967604125E-2</v>
      </c>
      <c r="O30" s="34">
        <f>IF(K30=0,"",(M30-K30)/ABS(K30)+1)</f>
        <v>1.0161121174880461</v>
      </c>
      <c r="P30" s="32">
        <v>565021.82513000001</v>
      </c>
      <c r="Q30" s="34">
        <f t="shared" si="8"/>
        <v>5.8401308312120453E-2</v>
      </c>
      <c r="R30" s="34">
        <f>IF(P30=0,"",(M30-P30)/ABS(P30))</f>
        <v>9.3697238470070471E-2</v>
      </c>
      <c r="S30" s="67"/>
      <c r="T30" s="20" t="s">
        <v>51</v>
      </c>
      <c r="U30" s="69">
        <f>U21-U23-U25-U27-U28</f>
        <v>249257.99119000026</v>
      </c>
      <c r="V30" s="69">
        <f>V21-V23-V25-V27-V28</f>
        <v>249257.99119000026</v>
      </c>
      <c r="W30" s="69">
        <v>16194.732899999974</v>
      </c>
      <c r="X30" s="69">
        <f>X21-X23-X25-X27-X28</f>
        <v>249258.44652999961</v>
      </c>
      <c r="Y30" s="69">
        <f>Y21-Y23-Y25-Y27-Y28</f>
        <v>249258.44652999961</v>
      </c>
      <c r="Z30" s="71">
        <f>+Y30-X30</f>
        <v>0</v>
      </c>
      <c r="AA30" s="72">
        <f>IF(U30=0,"",(V30-U30)/ABS(U30)+1)</f>
        <v>1</v>
      </c>
      <c r="AB30" s="69">
        <v>16194.392419998767</v>
      </c>
      <c r="AC30" s="34">
        <f>IF(AB30=0,"",(Y30-AB30)/ABS(AB30))</f>
        <v>14.391651632585212</v>
      </c>
      <c r="AD30" s="54"/>
      <c r="AE30" s="54"/>
    </row>
    <row r="31" spans="1:35" x14ac:dyDescent="0.2">
      <c r="B31" s="3" t="s">
        <v>52</v>
      </c>
      <c r="C31" s="32">
        <v>168277</v>
      </c>
      <c r="D31" s="34">
        <f t="shared" si="11"/>
        <v>0.16265515004886122</v>
      </c>
      <c r="E31" s="32">
        <v>254281.47718000002</v>
      </c>
      <c r="F31" s="34">
        <f>+E31/$E$20</f>
        <v>0.27233730428547487</v>
      </c>
      <c r="G31" s="34">
        <f>IF(C31=0,"",(E31-C31)/ABS(C31)+1)</f>
        <v>1.5110887238303512</v>
      </c>
      <c r="H31" s="32">
        <v>188871.38243999999</v>
      </c>
      <c r="I31" s="34">
        <f t="shared" si="12"/>
        <v>0.20124931600693577</v>
      </c>
      <c r="J31" s="34">
        <f>IF(H31=0,"",(E31-H31)/ABS(H31))</f>
        <v>0.34632083428933064</v>
      </c>
      <c r="K31" s="32">
        <v>2093456</v>
      </c>
      <c r="L31" s="34">
        <f t="shared" si="5"/>
        <v>0.20070924188891356</v>
      </c>
      <c r="M31" s="32">
        <v>1991750.9538199999</v>
      </c>
      <c r="N31" s="34">
        <f>+M31/$M$20</f>
        <v>0.20583454154758249</v>
      </c>
      <c r="O31" s="34">
        <f>IF(K31=0,"",(M31-K31)/ABS(K31)+1)</f>
        <v>0.95141763372146337</v>
      </c>
      <c r="P31" s="32">
        <v>1913026.26465</v>
      </c>
      <c r="Q31" s="34">
        <f t="shared" si="8"/>
        <v>0.19773260380747867</v>
      </c>
      <c r="R31" s="34">
        <f>IF(P31=0,"",(M31-P31)/ABS(P31))</f>
        <v>4.1151912352025692E-2</v>
      </c>
      <c r="S31" s="67"/>
      <c r="T31" s="54"/>
      <c r="U31" s="58" t="s">
        <v>61</v>
      </c>
      <c r="V31" s="58" t="s">
        <v>83</v>
      </c>
      <c r="W31" s="54"/>
      <c r="X31" s="58" t="s">
        <v>61</v>
      </c>
      <c r="Y31" s="58" t="s">
        <v>61</v>
      </c>
      <c r="Z31" s="58"/>
      <c r="AA31" s="58"/>
      <c r="AB31" s="73" t="s">
        <v>61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227881</v>
      </c>
      <c r="D32" s="34">
        <f t="shared" si="11"/>
        <v>0.22026788122134661</v>
      </c>
      <c r="E32" s="32">
        <f>SUM(E30:E31)</f>
        <v>320231.00418000005</v>
      </c>
      <c r="F32" s="34">
        <f>+E32/$E$20</f>
        <v>0.34296972549548815</v>
      </c>
      <c r="G32" s="34">
        <f>IF(C32=0,"",(E32-C32)/ABS(C32)+1)</f>
        <v>1.4052553928585536</v>
      </c>
      <c r="H32" s="32">
        <f>SUM(H30:H31)</f>
        <v>249640.96243999997</v>
      </c>
      <c r="I32" s="34">
        <f t="shared" si="12"/>
        <v>0.266001510071666</v>
      </c>
      <c r="J32" s="34">
        <f>IF(H32=0,"",(E32-H32)/ABS(H32))</f>
        <v>0.28276626179474074</v>
      </c>
      <c r="K32" s="32">
        <f>SUM(K30:K31)</f>
        <v>2701620</v>
      </c>
      <c r="L32" s="34">
        <f t="shared" si="5"/>
        <v>0.2590167178445244</v>
      </c>
      <c r="M32" s="32">
        <f>SUM(M30:M31)</f>
        <v>2609713.76364</v>
      </c>
      <c r="N32" s="34">
        <f>+M32/$M$20</f>
        <v>0.26969698951518661</v>
      </c>
      <c r="O32" s="34">
        <f>IF(K32=0,"",(M32-K32)/ABS(K32)+1)</f>
        <v>0.9659810645612632</v>
      </c>
      <c r="P32" s="32">
        <f>SUM(P30:P31)</f>
        <v>2478048.08978</v>
      </c>
      <c r="Q32" s="34">
        <f t="shared" si="8"/>
        <v>0.25613391211959913</v>
      </c>
      <c r="R32" s="34">
        <f>IF(P32=0,"",(M32-P32)/ABS(P32))</f>
        <v>5.3132816268989032E-2</v>
      </c>
      <c r="S32" s="67"/>
      <c r="T32" s="54" t="s">
        <v>84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757209</v>
      </c>
      <c r="D34" s="34">
        <f t="shared" si="11"/>
        <v>0.731911928031449</v>
      </c>
      <c r="E34" s="32">
        <f>E28+E32</f>
        <v>901413.72896000009</v>
      </c>
      <c r="F34" s="34">
        <f>+E34/$E$20</f>
        <v>0.9654206343040409</v>
      </c>
      <c r="G34" s="34">
        <f>IF(C34=0,"",(E34-C34)/ABS(C34)+1)</f>
        <v>1.1904424392208757</v>
      </c>
      <c r="H34" s="32">
        <f>H28+H32</f>
        <v>810045.23467999999</v>
      </c>
      <c r="I34" s="34">
        <f t="shared" si="12"/>
        <v>0.86313261071097269</v>
      </c>
      <c r="J34" s="34">
        <f>IF(H34=0,"",(E34-H34)/ABS(H34))</f>
        <v>0.11279431119188582</v>
      </c>
      <c r="K34" s="32">
        <f>K28+K32</f>
        <v>8359696</v>
      </c>
      <c r="L34" s="34">
        <f t="shared" si="5"/>
        <v>0.80148245130625295</v>
      </c>
      <c r="M34" s="32">
        <f>M28+M32</f>
        <v>8100837.2605499998</v>
      </c>
      <c r="N34" s="34">
        <f>+M34/$M$20</f>
        <v>0.83716898464584533</v>
      </c>
      <c r="O34" s="34">
        <f>IF(K34=0,"",(M34-K34)/ABS(K34)+1)</f>
        <v>0.96903490994768227</v>
      </c>
      <c r="P34" s="32">
        <f>P28+P32</f>
        <v>8011841.5139600011</v>
      </c>
      <c r="Q34" s="34">
        <f t="shared" si="8"/>
        <v>0.82811319066651834</v>
      </c>
      <c r="R34" s="34">
        <f>IF(P34=0,"",(M34-P34)/ABS(P34))</f>
        <v>1.1108026342624309E-2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129589</v>
      </c>
      <c r="D36" s="45">
        <f t="shared" si="11"/>
        <v>0.12525965069309458</v>
      </c>
      <c r="E36" s="69">
        <f>E24-E34</f>
        <v>-81194.93676000007</v>
      </c>
      <c r="F36" s="45">
        <f>+E36/$E$20</f>
        <v>-8.6960365513352594E-2</v>
      </c>
      <c r="G36" s="45">
        <f>IF(C36=0,"",(E36-C36)/ABS(C36)+1)</f>
        <v>-0.62655732168625478</v>
      </c>
      <c r="H36" s="69">
        <f>H24-H34</f>
        <v>10397.889040000038</v>
      </c>
      <c r="I36" s="45">
        <f t="shared" si="12"/>
        <v>1.1079328324823277E-2</v>
      </c>
      <c r="J36" s="45">
        <f>IF(H36=0,"",(E36-H36)/ABS(H36))</f>
        <v>-8.8087904619532047</v>
      </c>
      <c r="K36" s="69">
        <f>K24-K34</f>
        <v>653520</v>
      </c>
      <c r="L36" s="45">
        <f t="shared" si="5"/>
        <v>6.2655963994104863E-2</v>
      </c>
      <c r="M36" s="69">
        <f>+M24-M34</f>
        <v>287546.24547999911</v>
      </c>
      <c r="N36" s="45">
        <f>+M36/$M$20</f>
        <v>2.971603929627294E-2</v>
      </c>
      <c r="O36" s="45">
        <f>IF(K36=0,"",(M36-K36)/ABS(K36)+1)</f>
        <v>0.43999609113722471</v>
      </c>
      <c r="P36" s="69">
        <f>P24-P34</f>
        <v>493912.22721999791</v>
      </c>
      <c r="Q36" s="45">
        <f t="shared" si="8"/>
        <v>5.1051338157361466E-2</v>
      </c>
      <c r="R36" s="45">
        <f>IF(P36=0,"",(M36-P36)/ABS(P36))</f>
        <v>-0.41781913944819077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1459</v>
      </c>
      <c r="D38" s="34">
        <f t="shared" si="11"/>
        <v>1.4102572777104922E-3</v>
      </c>
      <c r="E38" s="32">
        <v>292.82794000000001</v>
      </c>
      <c r="F38" s="34">
        <f>+E38/$E$20</f>
        <v>3.1362084522820754E-4</v>
      </c>
      <c r="G38" s="34">
        <f>IF(C38=0,"",(E38-C38)/ABS(C38)+1)</f>
        <v>0.20070455106237162</v>
      </c>
      <c r="H38" s="32">
        <v>1481.04989</v>
      </c>
      <c r="I38" s="34">
        <f t="shared" si="12"/>
        <v>1.5781124354788594E-3</v>
      </c>
      <c r="J38" s="34">
        <f>IF(H38=0,"",(E38-H38)/ABS(H38))</f>
        <v>-0.80228354090084031</v>
      </c>
      <c r="K38" s="32">
        <v>14590</v>
      </c>
      <c r="L38" s="34">
        <f t="shared" si="5"/>
        <v>1.3988103113508231E-3</v>
      </c>
      <c r="M38" s="32">
        <v>6829.8192300000001</v>
      </c>
      <c r="N38" s="34">
        <f>+M38/$M$20</f>
        <v>7.0581751567066651E-4</v>
      </c>
      <c r="O38" s="34">
        <f>IF(K38=0,"",(M38-K38)/ABS(K38)+1)</f>
        <v>0.4681164653872516</v>
      </c>
      <c r="P38" s="32">
        <v>16956.48444</v>
      </c>
      <c r="Q38" s="34">
        <f t="shared" si="8"/>
        <v>1.7526418124508194E-3</v>
      </c>
      <c r="R38" s="34">
        <f>IF(P38=0,"",(M38-P38)/ABS(P38))</f>
        <v>-0.59721490299672042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39484</v>
      </c>
      <c r="D39" s="34">
        <f t="shared" si="11"/>
        <v>3.8164906342098064E-2</v>
      </c>
      <c r="E39" s="32">
        <v>42548.851609999998</v>
      </c>
      <c r="F39" s="34">
        <f>+E39/$E$20</f>
        <v>4.5570128333443108E-2</v>
      </c>
      <c r="G39" s="34">
        <f>IF(C39=0,"",(E39-C39)/ABS(C39)+1)</f>
        <v>1.0776226220747644</v>
      </c>
      <c r="H39" s="32">
        <v>29089.981909999999</v>
      </c>
      <c r="I39" s="34">
        <f t="shared" si="12"/>
        <v>3.0996431997321886E-2</v>
      </c>
      <c r="J39" s="34">
        <f>IF(H39=0,"",(E39-H39)/ABS(H39))</f>
        <v>0.46266339187283462</v>
      </c>
      <c r="K39" s="32">
        <v>381397</v>
      </c>
      <c r="L39" s="34">
        <f t="shared" si="5"/>
        <v>3.6566282132849202E-2</v>
      </c>
      <c r="M39" s="32">
        <v>379872.00105999998</v>
      </c>
      <c r="N39" s="34">
        <f>+M39/$M$20</f>
        <v>3.9257307262730287E-2</v>
      </c>
      <c r="O39" s="34">
        <f>IF(K39=0,"",(M39-K39)/ABS(K39)+1)</f>
        <v>0.99600154447989886</v>
      </c>
      <c r="P39" s="32">
        <v>311296.23622000002</v>
      </c>
      <c r="Q39" s="34">
        <f t="shared" si="8"/>
        <v>3.2175938449287379E-2</v>
      </c>
      <c r="R39" s="34">
        <f>IF(P39=0,"",(M39-P39)/ABS(P39))</f>
        <v>0.22029101820407468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91564</v>
      </c>
      <c r="D41" s="34">
        <f t="shared" si="11"/>
        <v>8.8505001628707003E-2</v>
      </c>
      <c r="E41" s="32">
        <f>E36+E38-E39</f>
        <v>-123450.96043000006</v>
      </c>
      <c r="F41" s="34">
        <f>+E41/$E$20</f>
        <v>-0.13221687300156748</v>
      </c>
      <c r="G41" s="34">
        <f>IF(C41=0,"",(E41-C41)/ABS(C41)+1)</f>
        <v>-1.3482477876676429</v>
      </c>
      <c r="H41" s="32">
        <f>H36+H38-H39</f>
        <v>-17211.042979999962</v>
      </c>
      <c r="I41" s="34">
        <f t="shared" si="12"/>
        <v>-1.833899123701975E-2</v>
      </c>
      <c r="J41" s="34">
        <f>IF(H41=0,"",(E41-H41)/ABS(H41))</f>
        <v>-6.1727762561197395</v>
      </c>
      <c r="K41" s="32">
        <f>K36+K38-K39</f>
        <v>286713</v>
      </c>
      <c r="L41" s="34">
        <f t="shared" si="5"/>
        <v>2.7488492172606481E-2</v>
      </c>
      <c r="M41" s="32">
        <f>M36+M38-M39</f>
        <v>-85495.936350000848</v>
      </c>
      <c r="N41" s="34">
        <f>+M41/$M$20</f>
        <v>-8.8354504507866805E-3</v>
      </c>
      <c r="O41" s="34">
        <f>IF(K41=0,"",(M41-K41)/ABS(K41)+1)</f>
        <v>-0.29819344204832299</v>
      </c>
      <c r="P41" s="32">
        <f>P36+P38-P39</f>
        <v>199572.47543999791</v>
      </c>
      <c r="Q41" s="34">
        <f t="shared" si="8"/>
        <v>2.0628041520524908E-2</v>
      </c>
      <c r="R41" s="34">
        <f>IF(P41=0,"",(M41-P41)/ABS(P41))</f>
        <v>-1.4283954295877113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28040</v>
      </c>
      <c r="D42" s="34">
        <f t="shared" si="11"/>
        <v>2.7103231026046747E-2</v>
      </c>
      <c r="E42" s="32">
        <v>-37768.870000000003</v>
      </c>
      <c r="F42" s="34">
        <f>+E42/$E$20</f>
        <v>-4.0450733398986083E-2</v>
      </c>
      <c r="G42" s="34">
        <f>IF(C42=0,"",(E42-C42)/ABS(C42)+1)</f>
        <v>-1.3469639800285305</v>
      </c>
      <c r="H42" s="32">
        <v>-1383.3420000000001</v>
      </c>
      <c r="I42" s="34">
        <f t="shared" si="12"/>
        <v>-1.4740011308600795E-3</v>
      </c>
      <c r="J42" s="34">
        <f>IF(H42=0,"",(E42-H42)/ABS(H42))</f>
        <v>-26.302626537761451</v>
      </c>
      <c r="K42" s="32">
        <v>118755.66</v>
      </c>
      <c r="L42" s="34">
        <f t="shared" si="5"/>
        <v>1.1385650564720528E-2</v>
      </c>
      <c r="M42" s="32">
        <v>27670.937000000002</v>
      </c>
      <c r="N42" s="34">
        <f>+M42/$M$20</f>
        <v>2.8596118509009978E-3</v>
      </c>
      <c r="O42" s="34">
        <f>IF(K42=0,"",(M42-K42)/ABS(K42)+1)</f>
        <v>0.23300731097785154</v>
      </c>
      <c r="P42" s="32">
        <v>138994.81700000001</v>
      </c>
      <c r="Q42" s="34">
        <f t="shared" si="8"/>
        <v>1.436666479128677E-2</v>
      </c>
      <c r="R42" s="34">
        <f>IF(P42=0,"",(M42-P42)/ABS(P42))</f>
        <v>-0.80092108758271174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63524</v>
      </c>
      <c r="D43" s="45">
        <f t="shared" si="11"/>
        <v>6.1401770602660256E-2</v>
      </c>
      <c r="E43" s="69">
        <f>E41-E42</f>
        <v>-85682.090430000069</v>
      </c>
      <c r="F43" s="45">
        <f>+E43/$E$20</f>
        <v>-9.1766139602581412E-2</v>
      </c>
      <c r="G43" s="45">
        <f>IF(C43=0,"",(E43-C43)/ABS(C43)+1)</f>
        <v>-1.3488144705937923</v>
      </c>
      <c r="H43" s="69">
        <f>+H41-H42</f>
        <v>-15827.700979999961</v>
      </c>
      <c r="I43" s="45">
        <f t="shared" si="12"/>
        <v>-1.6864990106159671E-2</v>
      </c>
      <c r="J43" s="45">
        <f>IF(H43=0,"",(E43-H43)/ABS(H43))</f>
        <v>-4.4134261531898282</v>
      </c>
      <c r="K43" s="69">
        <f>+K41-K42</f>
        <v>167957.34</v>
      </c>
      <c r="L43" s="45">
        <f t="shared" si="5"/>
        <v>1.6102841607885953E-2</v>
      </c>
      <c r="M43" s="69">
        <f>+M41-M42</f>
        <v>-113166.87335000085</v>
      </c>
      <c r="N43" s="45">
        <f>+M43/$M$20</f>
        <v>-1.1695062301687677E-2</v>
      </c>
      <c r="O43" s="45">
        <f>IF(K43=0,"",(M43-K43)/ABS(K43)+1)</f>
        <v>-0.67378343423395992</v>
      </c>
      <c r="P43" s="69">
        <f>P41-P42</f>
        <v>60577.658439997904</v>
      </c>
      <c r="Q43" s="45">
        <f t="shared" si="8"/>
        <v>6.2613767292381394E-3</v>
      </c>
      <c r="R43" s="45">
        <f>IF(P43=0,"",(M43-P43)/ABS(P43))</f>
        <v>-2.868128882236221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85</v>
      </c>
      <c r="B45" s="3" t="s">
        <v>86</v>
      </c>
      <c r="C45" s="32">
        <v>177963</v>
      </c>
      <c r="D45" s="34">
        <f t="shared" si="11"/>
        <v>0.17201755717148207</v>
      </c>
      <c r="E45" s="32">
        <v>-31359.288740000069</v>
      </c>
      <c r="F45" s="34">
        <f>+E45/$E$20</f>
        <v>-3.358602543320912E-2</v>
      </c>
      <c r="G45" s="34">
        <f>IF(C45=0,"",(E45-C45)/ABS(C45)+1)</f>
        <v>-0.17621240786006132</v>
      </c>
      <c r="H45" s="32">
        <v>31478.421670000036</v>
      </c>
      <c r="I45" s="34">
        <f t="shared" si="12"/>
        <v>3.3541401287079033E-2</v>
      </c>
      <c r="J45" s="34">
        <f>IF(H45=0,"",(E45-H45)/ABS(H45))</f>
        <v>-1.9962154096781317</v>
      </c>
      <c r="K45" s="32">
        <v>1145907</v>
      </c>
      <c r="L45" s="34">
        <f t="shared" si="5"/>
        <v>0.10986336720007456</v>
      </c>
      <c r="M45" s="32">
        <v>770323.31295999908</v>
      </c>
      <c r="N45" s="34">
        <f>+M45/$M$20</f>
        <v>7.9607917677877393E-2</v>
      </c>
      <c r="O45" s="34">
        <f>IF(K45=0,"",(M45-K45)/ABS(K45)+1)</f>
        <v>0.67223894518490512</v>
      </c>
      <c r="P45" s="32">
        <v>969042.38181999791</v>
      </c>
      <c r="Q45" s="34">
        <f t="shared" si="8"/>
        <v>0.1001613395998646</v>
      </c>
      <c r="R45" s="34">
        <f>IF(P45=0,"",(M45-P45)/ABS(P45))</f>
        <v>-0.20506746927495212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408082</v>
      </c>
      <c r="D46" s="34">
        <f t="shared" si="11"/>
        <v>0.39444867059811728</v>
      </c>
      <c r="E46" s="32">
        <v>455157.46899999998</v>
      </c>
      <c r="F46" s="34">
        <f>+E46/$E$20</f>
        <v>0.48747694683680687</v>
      </c>
      <c r="G46" s="34">
        <f>IF(C46=0,"",(E46-C46)/ABS(C46)+1)</f>
        <v>1.11535786680128</v>
      </c>
      <c r="H46" s="32">
        <v>434838.73</v>
      </c>
      <c r="I46" s="34">
        <f t="shared" si="12"/>
        <v>0.46333645603311452</v>
      </c>
      <c r="J46" s="34">
        <f>IF(H46=0,"",(E46-H46)/ABS(H46))</f>
        <v>4.6727068216761654E-2</v>
      </c>
      <c r="K46" s="32">
        <v>4482828</v>
      </c>
      <c r="L46" s="34">
        <f t="shared" si="5"/>
        <v>0.4297893098294851</v>
      </c>
      <c r="M46" s="32">
        <v>4576216.2589999996</v>
      </c>
      <c r="N46" s="34">
        <f>+M46/$M$20</f>
        <v>0.47292226665552484</v>
      </c>
      <c r="O46" s="34">
        <f>IF(K46=0,"",(M46-K46)/ABS(K46)+1)</f>
        <v>1.0208324430471121</v>
      </c>
      <c r="P46" s="32">
        <v>4280085.33</v>
      </c>
      <c r="Q46" s="34">
        <f t="shared" si="8"/>
        <v>0.4423945621958984</v>
      </c>
      <c r="R46" s="34">
        <f>IF(P46=0,"",(M46-P46)/ABS(P46))</f>
        <v>6.9188089995392582E-2</v>
      </c>
      <c r="S46" s="67"/>
      <c r="X46" s="73"/>
      <c r="Y46" s="73"/>
      <c r="Z46" s="73"/>
      <c r="AA46" s="73"/>
    </row>
    <row r="47" spans="1:29" x14ac:dyDescent="0.2">
      <c r="B47" s="3" t="s">
        <v>84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87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ABDA-A38F-4983-898A-87FE0A41218C}">
  <sheetPr>
    <tabColor theme="2" tint="-0.249977111117893"/>
  </sheetPr>
  <dimension ref="A1:V48"/>
  <sheetViews>
    <sheetView showGridLines="0" zoomScale="93" zoomScaleNormal="93" workbookViewId="0">
      <selection activeCell="C18" sqref="C18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88</v>
      </c>
      <c r="T3" s="18"/>
    </row>
    <row r="4" spans="1:22" x14ac:dyDescent="0.2">
      <c r="B4" s="3" t="s">
        <v>89</v>
      </c>
    </row>
    <row r="5" spans="1:22" x14ac:dyDescent="0.2">
      <c r="A5" s="78" t="str">
        <f>+Paramet!A3</f>
        <v>202401</v>
      </c>
      <c r="B5" s="3" t="s">
        <v>22</v>
      </c>
    </row>
    <row r="6" spans="1:22" ht="13.5" thickBot="1" x14ac:dyDescent="0.25">
      <c r="A6" s="78" t="str">
        <f>+Paramet!A4</f>
        <v>202410</v>
      </c>
      <c r="B6" s="79" t="str">
        <f>+'COLOMB$ '!B6</f>
        <v>OCTUBRE de 2025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202501</v>
      </c>
      <c r="B7" s="3"/>
      <c r="C7" s="54" t="str">
        <f>+'COLOMB$ '!D7:D7</f>
        <v>Ppto 2025</v>
      </c>
      <c r="D7" s="54"/>
      <c r="E7" s="54" t="str">
        <f>+'COLOMB$ '!F7:F7</f>
        <v>Real 2025</v>
      </c>
      <c r="F7" s="54"/>
      <c r="G7" s="51" t="s">
        <v>24</v>
      </c>
      <c r="H7" s="54" t="str">
        <f>+'COLOMB$ '!I7:I7</f>
        <v>Real 2024</v>
      </c>
      <c r="I7" s="54"/>
      <c r="J7" s="51" t="s">
        <v>25</v>
      </c>
      <c r="K7" s="54" t="str">
        <f>+C7</f>
        <v>Ppto 2025</v>
      </c>
      <c r="L7" s="54"/>
      <c r="M7" s="54" t="str">
        <f>+E7</f>
        <v>Real 2025</v>
      </c>
      <c r="N7" s="54"/>
      <c r="O7" s="51" t="s">
        <v>24</v>
      </c>
      <c r="P7" s="2" t="str">
        <f>+H7</f>
        <v>Real 2024</v>
      </c>
      <c r="R7" s="51" t="s">
        <v>25</v>
      </c>
    </row>
    <row r="8" spans="1:22" ht="13.5" thickBot="1" x14ac:dyDescent="0.25">
      <c r="A8" s="78" t="str">
        <f>+Paramet!B4</f>
        <v>202510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90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 t="e">
        <f t="shared" ref="I10:I16" si="3">+H10/$H$20</f>
        <v>#DIV/0!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 t="e">
        <f t="shared" si="3"/>
        <v>#DIV/0!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 t="e">
        <f t="shared" si="3"/>
        <v>#DIV/0!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520</v>
      </c>
      <c r="D13" s="68">
        <f t="shared" si="0"/>
        <v>1</v>
      </c>
      <c r="E13" s="32">
        <v>0</v>
      </c>
      <c r="F13" s="68">
        <f t="shared" si="1"/>
        <v>0</v>
      </c>
      <c r="G13" s="68">
        <f t="shared" si="2"/>
        <v>0</v>
      </c>
      <c r="H13" s="32">
        <v>0</v>
      </c>
      <c r="I13" s="68" t="e">
        <f t="shared" si="3"/>
        <v>#DIV/0!</v>
      </c>
      <c r="J13" s="68" t="str">
        <f t="shared" si="4"/>
        <v/>
      </c>
      <c r="K13" s="32">
        <v>5192</v>
      </c>
      <c r="L13" s="68">
        <f t="shared" si="5"/>
        <v>1</v>
      </c>
      <c r="M13" s="32">
        <v>651.38599999999997</v>
      </c>
      <c r="N13" s="68">
        <f t="shared" si="6"/>
        <v>1</v>
      </c>
      <c r="O13" s="68">
        <f t="shared" si="7"/>
        <v>0.12545955315870583</v>
      </c>
      <c r="P13" s="32">
        <v>3117.4490000000001</v>
      </c>
      <c r="Q13" s="68">
        <f t="shared" si="8"/>
        <v>1</v>
      </c>
      <c r="R13" s="34">
        <f t="shared" si="9"/>
        <v>-0.79105159378709966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 t="e">
        <f t="shared" si="3"/>
        <v>#DIV/0!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 t="e">
        <f t="shared" si="3"/>
        <v>#DIV/0!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 t="e">
        <f t="shared" si="3"/>
        <v>#DIV/0!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0</v>
      </c>
      <c r="D18" s="68">
        <f t="shared" si="0"/>
        <v>0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0</v>
      </c>
      <c r="L18" s="68">
        <f t="shared" si="5"/>
        <v>0</v>
      </c>
      <c r="M18" s="32">
        <v>11975.762000000001</v>
      </c>
      <c r="N18" s="68">
        <f t="shared" si="6"/>
        <v>18.385046654364697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520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0</v>
      </c>
      <c r="I20" s="72">
        <f>+H22/$H$22</f>
        <v>1</v>
      </c>
      <c r="J20" s="68" t="str">
        <f t="shared" si="4"/>
        <v/>
      </c>
      <c r="K20" s="69">
        <f>SUM(K10:K19)</f>
        <v>5192</v>
      </c>
      <c r="L20" s="72">
        <f t="shared" si="5"/>
        <v>1</v>
      </c>
      <c r="M20" s="69">
        <f>SUM(M10:M17)</f>
        <v>651.38599999999997</v>
      </c>
      <c r="N20" s="68">
        <f t="shared" si="6"/>
        <v>1</v>
      </c>
      <c r="O20" s="72">
        <f>IF(K20=0,"",(M20-K20)/ABS(K20)+1)</f>
        <v>0.12545955315870583</v>
      </c>
      <c r="P20" s="69">
        <f>SUM(P10:P17)</f>
        <v>3117.4490000000001</v>
      </c>
      <c r="Q20" s="72">
        <f>+P20/$P$20</f>
        <v>1</v>
      </c>
      <c r="R20" s="34">
        <f t="shared" si="9"/>
        <v>-0.79105159378709966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0</v>
      </c>
      <c r="D22" s="68">
        <f>+C22/$C$20</f>
        <v>0</v>
      </c>
      <c r="E22" s="32">
        <v>347.66899999999998</v>
      </c>
      <c r="F22" s="68">
        <f>IF($E$20=0,0,E22/$E$20)</f>
        <v>0</v>
      </c>
      <c r="G22" s="68" t="str">
        <f>IF(C22=0,"",(E22-C22)/ABS(C22)+1)</f>
        <v/>
      </c>
      <c r="H22" s="32">
        <v>1706.4238</v>
      </c>
      <c r="I22" s="68" t="e">
        <f>+H22/$H$20</f>
        <v>#DIV/0!</v>
      </c>
      <c r="J22" s="68">
        <f t="shared" si="4"/>
        <v>-0.79625870197075321</v>
      </c>
      <c r="K22" s="32">
        <v>0</v>
      </c>
      <c r="L22" s="68">
        <f>+K22/$K$20</f>
        <v>0</v>
      </c>
      <c r="M22" s="32">
        <v>4143.1687099999999</v>
      </c>
      <c r="N22" s="68">
        <f>IF($M$20=0,0,M22/$M$20)</f>
        <v>6.3605430727709837</v>
      </c>
      <c r="O22" s="68" t="str">
        <f>IF(K22=0,"",(M22-K22)/ABS(K22)+1)</f>
        <v/>
      </c>
      <c r="P22" s="63">
        <v>9864.9996499999997</v>
      </c>
      <c r="Q22" s="68"/>
      <c r="R22" s="34">
        <f t="shared" si="9"/>
        <v>-0.5800132937663105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520</v>
      </c>
      <c r="D24" s="68">
        <f>+C24/$C$20</f>
        <v>1</v>
      </c>
      <c r="E24" s="32">
        <f>+E20-E22</f>
        <v>-347.66899999999998</v>
      </c>
      <c r="F24" s="68">
        <f>IF($E$20=0,0,E24/$E$20)</f>
        <v>0</v>
      </c>
      <c r="G24" s="68">
        <f>IF(C24=0,"",(E24-C24)/ABS(C24)+1)</f>
        <v>-0.66859423076923075</v>
      </c>
      <c r="H24" s="32">
        <f>+H20-H22</f>
        <v>-1706.4238</v>
      </c>
      <c r="I24" s="68" t="e">
        <f>+H24/$H$20</f>
        <v>#DIV/0!</v>
      </c>
      <c r="J24" s="68" t="str">
        <f t="shared" si="4"/>
        <v/>
      </c>
      <c r="K24" s="32">
        <f>+K20-K22</f>
        <v>5192</v>
      </c>
      <c r="L24" s="68">
        <f>+K24/$K$20</f>
        <v>1</v>
      </c>
      <c r="M24" s="32">
        <f>+M20-M22</f>
        <v>-3491.78271</v>
      </c>
      <c r="N24" s="68">
        <f>IF($M$20=0,0,M24/$M$20)</f>
        <v>-5.3605430727709837</v>
      </c>
      <c r="O24" s="68">
        <f>IF(K24=0,"",(M24-K24)/ABS(K24)+1)</f>
        <v>-0.67253133859784264</v>
      </c>
      <c r="P24" s="32">
        <f>+P20-P22</f>
        <v>-6747.5506499999992</v>
      </c>
      <c r="Q24" s="68">
        <f>+P24/$P$20</f>
        <v>-2.1644462026483828</v>
      </c>
      <c r="R24" s="34" t="str">
        <f t="shared" si="9"/>
        <v/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2</v>
      </c>
      <c r="D26" s="68">
        <f>+C26/$C$20</f>
        <v>3.8461538461538464E-3</v>
      </c>
      <c r="E26" s="32">
        <v>289.49400000000003</v>
      </c>
      <c r="F26" s="68">
        <f>IF($E$20=0,0,E26/$E$20)</f>
        <v>0</v>
      </c>
      <c r="G26" s="68">
        <f>IF(C26=0,"",(E26-C26)/ABS(C26)+1)</f>
        <v>144.74700000000001</v>
      </c>
      <c r="H26" s="32">
        <v>289.49400000000003</v>
      </c>
      <c r="I26" s="68" t="e">
        <f>+H26/$H$20</f>
        <v>#DIV/0!</v>
      </c>
      <c r="J26" s="68">
        <f t="shared" si="4"/>
        <v>0</v>
      </c>
      <c r="K26" s="32">
        <v>20</v>
      </c>
      <c r="L26" s="68">
        <f>+K26/$K$20</f>
        <v>3.852080123266564E-3</v>
      </c>
      <c r="M26" s="32">
        <v>2894.8403800000001</v>
      </c>
      <c r="N26" s="68">
        <f>IF($M$20=0,0,M26/$M$20)</f>
        <v>4.4441243440909082</v>
      </c>
      <c r="O26" s="68">
        <f>IF(K26=0,"",(M26-K26)/ABS(K26)+1)</f>
        <v>144.742019</v>
      </c>
      <c r="P26" s="32">
        <v>3050.11229</v>
      </c>
      <c r="Q26" s="68">
        <f>+P26/$P$20</f>
        <v>0.97840006043402794</v>
      </c>
      <c r="R26" s="34">
        <f t="shared" si="9"/>
        <v>-5.0906948740565852E-2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 t="e">
        <f>+H27/$H$20</f>
        <v>#DIV/0!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2</v>
      </c>
      <c r="D28" s="68">
        <f>+C28/$C$20</f>
        <v>3.8461538461538464E-3</v>
      </c>
      <c r="E28" s="32">
        <f>SUM(E26:E27)</f>
        <v>289.49400000000003</v>
      </c>
      <c r="F28" s="68">
        <f>IF($E$20=0,0,E28/$E$20)</f>
        <v>0</v>
      </c>
      <c r="G28" s="68">
        <f>IF(C28=0,"",(E28-C28)/ABS(C28)+1)</f>
        <v>144.74700000000001</v>
      </c>
      <c r="H28" s="32">
        <f>SUM(H26:H27)</f>
        <v>289.49400000000003</v>
      </c>
      <c r="I28" s="68" t="e">
        <f>+H28/$H$20</f>
        <v>#DIV/0!</v>
      </c>
      <c r="J28" s="68">
        <f t="shared" si="4"/>
        <v>0</v>
      </c>
      <c r="K28" s="32">
        <f>SUM(K26:K27)</f>
        <v>20</v>
      </c>
      <c r="L28" s="68">
        <f>+K28/$K$20</f>
        <v>3.852080123266564E-3</v>
      </c>
      <c r="M28" s="32">
        <f>SUM(M26:M27)</f>
        <v>2894.8403800000001</v>
      </c>
      <c r="N28" s="68">
        <f>IF($M$20=0,0,M28/$M$20)</f>
        <v>4.4441243440909082</v>
      </c>
      <c r="O28" s="68">
        <f>IF(K28=0,"",(M28-K28)/ABS(K28)+1)</f>
        <v>144.742019</v>
      </c>
      <c r="P28" s="32">
        <f>SUM(P26:P27)</f>
        <v>3050.11229</v>
      </c>
      <c r="Q28" s="68">
        <f>+P28/$P$20</f>
        <v>0.97840006043402794</v>
      </c>
      <c r="R28" s="34">
        <f t="shared" si="9"/>
        <v>-5.0906948740565852E-2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0</v>
      </c>
      <c r="F30" s="68">
        <f>IF($E$20=0,0,E30/$E$20)</f>
        <v>0</v>
      </c>
      <c r="G30" s="68" t="str">
        <f>IF(C30=0,"",(E30-C30)/ABS(C30)+1)</f>
        <v/>
      </c>
      <c r="H30" s="32">
        <v>4.2030000000000003</v>
      </c>
      <c r="I30" s="68"/>
      <c r="J30" s="68">
        <f t="shared" si="4"/>
        <v>-1</v>
      </c>
      <c r="K30" s="32">
        <v>0</v>
      </c>
      <c r="L30" s="68">
        <f>+K30/$K$20</f>
        <v>0</v>
      </c>
      <c r="M30" s="32">
        <v>32.83737</v>
      </c>
      <c r="N30" s="68">
        <f>IF($M$20=0,0,M30/$M$20)</f>
        <v>5.0411537859272382E-2</v>
      </c>
      <c r="O30" s="68" t="str">
        <f>IF(K30=0,"",(M30-K30)/ABS(K30)+1)</f>
        <v/>
      </c>
      <c r="P30" s="32">
        <v>42.043500000000002</v>
      </c>
      <c r="Q30" s="68">
        <f>+P30/$P$20</f>
        <v>1.3486507718329955E-2</v>
      </c>
      <c r="R30" s="34">
        <f t="shared" si="9"/>
        <v>-0.21896678440186954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1.1683841499893022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0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4.2030000000000003</v>
      </c>
      <c r="I32" s="68" t="e">
        <f>+H32/$H$20</f>
        <v>#DIV/0!</v>
      </c>
      <c r="J32" s="68">
        <f>IF(H32&lt;=0,"",(E32-H32)/ABS(H32))</f>
        <v>-1</v>
      </c>
      <c r="K32" s="32">
        <f>SUM(K30:K31)</f>
        <v>0</v>
      </c>
      <c r="L32" s="68">
        <f>+K32/$K$20</f>
        <v>0</v>
      </c>
      <c r="M32" s="32">
        <f>SUM(M30:M31)</f>
        <v>32.83737</v>
      </c>
      <c r="N32" s="68">
        <f>IF($M$20=0,0,M32/$M$20)</f>
        <v>5.0411537859272382E-2</v>
      </c>
      <c r="O32" s="68" t="str">
        <f>IF(K32=0,"",(M32-K32)/ABS(K32)+1)</f>
        <v/>
      </c>
      <c r="P32" s="32">
        <f>+P30+P31</f>
        <v>42.043500000000002</v>
      </c>
      <c r="Q32" s="68">
        <f>+P32/$P$20</f>
        <v>1.3486507718329955E-2</v>
      </c>
      <c r="R32" s="34">
        <f>IF(P32&lt;=0,"",(M32-P32)/ABS(P32))</f>
        <v>-0.21896678440186954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2</v>
      </c>
      <c r="D34" s="68">
        <f>+C34/$C$20</f>
        <v>3.8461538461538464E-3</v>
      </c>
      <c r="E34" s="32">
        <f>E28+E32</f>
        <v>289.49400000000003</v>
      </c>
      <c r="F34" s="68">
        <f>IF($E$20=0,0,E34/$E$20)</f>
        <v>0</v>
      </c>
      <c r="G34" s="68">
        <f>IF(C34=0,"",(E34-C34)/ABS(C34)+1)</f>
        <v>144.74700000000001</v>
      </c>
      <c r="H34" s="32">
        <f>+H32+H28</f>
        <v>293.697</v>
      </c>
      <c r="I34" s="68" t="e">
        <f>+H34/$H$20</f>
        <v>#DIV/0!</v>
      </c>
      <c r="J34" s="68">
        <f>IF(H34&lt;=0,"",(E34-H34)/ABS(H34))</f>
        <v>-1.4310667116109373E-2</v>
      </c>
      <c r="K34" s="32">
        <f>K28+K32</f>
        <v>20</v>
      </c>
      <c r="L34" s="68">
        <f>+K34/$K$20</f>
        <v>3.852080123266564E-3</v>
      </c>
      <c r="M34" s="32">
        <f>M28+M32</f>
        <v>2927.6777500000003</v>
      </c>
      <c r="N34" s="68">
        <f>IF($M$20=0,0,M34/$M$20)</f>
        <v>4.4945358819501804</v>
      </c>
      <c r="O34" s="68">
        <f>IF(K34=0,"",(M34-K34)/ABS(K34)+1)</f>
        <v>146.38388750000001</v>
      </c>
      <c r="P34" s="32">
        <f>P28+P32</f>
        <v>3092.1557900000003</v>
      </c>
      <c r="Q34" s="68">
        <f>+P34/$P$20</f>
        <v>0.99188656815235798</v>
      </c>
      <c r="R34" s="34">
        <f>IF(P34&lt;=0,"",(M34-P34)/ABS(P34))</f>
        <v>-5.3192028853112847E-2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518</v>
      </c>
      <c r="D36" s="72">
        <f>+C36/$C$20</f>
        <v>0.99615384615384617</v>
      </c>
      <c r="E36" s="69">
        <f>E24-E34</f>
        <v>-637.16300000000001</v>
      </c>
      <c r="F36" s="72">
        <f>IF($E$20=0,0,E36/$E$20)</f>
        <v>0</v>
      </c>
      <c r="G36" s="72">
        <f>IF(C36=0,"",(E36-C36)/ABS(C36)+1)</f>
        <v>-1.2300444015444016</v>
      </c>
      <c r="H36" s="69">
        <f>+H24-H34</f>
        <v>-2000.1208000000001</v>
      </c>
      <c r="I36" s="72" t="e">
        <f>+H36/$H$20</f>
        <v>#DIV/0!</v>
      </c>
      <c r="J36" s="72" t="str">
        <f t="shared" si="4"/>
        <v/>
      </c>
      <c r="K36" s="69">
        <f>K24-K34</f>
        <v>5172</v>
      </c>
      <c r="L36" s="72">
        <f>+K36/$K$20</f>
        <v>0.99614791987673346</v>
      </c>
      <c r="M36" s="69">
        <f>M24-M34</f>
        <v>-6419.4604600000002</v>
      </c>
      <c r="N36" s="72">
        <f>IF($M$20=0,0,M36/$M$20)</f>
        <v>-9.855078954721165</v>
      </c>
      <c r="O36" s="72">
        <f>IF(K36=0,"",(M36-K36)/ABS(K36)+1)</f>
        <v>-1.241194984532096</v>
      </c>
      <c r="P36" s="69">
        <f>P24-P34</f>
        <v>-9839.7064399999999</v>
      </c>
      <c r="Q36" s="72">
        <f>+P36/$P$20</f>
        <v>-3.1563327708007414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0</v>
      </c>
      <c r="I38" s="68" t="e">
        <f>+H38/$H$20</f>
        <v>#DIV/0!</v>
      </c>
      <c r="J38" s="68" t="str">
        <f t="shared" si="4"/>
        <v/>
      </c>
      <c r="K38" s="32"/>
      <c r="L38" s="68">
        <f>+K38/$K$20</f>
        <v>0</v>
      </c>
      <c r="M38" s="32">
        <v>1.6E-2</v>
      </c>
      <c r="N38" s="68">
        <f>IF($M$20=0,0,M38/$M$20)</f>
        <v>2.4563008722938474E-5</v>
      </c>
      <c r="O38" s="68" t="str">
        <f>IF(K38=0,"",(M38-K38)/ABS(K38)+1)</f>
        <v/>
      </c>
      <c r="P38" s="32">
        <v>138.10300000000001</v>
      </c>
      <c r="Q38" s="68">
        <f>+P38/$P$20</f>
        <v>4.4300002983208388E-2</v>
      </c>
      <c r="R38" s="34">
        <f t="shared" si="9"/>
        <v>-0.99988414444291585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104.483</v>
      </c>
      <c r="I39" s="68"/>
      <c r="J39" s="68">
        <f t="shared" si="4"/>
        <v>-1</v>
      </c>
      <c r="K39" s="32">
        <v>0</v>
      </c>
      <c r="L39" s="68">
        <f>+K39/$K$20</f>
        <v>0</v>
      </c>
      <c r="M39" s="32">
        <v>2E-3</v>
      </c>
      <c r="N39" s="68">
        <f>IF($M$20=0,0,M39/$M$20)</f>
        <v>3.0703760903673092E-6</v>
      </c>
      <c r="O39" s="68" t="str">
        <f>IF(K39=0,"",(M39-K39)/ABS(K39)+1)</f>
        <v/>
      </c>
      <c r="P39" s="32">
        <v>3642.3780000000002</v>
      </c>
      <c r="Q39" s="68">
        <f>+P39/$P$20</f>
        <v>1.1683841499893022</v>
      </c>
      <c r="R39" s="34">
        <f t="shared" si="9"/>
        <v>-0.99999945090817044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518</v>
      </c>
      <c r="D41" s="68">
        <f>+C41/$C$20</f>
        <v>0.99615384615384617</v>
      </c>
      <c r="E41" s="32">
        <f>+E36-E39</f>
        <v>-637.16300000000001</v>
      </c>
      <c r="F41" s="68">
        <f>IF($E$20=0,0,E41/$E$20)</f>
        <v>0</v>
      </c>
      <c r="G41" s="68">
        <f>IF(C41=0,"",(E41-C41)/ABS(C41)+1)</f>
        <v>-1.2300444015444016</v>
      </c>
      <c r="H41" s="32">
        <f>+H36+H38-H39</f>
        <v>-2104.6038000000003</v>
      </c>
      <c r="I41" s="68" t="e">
        <f>+H41/$H$20</f>
        <v>#DIV/0!</v>
      </c>
      <c r="J41" s="68" t="str">
        <f t="shared" si="4"/>
        <v/>
      </c>
      <c r="K41" s="32">
        <f>K36+K38-K39</f>
        <v>5172</v>
      </c>
      <c r="L41" s="68">
        <f>+K41/$K$20</f>
        <v>0.99614791987673346</v>
      </c>
      <c r="M41" s="32">
        <f>M36+M38-M39</f>
        <v>-6419.446460000001</v>
      </c>
      <c r="N41" s="68">
        <f>IF($M$20=0,0,M41/$M$20)</f>
        <v>-9.8550574620885332</v>
      </c>
      <c r="O41" s="68">
        <f>IF(K41=0,"",(M41-K41)/ABS(K41)+1)</f>
        <v>-1.2411922776488789</v>
      </c>
      <c r="P41" s="32">
        <f>+P36-P39</f>
        <v>-13482.084440000001</v>
      </c>
      <c r="Q41" s="68">
        <f>+P41/$P$20</f>
        <v>-4.3247169207900438</v>
      </c>
      <c r="R41" s="34" t="str">
        <f t="shared" si="9"/>
        <v/>
      </c>
    </row>
    <row r="42" spans="1:21" x14ac:dyDescent="0.2">
      <c r="B42" s="3" t="s">
        <v>44</v>
      </c>
      <c r="C42" s="32">
        <v>194</v>
      </c>
      <c r="D42" s="68">
        <f>+C42/$C$20</f>
        <v>0.37307692307692308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 t="e">
        <f>+I41*33%</f>
        <v>#DIV/0!</v>
      </c>
      <c r="J42" s="68" t="str">
        <f t="shared" si="4"/>
        <v/>
      </c>
      <c r="K42" s="32">
        <v>1940</v>
      </c>
      <c r="L42" s="68">
        <f>+K42/$K$20</f>
        <v>0.37365177195685673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518</v>
      </c>
      <c r="D43" s="72">
        <f>+C43/$C$20</f>
        <v>0.99615384615384617</v>
      </c>
      <c r="E43" s="69">
        <f>E41-E42</f>
        <v>-637.16300000000001</v>
      </c>
      <c r="F43" s="72">
        <f>IF($E$20=0,0,E43/$E$20)</f>
        <v>0</v>
      </c>
      <c r="G43" s="72">
        <f>IF(C43=0,"",(E43-C43)/ABS(C43)+1)</f>
        <v>-1.2300444015444016</v>
      </c>
      <c r="H43" s="69">
        <f>+H41-H42</f>
        <v>-2104.6038000000003</v>
      </c>
      <c r="I43" s="72" t="e">
        <f>+H43/$H$20</f>
        <v>#DIV/0!</v>
      </c>
      <c r="J43" s="68" t="str">
        <f t="shared" si="4"/>
        <v/>
      </c>
      <c r="K43" s="69">
        <f>K41-K42</f>
        <v>3232</v>
      </c>
      <c r="L43" s="72">
        <f>+K43/$K$20</f>
        <v>0.62249614791987673</v>
      </c>
      <c r="M43" s="69">
        <f>+M41-M42</f>
        <v>-6419.446460000001</v>
      </c>
      <c r="N43" s="72">
        <f>IF($M$20=0,0,M43/$M$20)</f>
        <v>-9.8550574620885332</v>
      </c>
      <c r="O43" s="72">
        <f>IF(K43=0,"",(M43-K43)/ABS(K43)+1)</f>
        <v>-1.9862148700495053</v>
      </c>
      <c r="P43" s="69">
        <f>P41-P42</f>
        <v>-13482.084440000001</v>
      </c>
      <c r="Q43" s="72">
        <f>+P43/$P$20</f>
        <v>-4.3247169207900438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518</v>
      </c>
      <c r="D45" s="68">
        <f>+C45/$C$20</f>
        <v>0.99615384615384617</v>
      </c>
      <c r="E45" s="32">
        <v>-347.66899999999998</v>
      </c>
      <c r="F45" s="68">
        <f>IF($E$20=0,0,E45/$E$20)</f>
        <v>0</v>
      </c>
      <c r="G45" s="68">
        <f>IF(C45=0,"",(E45-C45)/ABS(C45)+1)</f>
        <v>-0.67117567567567571</v>
      </c>
      <c r="H45" s="32">
        <v>-1810.9068000000002</v>
      </c>
      <c r="I45" s="68" t="e">
        <f>+H45/$H$20</f>
        <v>#DIV/0!</v>
      </c>
      <c r="J45" s="68" t="str">
        <f t="shared" si="4"/>
        <v/>
      </c>
      <c r="K45" s="32">
        <v>5172</v>
      </c>
      <c r="L45" s="68">
        <f>+K45/$K$20</f>
        <v>0.99614791987673346</v>
      </c>
      <c r="M45" s="32">
        <v>-3491.7827100000004</v>
      </c>
      <c r="N45" s="68">
        <f>IF($M$20=0,0,M45/$M$20)</f>
        <v>-5.3605430727709846</v>
      </c>
      <c r="O45" s="68">
        <f>IF(K45=0,"",(M45-K45)/ABS(K45)+1)</f>
        <v>-0.67513200116009275</v>
      </c>
      <c r="P45" s="32">
        <v>-6902.8126499999998</v>
      </c>
      <c r="Q45" s="68">
        <f>+P45/$P$20</f>
        <v>-2.2142503854914706</v>
      </c>
      <c r="R45" s="34" t="str">
        <f t="shared" si="9"/>
        <v/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 t="e">
        <f>+H46/$H$20</f>
        <v>#DIV/0!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9C88C-69B3-4F61-9A76-D0BF798939F8}">
  <sheetPr>
    <tabColor theme="2" tint="-9.9978637043366805E-2"/>
  </sheetPr>
  <dimension ref="A3:AJ48"/>
  <sheetViews>
    <sheetView showGridLines="0" zoomScale="91" zoomScaleNormal="91" workbookViewId="0">
      <selection activeCell="A15" sqref="A15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91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92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93</v>
      </c>
      <c r="V5" s="19" t="s">
        <v>93</v>
      </c>
      <c r="AI5" s="83">
        <f>+Paramet!G3-Paramet!G4</f>
        <v>350.26999999999953</v>
      </c>
      <c r="AJ5" s="84">
        <f>+AI5/Paramet!G4</f>
        <v>9.1161543866954561E-2</v>
      </c>
    </row>
    <row r="6" spans="1:36" ht="13.5" thickBot="1" x14ac:dyDescent="0.25">
      <c r="B6" s="42" t="str">
        <f>+'COLOMB$ '!B6</f>
        <v>OCTUBRE de 2025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OCTUBRE de 2025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2025</v>
      </c>
      <c r="D7" s="22"/>
      <c r="E7" s="22" t="str">
        <f>+'COLOMB$ '!F7:F7</f>
        <v>Real 2025</v>
      </c>
      <c r="F7" s="22"/>
      <c r="G7" s="22" t="s">
        <v>24</v>
      </c>
      <c r="H7" s="22" t="str">
        <f>+'COLOMB$ '!I7:I7</f>
        <v>Real 2024</v>
      </c>
      <c r="I7" s="22"/>
      <c r="J7" s="22" t="s">
        <v>25</v>
      </c>
      <c r="K7" s="22" t="str">
        <f>+C7</f>
        <v>Ppto 2025</v>
      </c>
      <c r="L7" s="22"/>
      <c r="M7" s="22" t="str">
        <f>+E7</f>
        <v>Real 2025</v>
      </c>
      <c r="N7" s="22"/>
      <c r="O7" s="22" t="s">
        <v>24</v>
      </c>
      <c r="P7" s="22" t="str">
        <f>+H7</f>
        <v>Real 2024</v>
      </c>
      <c r="Q7" s="22"/>
      <c r="R7" s="22" t="s">
        <v>25</v>
      </c>
      <c r="T7" s="10"/>
      <c r="W7" s="15" t="str">
        <f>+C7</f>
        <v>Ppto 2025</v>
      </c>
      <c r="X7" s="15" t="str">
        <f>+M7</f>
        <v>Real 2025</v>
      </c>
      <c r="Y7" s="15" t="str">
        <f>+H7</f>
        <v>Real 2024</v>
      </c>
      <c r="Z7" s="15" t="str">
        <f>+W7</f>
        <v>Ppto 2025</v>
      </c>
      <c r="AA7" s="15" t="str">
        <f>+X7</f>
        <v>Real 2025</v>
      </c>
      <c r="AB7" s="15" t="s">
        <v>26</v>
      </c>
      <c r="AC7" s="15" t="s">
        <v>24</v>
      </c>
      <c r="AD7" s="15" t="str">
        <f>+Y7</f>
        <v>Real 2024</v>
      </c>
      <c r="AE7" s="15" t="s">
        <v>25</v>
      </c>
      <c r="AI7" s="13" t="s">
        <v>94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95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96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84962.516870243737</v>
      </c>
      <c r="D10" s="33">
        <f t="shared" ref="D10:D15" si="0">+C10/$C$20</f>
        <v>0.37299075713429347</v>
      </c>
      <c r="E10" s="35">
        <f>+'COL. CONS.$'!E10/Paramet!$G$3*1000</f>
        <v>91353.618186458436</v>
      </c>
      <c r="F10" s="33">
        <f t="shared" ref="F10:F18" si="1">+E10/$E$20</f>
        <v>0.41762751301072931</v>
      </c>
      <c r="G10" s="33">
        <f t="shared" ref="G10:G18" si="2">IF(C10=0,"",(E10-C10)/ABS(C10)+1)</f>
        <v>1.0752225987605253</v>
      </c>
      <c r="H10" s="35">
        <f>+'COL. CONS.$'!H10/Paramet!$G$4*1000</f>
        <v>106531.35569840981</v>
      </c>
      <c r="I10" s="33">
        <f t="shared" ref="I10:I18" si="3">+H10/$H$20</f>
        <v>0.42776116688939975</v>
      </c>
      <c r="J10" s="34">
        <f t="shared" ref="J10:J18" si="4">IF(H10=0,"",(E10-H10)/ABS(H10))</f>
        <v>-0.14247202067830186</v>
      </c>
      <c r="K10" s="35">
        <f>+'COL. CONS.$'!K10/Paramet!$G$5*1000</f>
        <v>865549.09099157352</v>
      </c>
      <c r="L10" s="33">
        <f t="shared" ref="L10:L18" si="5">+K10/$K$20</f>
        <v>0.38209060944400597</v>
      </c>
      <c r="M10" s="35">
        <f>+'COL. CONS.$'!M10/Paramet!$G$3*1000</f>
        <v>944585.95324586122</v>
      </c>
      <c r="N10" s="33">
        <f t="shared" ref="N10:N18" si="6">+M10/$M$20</f>
        <v>0.42268313290848164</v>
      </c>
      <c r="O10" s="33">
        <f t="shared" ref="O10:O18" si="7">IF(K10=0,"",(M10-K10)/ABS(K10)+1)</f>
        <v>1.0913141300440199</v>
      </c>
      <c r="P10" s="35">
        <f>+'COL. CONS.$'!P10/Paramet!$G$4*1000</f>
        <v>1015024.4559248367</v>
      </c>
      <c r="Q10" s="33">
        <f t="shared" ref="Q10:Q18" si="8">+P10/$P$20</f>
        <v>0.51980337811784416</v>
      </c>
      <c r="R10" s="34">
        <f t="shared" ref="R10:R18" si="9">IF(P10=0,"",(M10-P10)/ABS(P10))</f>
        <v>-6.9395867525965785E-2</v>
      </c>
      <c r="T10" s="37"/>
      <c r="U10" s="36" t="s">
        <v>97</v>
      </c>
      <c r="V10" s="19" t="s">
        <v>31</v>
      </c>
      <c r="W10" s="35">
        <f>+'COL. CONS.$'!U10/Paramet!G5*1000</f>
        <v>-11697.231578827987</v>
      </c>
      <c r="X10" s="35">
        <f>'COLOMB$ '!V10/Paramet!$G$3*1000</f>
        <v>-12300.092783185493</v>
      </c>
      <c r="Y10" s="35">
        <f>'COLOMB$ '!W10/Paramet!$G$4*1000</f>
        <v>37528.823881529293</v>
      </c>
      <c r="Z10" s="35">
        <f>'COLOMB$ '!X10/Paramet!$G$5*1000</f>
        <v>28383.518764247561</v>
      </c>
      <c r="AA10" s="35">
        <f>+'COL. CONS.$'!Y10/Paramet!G3*1000</f>
        <v>29846.371080268193</v>
      </c>
      <c r="AB10" s="36">
        <f>+AA10-Z10</f>
        <v>1462.8523160206314</v>
      </c>
      <c r="AC10" s="37">
        <f>IF(Z10=0,"",(AA10-Z10)/ABS(Z10)+1)</f>
        <v>1.0515387936277749</v>
      </c>
      <c r="AD10" s="35">
        <f>'COLOMB$ '!AB10/Paramet!$G$4*1000</f>
        <v>9342.3210056476582</v>
      </c>
      <c r="AE10" s="34">
        <f>IF(Y10=0,"",(AA10-AD10)/ABS(AD10))</f>
        <v>2.1947490417237154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13774.511471765734</v>
      </c>
      <c r="D11" s="33">
        <f t="shared" si="0"/>
        <v>6.0470965930251329E-2</v>
      </c>
      <c r="E11" s="35">
        <f>+'COL. CONS.$'!E11/Paramet!$G$3*1000</f>
        <v>12610.218314780672</v>
      </c>
      <c r="F11" s="33">
        <f t="shared" si="1"/>
        <v>5.7648226943515291E-2</v>
      </c>
      <c r="G11" s="33">
        <f t="shared" si="2"/>
        <v>0.91547481307256751</v>
      </c>
      <c r="H11" s="35">
        <f>+'COL. CONS.$'!H11/Paramet!$G$4*1000</f>
        <v>6822.1734377846597</v>
      </c>
      <c r="I11" s="33">
        <f t="shared" si="3"/>
        <v>2.7393445350777552E-2</v>
      </c>
      <c r="J11" s="34">
        <f t="shared" si="4"/>
        <v>0.84841655372448921</v>
      </c>
      <c r="K11" s="35">
        <f>+'COL. CONS.$'!K11/Paramet!$G$5*1000</f>
        <v>148074.5806539417</v>
      </c>
      <c r="L11" s="33">
        <f t="shared" si="5"/>
        <v>6.5366490883162404E-2</v>
      </c>
      <c r="M11" s="35">
        <f>+'COL. CONS.$'!M11/Paramet!$G$3*1000</f>
        <v>99162.454532661359</v>
      </c>
      <c r="N11" s="33">
        <f t="shared" si="6"/>
        <v>4.4373195265852657E-2</v>
      </c>
      <c r="O11" s="33">
        <f t="shared" si="7"/>
        <v>0.66967911774411415</v>
      </c>
      <c r="P11" s="35">
        <f>+'COL. CONS.$'!P11/Paramet!$G$4*1000</f>
        <v>130081.45095385575</v>
      </c>
      <c r="Q11" s="33">
        <f t="shared" si="8"/>
        <v>6.6615909835074899E-2</v>
      </c>
      <c r="R11" s="34">
        <f t="shared" si="9"/>
        <v>-0.23768951064485278</v>
      </c>
      <c r="T11" s="37">
        <f>+E22/C22</f>
        <v>0.81004301126568146</v>
      </c>
      <c r="U11" s="36" t="s">
        <v>98</v>
      </c>
      <c r="V11" s="19" t="s">
        <v>32</v>
      </c>
      <c r="W11" s="35">
        <f>'COLOMB$ '!U11/Paramet!$G$5*1000</f>
        <v>287744.65765937424</v>
      </c>
      <c r="X11" s="35">
        <f>'COLOMB$ '!V11/Paramet!$G$3*1000</f>
        <v>302574.6701879754</v>
      </c>
      <c r="Y11" s="35">
        <f>'COLOMB$ '!W11/Paramet!$G$4*1000</f>
        <v>329248.14019207243</v>
      </c>
      <c r="Z11" s="35">
        <f>'COLOMB$ '!X11/Paramet!$G$5*1000</f>
        <v>2630847.0607895842</v>
      </c>
      <c r="AA11" s="35">
        <f>'COLOMB$ '!Y11/Paramet!$G$3*1000</f>
        <v>2766437.7445218563</v>
      </c>
      <c r="AB11" s="36">
        <f>+AA11-Z11</f>
        <v>135590.68373227213</v>
      </c>
      <c r="AC11" s="37">
        <f>IF(Z11=0,"",(AA11-Z11)/ABS(Z11)+1)</f>
        <v>1.0515387936277747</v>
      </c>
      <c r="AD11" s="35">
        <f>'COLOMB$ '!AB11/Paramet!$G$4*1000</f>
        <v>2945882.0954402303</v>
      </c>
      <c r="AE11" s="34">
        <f>IF(AD11=0,"",(AA11-AD11)/ABS(AD11))</f>
        <v>-6.091362284869653E-2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13457.634423236141</v>
      </c>
      <c r="D12" s="33">
        <f t="shared" si="0"/>
        <v>5.9079855890161077E-2</v>
      </c>
      <c r="E12" s="35">
        <f>+'COL. CONS.$'!E12/Paramet!$G$3*1000</f>
        <v>9910.878291835319</v>
      </c>
      <c r="F12" s="33">
        <f t="shared" si="1"/>
        <v>4.5308062613602658E-2</v>
      </c>
      <c r="G12" s="33">
        <f t="shared" si="2"/>
        <v>0.73645025419349008</v>
      </c>
      <c r="H12" s="35">
        <f>+'COL. CONS.$'!H12/Paramet!$G$4*1000</f>
        <v>12151.497540535616</v>
      </c>
      <c r="I12" s="33">
        <f t="shared" si="3"/>
        <v>4.8792571288668728E-2</v>
      </c>
      <c r="J12" s="34">
        <f t="shared" si="4"/>
        <v>-0.18439037996970492</v>
      </c>
      <c r="K12" s="35">
        <f>+'COL. CONS.$'!K12/Paramet!$G$5*1000</f>
        <v>156676.07997913193</v>
      </c>
      <c r="L12" s="33">
        <f t="shared" si="5"/>
        <v>6.9163562769089831E-2</v>
      </c>
      <c r="M12" s="35">
        <f>+'COL. CONS.$'!M12/Paramet!$G$3*1000</f>
        <v>136610.69916542838</v>
      </c>
      <c r="N12" s="33">
        <f t="shared" si="6"/>
        <v>6.1130528263351955E-2</v>
      </c>
      <c r="O12" s="33">
        <f t="shared" si="7"/>
        <v>0.87193079622380065</v>
      </c>
      <c r="P12" s="35">
        <f>+'COL. CONS.$'!P12/Paramet!$G$4*1000</f>
        <v>168590.62644770058</v>
      </c>
      <c r="Q12" s="33">
        <f t="shared" si="8"/>
        <v>8.6336813497435258E-2</v>
      </c>
      <c r="R12" s="34">
        <f t="shared" si="9"/>
        <v>-0.18968983007007728</v>
      </c>
      <c r="T12" s="37">
        <f>+E24/C24</f>
        <v>0.98622465440755713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23666.882152132741</v>
      </c>
      <c r="D13" s="33">
        <f t="shared" si="0"/>
        <v>0.10389909124765744</v>
      </c>
      <c r="E13" s="35">
        <f>+'COL. CONS.$'!E13/Paramet!$G$3*1000</f>
        <v>23417.841085539418</v>
      </c>
      <c r="F13" s="33">
        <f t="shared" si="1"/>
        <v>0.10705580059974031</v>
      </c>
      <c r="G13" s="33">
        <f t="shared" si="2"/>
        <v>0.98947723384126118</v>
      </c>
      <c r="H13" s="35">
        <f>+'COL. CONS.$'!H13/Paramet!$G$4*1000</f>
        <v>19102.839705384795</v>
      </c>
      <c r="I13" s="33">
        <f t="shared" si="3"/>
        <v>7.6704674879102583E-2</v>
      </c>
      <c r="J13" s="34">
        <f t="shared" si="4"/>
        <v>0.22588271936021589</v>
      </c>
      <c r="K13" s="35">
        <f>+'COL. CONS.$'!K13/Paramet!$G$5*1000</f>
        <v>254332.73224229639</v>
      </c>
      <c r="L13" s="33">
        <f t="shared" si="5"/>
        <v>0.11227341080410687</v>
      </c>
      <c r="M13" s="35">
        <f>+'COL. CONS.$'!M13/Paramet!$G$3*1000</f>
        <v>213530.73389353071</v>
      </c>
      <c r="N13" s="33">
        <f t="shared" si="6"/>
        <v>9.5550689976090147E-2</v>
      </c>
      <c r="O13" s="33">
        <f t="shared" si="7"/>
        <v>0.83957236652538048</v>
      </c>
      <c r="P13" s="35">
        <f>+'COL. CONS.$'!P13/Paramet!$G$4*1000</f>
        <v>248458.73335762433</v>
      </c>
      <c r="Q13" s="33">
        <f t="shared" si="8"/>
        <v>0.12723800709264629</v>
      </c>
      <c r="R13" s="34">
        <f t="shared" si="9"/>
        <v>-0.14057867474442634</v>
      </c>
      <c r="T13" s="37">
        <f>+E26/C26</f>
        <v>1.0909175147818153</v>
      </c>
      <c r="U13" s="36" t="s">
        <v>99</v>
      </c>
      <c r="V13" s="19" t="s">
        <v>33</v>
      </c>
      <c r="W13" s="35">
        <f>'COLOMB$ '!U13/Paramet!$G$5*1000</f>
        <v>133560.94722874349</v>
      </c>
      <c r="X13" s="35">
        <f>'COLOMB$ '!V13/Paramet!$G$3*1000</f>
        <v>140444.51732469583</v>
      </c>
      <c r="Y13" s="35">
        <f>'COLOMB$ '!W13/Paramet!$G$4*1000</f>
        <v>45302.411055877987</v>
      </c>
      <c r="Z13" s="35">
        <f>'COLOMB$ '!X13/Paramet!$G$5*1000</f>
        <v>563245.62076826242</v>
      </c>
      <c r="AA13" s="35">
        <f>'COLOMB$ '!Y13/Paramet!$G$3*1000</f>
        <v>592274.62057878589</v>
      </c>
      <c r="AB13" s="36">
        <f>+Z13-AA13</f>
        <v>-29028.99981052347</v>
      </c>
      <c r="AC13" s="37">
        <f>IF(Z13=0,"",(AA13-Z13)/ABS(Z13)+1)</f>
        <v>1.0515387936277749</v>
      </c>
      <c r="AD13" s="35">
        <f>'COLOMB$ '!AB13/Paramet!$G$4*1000</f>
        <v>468378.85303073679</v>
      </c>
      <c r="AE13" s="34">
        <f>IF(AD13=0,"",(AA13-AD13)/ABS(AD13))</f>
        <v>0.26452041279480776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2165.0929422839195</v>
      </c>
      <c r="X14" s="35">
        <f>'COLOMB$ '!V14/Paramet!$G$3*1000</f>
        <v>2276.6792206212422</v>
      </c>
      <c r="Y14" s="35">
        <f>'COLOMB$ '!W14/Paramet!$G$4*1000</f>
        <v>2893.2394659448764</v>
      </c>
      <c r="Z14" s="35">
        <f>'COLOMB$ '!X14/Paramet!$G$5*1000</f>
        <v>23082.379186372247</v>
      </c>
      <c r="AA14" s="35">
        <f>'COLOMB$ '!Y14/Paramet!$G$3*1000</f>
        <v>24272.017163696732</v>
      </c>
      <c r="AB14" s="36">
        <f>+Z14-AA14</f>
        <v>-1189.6379773244844</v>
      </c>
      <c r="AC14" s="37">
        <f>IF(Z14=0,"",(AA14-Z14)/ABS(Z14)+1)</f>
        <v>1.0515387936277749</v>
      </c>
      <c r="AD14" s="35">
        <f>'COLOMB$ '!AB14/Paramet!$G$4*1000</f>
        <v>32022.550295395988</v>
      </c>
      <c r="AE14" s="34">
        <f>IF(AD14=0,"",(AA14-AD14)/ABS(AD14))</f>
        <v>-0.2420336000788039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33052.975400632844</v>
      </c>
      <c r="D15" s="33">
        <f t="shared" si="0"/>
        <v>0.14510462700924287</v>
      </c>
      <c r="E15" s="35">
        <f>+'COL. CONS.$'!E15/Paramet!$G$3*1000</f>
        <v>29184.710094285849</v>
      </c>
      <c r="F15" s="33">
        <f t="shared" si="1"/>
        <v>0.13341932302821949</v>
      </c>
      <c r="G15" s="33">
        <f t="shared" si="2"/>
        <v>0.88296771290753651</v>
      </c>
      <c r="H15" s="35">
        <f>+'COL. CONS.$'!H15/Paramet!$G$4*1000</f>
        <v>32096.403716523961</v>
      </c>
      <c r="I15" s="33">
        <f t="shared" si="3"/>
        <v>0.12887844162616338</v>
      </c>
      <c r="J15" s="34">
        <f t="shared" si="4"/>
        <v>-9.0717129805390179E-2</v>
      </c>
      <c r="K15" s="35">
        <f>+'COL. CONS.$'!K15/Paramet!$G$5*1000</f>
        <v>306709.7637598812</v>
      </c>
      <c r="L15" s="33">
        <f t="shared" si="5"/>
        <v>0.13539488606381195</v>
      </c>
      <c r="M15" s="35">
        <f>+'COL. CONS.$'!M15/Paramet!$G$3*1000</f>
        <v>282854.2996300598</v>
      </c>
      <c r="N15" s="33">
        <f t="shared" si="6"/>
        <v>0.12657158526805767</v>
      </c>
      <c r="O15" s="33">
        <f t="shared" si="7"/>
        <v>0.92222137359638312</v>
      </c>
      <c r="P15" s="35">
        <f>+'COL. CONS.$'!P15/Paramet!$G$4*1000</f>
        <v>347461.63183509873</v>
      </c>
      <c r="Q15" s="33">
        <f t="shared" si="8"/>
        <v>0.17793830379156639</v>
      </c>
      <c r="R15" s="34">
        <f t="shared" si="9"/>
        <v>-0.18594091055124273</v>
      </c>
      <c r="T15" s="37"/>
      <c r="U15" s="89"/>
      <c r="V15" s="19" t="s">
        <v>35</v>
      </c>
      <c r="W15" s="35">
        <f>'COLOMB$ '!U15/Paramet!$G$5*1000</f>
        <v>98912.257266963818</v>
      </c>
      <c r="X15" s="35">
        <f>'COLOMB$ '!V15/Paramet!$G$3*1000</f>
        <v>104010.07568150324</v>
      </c>
      <c r="Y15" s="35">
        <f>'COLOMB$ '!W15/Paramet!$G$4*1000</f>
        <v>109983.17596231423</v>
      </c>
      <c r="Z15" s="35">
        <f>'COLOMB$ '!X15/Paramet!$G$5*1000</f>
        <v>1069575.2686196456</v>
      </c>
      <c r="AA15" s="35">
        <f>'COLOMB$ '!Y15/Paramet!$G$3*1000</f>
        <v>1124699.8876584056</v>
      </c>
      <c r="AB15" s="36">
        <f>+Z15-AA15</f>
        <v>-55124.619038759964</v>
      </c>
      <c r="AC15" s="37">
        <f>IF(Z15=0,"",(AA15-Z15)/ABS(Z15)+1)</f>
        <v>1.0515387936277751</v>
      </c>
      <c r="AD15" s="35">
        <f>'COLOMB$ '!AB15/Paramet!$G$4*1000</f>
        <v>1160614.9569268406</v>
      </c>
      <c r="AE15" s="34">
        <f>IF(AD15=0,"",(AA15-AD15)/ABS(AD15))</f>
        <v>-3.0944861647771195E-2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48139.6199085888</v>
      </c>
      <c r="X16" s="35">
        <f>'COLOMB$ '!V16/Paramet!$G$3*1000</f>
        <v>50620.677844377075</v>
      </c>
      <c r="Y16" s="35">
        <f>'COLOMB$ '!W16/Paramet!$G$4*1000</f>
        <v>73240.777758113632</v>
      </c>
      <c r="Z16" s="35">
        <f>'COLOMB$ '!X16/Paramet!$G$5*1000</f>
        <v>512360.65808580862</v>
      </c>
      <c r="AA16" s="35">
        <f>'COLOMB$ '!Y16/Paramet!$G$3*1000</f>
        <v>538767.10830588394</v>
      </c>
      <c r="AB16" s="36">
        <f>+Z16-AA16</f>
        <v>-26406.45022007532</v>
      </c>
      <c r="AC16" s="37">
        <f>IF(Z16=0,"",(AA16-Z16)/ABS(Z16)+1)</f>
        <v>1.0515387936277747</v>
      </c>
      <c r="AD16" s="35">
        <f>'COLOMB$ '!AB16/Paramet!$G$4*1000</f>
        <v>648052.98624782031</v>
      </c>
      <c r="AE16" s="34">
        <f>IF(AD16=0,"",(AA16-AD16)/ABS(AD16))</f>
        <v>-0.16863725692353285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5540.0179193177055</v>
      </c>
      <c r="D17" s="33"/>
      <c r="E17" s="35">
        <f>+'COL. CONS.$'!E17/Paramet!$G$3*1000</f>
        <v>5000.2420949441521</v>
      </c>
      <c r="F17" s="33">
        <f t="shared" si="1"/>
        <v>2.2858850169468491E-2</v>
      </c>
      <c r="G17" s="33">
        <f t="shared" si="2"/>
        <v>0.90256785587436683</v>
      </c>
      <c r="H17" s="35">
        <f>+'COL. CONS.$'!H17/Paramet!$G$4*1000</f>
        <v>4216.0182703068476</v>
      </c>
      <c r="I17" s="33">
        <f t="shared" si="3"/>
        <v>1.6928808265981785E-2</v>
      </c>
      <c r="J17" s="34">
        <f t="shared" si="4"/>
        <v>0.18601053751605956</v>
      </c>
      <c r="K17" s="35">
        <f>+'COL. CONS.$'!K17/Paramet!$G$5*1000</f>
        <v>40212.309890782897</v>
      </c>
      <c r="L17" s="33">
        <f t="shared" si="5"/>
        <v>1.7751443740433723E-2</v>
      </c>
      <c r="M17" s="35">
        <f>+'COL. CONS.$'!M17/Paramet!$G$3*1000</f>
        <v>43842.384981049821</v>
      </c>
      <c r="N17" s="33">
        <f t="shared" si="6"/>
        <v>1.9618581638114252E-2</v>
      </c>
      <c r="O17" s="33">
        <f t="shared" si="7"/>
        <v>1.0902727324077193</v>
      </c>
      <c r="P17" s="35">
        <f>+'COL. CONS.$'!P17/Paramet!$G$4*1000</f>
        <v>43091.565208338747</v>
      </c>
      <c r="Q17" s="33">
        <f t="shared" si="8"/>
        <v>2.2067587665433076E-2</v>
      </c>
      <c r="R17" s="34">
        <f t="shared" si="9"/>
        <v>1.7423822251083649E-2</v>
      </c>
      <c r="V17" s="19" t="s">
        <v>37</v>
      </c>
      <c r="W17" s="35">
        <f>'COLOMB$ '!U17/Paramet!$G$5*1000</f>
        <v>282777.91734658001</v>
      </c>
      <c r="X17" s="35">
        <f>'COLOMB$ '!V17/Paramet!$G$3*1000</f>
        <v>297351.95007119735</v>
      </c>
      <c r="Y17" s="35">
        <f>'COLOMB$ '!W17/Paramet!$G$4*1000</f>
        <v>231419.60424225073</v>
      </c>
      <c r="Z17" s="35">
        <f>'COLOMB$ '!X17/Paramet!$G$5*1000</f>
        <v>2168263.9266600888</v>
      </c>
      <c r="AA17" s="35">
        <f>'COLOMB$ '!Y17/Paramet!$G$3*1000</f>
        <v>2280013.6337067718</v>
      </c>
      <c r="AB17" s="36">
        <f>+AA17-Z17</f>
        <v>111749.70704668295</v>
      </c>
      <c r="AC17" s="37">
        <f>IF(Z17=0,"",(AA17-Z17)/ABS(Z17)+1)</f>
        <v>1.0515387936277747</v>
      </c>
      <c r="AD17" s="35">
        <f>'COLOMB$ '!AB17/Paramet!$G$4*1000</f>
        <v>2309069.3465007935</v>
      </c>
      <c r="AE17" s="34">
        <f>IF(AD17=0,"",(AA17-AD17)/ABS(AD17))</f>
        <v>-1.2583300210560271E-2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53332.652852914158</v>
      </c>
      <c r="D18" s="33"/>
      <c r="E18" s="35">
        <f>+'COL. CONS.$'!E18/Paramet!$G$3*1000</f>
        <v>47266.744502775153</v>
      </c>
      <c r="F18" s="33">
        <f t="shared" si="1"/>
        <v>0.21608222363472451</v>
      </c>
      <c r="G18" s="33">
        <f t="shared" si="2"/>
        <v>0.88626276726064723</v>
      </c>
      <c r="H18" s="35">
        <f>+'COL. CONS.$'!H18/Paramet!$G$4*1000</f>
        <v>53676.604637847122</v>
      </c>
      <c r="I18" s="33">
        <f t="shared" si="3"/>
        <v>0.21553060020702605</v>
      </c>
      <c r="J18" s="41">
        <f t="shared" si="4"/>
        <v>-0.11941627415368235</v>
      </c>
      <c r="K18" s="35">
        <f>+'COL. CONS.$'!K18/Paramet!$G$5*1000</f>
        <v>493743.43619929004</v>
      </c>
      <c r="L18" s="33">
        <f t="shared" si="5"/>
        <v>0.21795959629538914</v>
      </c>
      <c r="M18" s="35">
        <f>+'COL. CONS.$'!M18/Paramet!$G$3*1000</f>
        <v>514151.22418945906</v>
      </c>
      <c r="N18" s="33">
        <f t="shared" si="6"/>
        <v>0.23007228668005167</v>
      </c>
      <c r="O18" s="33">
        <f t="shared" si="7"/>
        <v>1.0413327783094453</v>
      </c>
      <c r="P18" s="35">
        <f>+'COL. CONS.$'!P18/Paramet!$G$4*1000</f>
        <v>470063.97444239119</v>
      </c>
      <c r="Q18" s="33">
        <f t="shared" si="8"/>
        <v>0.24072409331657377</v>
      </c>
      <c r="R18" s="41">
        <f t="shared" si="9"/>
        <v>9.3789892746760556E-2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14447.11552976082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1.2076334433499076</v>
      </c>
      <c r="U19" s="36" t="s">
        <v>100</v>
      </c>
      <c r="V19" s="19" t="s">
        <v>38</v>
      </c>
      <c r="W19" s="35">
        <f>+W11-W17</f>
        <v>4966.7403127942234</v>
      </c>
      <c r="X19" s="35">
        <f>+X11-X17</f>
        <v>5222.720116778044</v>
      </c>
      <c r="Y19" s="35">
        <f>+Y11-Y17</f>
        <v>97828.5359498217</v>
      </c>
      <c r="Z19" s="35">
        <f>+Z11-Z17</f>
        <v>462583.13412949536</v>
      </c>
      <c r="AA19" s="35">
        <f>+AA11-AA17</f>
        <v>486424.11081508454</v>
      </c>
      <c r="AB19" s="36">
        <f>+AA19-Z19</f>
        <v>23840.976685589179</v>
      </c>
      <c r="AC19" s="37">
        <f>IF(Z19=0,"",(AA19-Z19)/ABS(Z19)+1)</f>
        <v>1.0515387936277745</v>
      </c>
      <c r="AD19" s="35">
        <f>+AD11-AD17</f>
        <v>636812.74893943686</v>
      </c>
      <c r="AE19" s="34">
        <f>IF(AD19=0,"",(AA19-AD19)/ABS(AD19))</f>
        <v>-0.23615833441590664</v>
      </c>
      <c r="AF19" s="83"/>
    </row>
    <row r="20" spans="2:33" x14ac:dyDescent="0.2">
      <c r="B20" s="42" t="s">
        <v>39</v>
      </c>
      <c r="C20" s="43">
        <f>SUM(C10:C19)</f>
        <v>227787.19109024302</v>
      </c>
      <c r="D20" s="44">
        <f>+C20/$C$20</f>
        <v>1</v>
      </c>
      <c r="E20" s="43">
        <f>SUM(E10:E19)</f>
        <v>218744.25257061899</v>
      </c>
      <c r="F20" s="44">
        <f>+E20/$E$20</f>
        <v>1</v>
      </c>
      <c r="G20" s="44">
        <f>IF(C20=0,"",(E20-C20)/ABS(C20)+1)</f>
        <v>0.96030093493693647</v>
      </c>
      <c r="H20" s="43">
        <f>+'COL. CONS.$'!H20/Paramet!$G$4*1000</f>
        <v>249044.00853655362</v>
      </c>
      <c r="I20" s="44">
        <f>+H20/$H$20</f>
        <v>1</v>
      </c>
      <c r="J20" s="45">
        <f>IF(H20=0,"",(E20-H20)/ABS(H20))</f>
        <v>-0.12166426385434348</v>
      </c>
      <c r="K20" s="43">
        <f>SUM(K10:K19)</f>
        <v>2265297.9937168979</v>
      </c>
      <c r="L20" s="44">
        <f>+K20/$K$20</f>
        <v>1</v>
      </c>
      <c r="M20" s="43">
        <f>SUM(M10:M19)</f>
        <v>2234737.7496380503</v>
      </c>
      <c r="N20" s="44">
        <f>+M20/$M$20</f>
        <v>1</v>
      </c>
      <c r="O20" s="44">
        <f>IF(K20=0,"",(M20-K20)/ABS(K20)+1)</f>
        <v>0.98650939339388888</v>
      </c>
      <c r="P20" s="43">
        <f>SUM(P10:P17)</f>
        <v>1952708.4637274547</v>
      </c>
      <c r="Q20" s="44">
        <f>+P20/$P$20</f>
        <v>1</v>
      </c>
      <c r="R20" s="45">
        <f>IF(P20=0,"",(M20-P20)/ABS(P20))</f>
        <v>0.1444297964337391</v>
      </c>
      <c r="T20" s="37">
        <f>+E28/C28</f>
        <v>1.15512174912434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1.1634871159972882</v>
      </c>
      <c r="U21" s="36"/>
      <c r="V21" s="19" t="s">
        <v>40</v>
      </c>
      <c r="W21" s="35">
        <f>+'COL. CONS.$'!U21/Paramet!G5*1000</f>
        <v>-6730.4912660337668</v>
      </c>
      <c r="X21" s="35">
        <f>+X10+X19</f>
        <v>-7077.3726664074493</v>
      </c>
      <c r="Y21" s="35">
        <f>'COLOMB$ '!W21/Paramet!$G$4*1000</f>
        <v>135357.35983135097</v>
      </c>
      <c r="Z21" s="35">
        <f>'COLOMB$ '!X21/Paramet!$G$5*1000</f>
        <v>639368.31780250196</v>
      </c>
      <c r="AA21" s="35">
        <f>+'COL. CONS.$'!Y21/Paramet!G3*1000</f>
        <v>516270.481895353</v>
      </c>
      <c r="AB21" s="36">
        <f>+AA21-Z21</f>
        <v>-123097.83590714895</v>
      </c>
      <c r="AC21" s="37">
        <f>IF(Z21=0,"",(AA21-Z21)/ABS(Z21)+1)</f>
        <v>0.80746960323239958</v>
      </c>
      <c r="AD21" s="35">
        <f>'COLOMB$ '!AB21/Paramet!$G$4*1000</f>
        <v>646155.06994508463</v>
      </c>
      <c r="AE21" s="34">
        <f>IF(AD21=0,"",(AA21-AD21)/ABS(AD21))</f>
        <v>-0.20101148174968317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33517.063046510841</v>
      </c>
      <c r="D22" s="33">
        <f>+C22/$C$20</f>
        <v>0.14714200076874517</v>
      </c>
      <c r="E22" s="35">
        <f>+'COL. CONS.$'!E22/Paramet!$G$3*1000</f>
        <v>27150.262678977335</v>
      </c>
      <c r="F22" s="33">
        <f>+E22/$E$20</f>
        <v>0.12411874762383616</v>
      </c>
      <c r="G22" s="33">
        <f>IF(C22=0,"",(E22-C22)/ABS(C22)+1)</f>
        <v>0.81004301126568135</v>
      </c>
      <c r="H22" s="35">
        <f>+'COL. CONS.$'!H22/Paramet!$G$4*1000</f>
        <v>31168.266684017384</v>
      </c>
      <c r="I22" s="33">
        <f>+H22/$H$20</f>
        <v>0.12515164234293411</v>
      </c>
      <c r="J22" s="34">
        <f>IF(H22=0,"",(E22-H22)/ABS(H22))</f>
        <v>-0.1289132965196432</v>
      </c>
      <c r="K22" s="35">
        <f>+'COL. CONS.$'!K22/Paramet!$G$5*1000</f>
        <v>321430.82349472062</v>
      </c>
      <c r="L22" s="33">
        <f>+K22/$K$20</f>
        <v>0.14189339521169017</v>
      </c>
      <c r="M22" s="35">
        <f>+'COL. CONS.$'!M22/Paramet!$G$3*1000</f>
        <v>308064.55364609306</v>
      </c>
      <c r="N22" s="33">
        <f>+M22/$M$20</f>
        <v>0.1378526646788818</v>
      </c>
      <c r="O22" s="33">
        <f>IF(K22=0,"",(M22-K22)/ABS(K22)+1)</f>
        <v>0.95841634071274096</v>
      </c>
      <c r="P22" s="35">
        <f>+'COL. CONS.$'!P22/Paramet!$G$4*1000</f>
        <v>306828.14190719102</v>
      </c>
      <c r="Q22" s="33">
        <f>+P22/$P$20</f>
        <v>0.15712951913031495</v>
      </c>
      <c r="R22" s="34">
        <f>IF(P22=0,"",(M22-P22)/ABS(P22))</f>
        <v>4.0296555955288728E-3</v>
      </c>
      <c r="T22" s="37">
        <f>+E32/C32</f>
        <v>1.5889684137211015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1.4776805605454082</v>
      </c>
      <c r="U23" s="89">
        <v>2101</v>
      </c>
      <c r="V23" s="19" t="s">
        <v>42</v>
      </c>
      <c r="W23" s="35">
        <f>'COLOMB$ '!U23/Paramet!$G$5*1000</f>
        <v>554.49196466038359</v>
      </c>
      <c r="X23" s="35">
        <f>'COLOMB$ '!V23/Paramet!$G$3*1000</f>
        <v>583.06981159527459</v>
      </c>
      <c r="Y23" s="35">
        <f>'COLOMB$ '!W23/Paramet!$G$4*1000</f>
        <v>35188.667204538942</v>
      </c>
      <c r="Z23" s="35">
        <f>'COLOMB$ '!X23/Paramet!$G$5*1000</f>
        <v>19623.777090492556</v>
      </c>
      <c r="AA23" s="35">
        <f>'COLOMB$ '!Y23/Paramet!$G$3*1000</f>
        <v>20635.162888156909</v>
      </c>
      <c r="AB23" s="36">
        <f>+AA23-Z23</f>
        <v>1011.3857976643521</v>
      </c>
      <c r="AC23" s="37">
        <f>IF(Z23=0,"",(AA23-Z23)/ABS(Z23)+1)</f>
        <v>1.0515387936277749</v>
      </c>
      <c r="AD23" s="35">
        <f>'COLOMB$ '!AB23/Paramet!$G$4*1000</f>
        <v>112332.44310699319</v>
      </c>
      <c r="AE23" s="34">
        <f>IF(AD23=0,"",(AA23-AD23)/ABS(AD23))</f>
        <v>-0.81630273216347171</v>
      </c>
      <c r="AF23" s="83"/>
    </row>
    <row r="24" spans="2:33" x14ac:dyDescent="0.2">
      <c r="B24" s="19" t="s">
        <v>43</v>
      </c>
      <c r="C24" s="35">
        <f>C20-C22</f>
        <v>194270.1280437322</v>
      </c>
      <c r="D24" s="33">
        <f>+C24/$C$20</f>
        <v>0.85285799923125494</v>
      </c>
      <c r="E24" s="35">
        <f>E20-E22</f>
        <v>191593.98989164166</v>
      </c>
      <c r="F24" s="33">
        <f>+E24/$E$20</f>
        <v>0.87588125237616388</v>
      </c>
      <c r="G24" s="33">
        <f>IF(C24=0,"",(E24-C24)/ABS(C24)+1)</f>
        <v>0.98622465440755713</v>
      </c>
      <c r="H24" s="35">
        <f>+'COL. CONS.$'!H24/Paramet!$G$4*1000</f>
        <v>217875.74185253627</v>
      </c>
      <c r="I24" s="33">
        <f>+H24/$H$20</f>
        <v>0.87484835765706603</v>
      </c>
      <c r="J24" s="34">
        <f>IF(H24=0,"",(E24-H24)/ABS(H24))</f>
        <v>-0.12062725174187937</v>
      </c>
      <c r="K24" s="35">
        <f>K20-K22</f>
        <v>1943867.1702221772</v>
      </c>
      <c r="L24" s="33">
        <f>+K24/$K$20</f>
        <v>0.8581066047883098</v>
      </c>
      <c r="M24" s="35">
        <f>M20-M22</f>
        <v>1926673.1959919573</v>
      </c>
      <c r="N24" s="33">
        <f>+M24/$M$20</f>
        <v>0.8621473353211182</v>
      </c>
      <c r="O24" s="33">
        <f>IF(K24=0,"",(M24-K24)/ABS(K24)+1)</f>
        <v>0.99115475867198544</v>
      </c>
      <c r="P24" s="35">
        <f>P20-P22</f>
        <v>1645880.3218202638</v>
      </c>
      <c r="Q24" s="33">
        <f>+P24/$P$20</f>
        <v>0.84287048086968508</v>
      </c>
      <c r="R24" s="34">
        <f>IF(P24=0,"",(M24-P24)/ABS(P24))</f>
        <v>0.1706034578876004</v>
      </c>
      <c r="T24" s="37">
        <f>+E34/C34</f>
        <v>1.2521951203583086</v>
      </c>
      <c r="U24" s="36" t="s">
        <v>101</v>
      </c>
      <c r="AE24" s="34"/>
      <c r="AF24" s="83"/>
    </row>
    <row r="25" spans="2:33" x14ac:dyDescent="0.2">
      <c r="J25" s="34"/>
      <c r="R25" s="34"/>
      <c r="T25" s="37">
        <f>+E36/C36</f>
        <v>-1.0427882462456335</v>
      </c>
      <c r="U25" s="89" t="s">
        <v>102</v>
      </c>
      <c r="V25" s="19" t="s">
        <v>44</v>
      </c>
      <c r="W25" s="35">
        <f>'COLOMB$ '!U25/Paramet!$G$5*1000</f>
        <v>28.772665101561703</v>
      </c>
      <c r="X25" s="35">
        <f>'COLOMB$ '!V25/Paramet!$G$3*1000</f>
        <v>30.255573550352171</v>
      </c>
      <c r="Y25" s="35">
        <f>'COLOMB$ '!W25/Paramet!$G$4*1000</f>
        <v>14629.977365119848</v>
      </c>
      <c r="Z25" s="35">
        <f>'COLOMB$ '!X25/Paramet!$G$5*1000</f>
        <v>426822.11626688449</v>
      </c>
      <c r="AA25" s="35">
        <f>'COLOMB$ '!Y25/Paramet!$G$3*1000</f>
        <v>448820.01323293353</v>
      </c>
      <c r="AB25" s="36">
        <f>+AA25-Z25</f>
        <v>21997.89696604904</v>
      </c>
      <c r="AC25" s="37">
        <f>IF(Z25=0,"",(AA25-Z25)/ABS(Z25)+1)</f>
        <v>1.0515387936277747</v>
      </c>
      <c r="AD25" s="35">
        <f>'COLOMB$ '!AB25/Paramet!$G$4*1000</f>
        <v>476678.5120448689</v>
      </c>
      <c r="AE25" s="34">
        <f>IF(AD25=0,"",(AA25-AD25)/ABS(AD25))</f>
        <v>-5.844295076869984E-2</v>
      </c>
    </row>
    <row r="26" spans="2:33" x14ac:dyDescent="0.2">
      <c r="B26" s="19" t="s">
        <v>45</v>
      </c>
      <c r="C26" s="35">
        <f>+'COL. CONS.$'!C26/Paramet!$G$5*1000</f>
        <v>54019.030769056291</v>
      </c>
      <c r="D26" s="33">
        <f>+C26/$C$20</f>
        <v>0.23714691994096998</v>
      </c>
      <c r="E26" s="35">
        <f>+'COL. CONS.$'!E26/Paramet!$G$3*1000</f>
        <v>58930.306797501304</v>
      </c>
      <c r="F26" s="33">
        <f>+E26/$E$20</f>
        <v>0.26940276649543671</v>
      </c>
      <c r="G26" s="33">
        <f>IF(C26=0,"",(E26-C26)/ABS(C26)+1)</f>
        <v>1.0909175147818153</v>
      </c>
      <c r="H26" s="35">
        <f>+'COL. CONS.$'!H26/Paramet!$G$4*1000</f>
        <v>58958.765213543971</v>
      </c>
      <c r="I26" s="33">
        <f>+H26/$H$20</f>
        <v>0.23674034786060816</v>
      </c>
      <c r="J26" s="34">
        <f>IF(H26=0,"",(E26-H26)/ABS(H26))</f>
        <v>-4.8268337947026871E-4</v>
      </c>
      <c r="K26" s="35">
        <f>+'COL. CONS.$'!K26/Paramet!$G$5*1000</f>
        <v>516119.67382305249</v>
      </c>
      <c r="L26" s="33">
        <f>+K26/$K$20</f>
        <v>0.22783743033127576</v>
      </c>
      <c r="M26" s="35">
        <f>+'COL. CONS.$'!M26/Paramet!$G$3*1000</f>
        <v>523758.39246333396</v>
      </c>
      <c r="N26" s="33">
        <f>+M26/$M$20</f>
        <v>0.23437130041239271</v>
      </c>
      <c r="O26" s="33">
        <f>IF(K26=0,"",(M26-K26)/ABS(K26)+1)</f>
        <v>1.0148002857238501</v>
      </c>
      <c r="P26" s="35">
        <f>+'COL. CONS.$'!P26/Paramet!$G$4*1000</f>
        <v>552741.34155844152</v>
      </c>
      <c r="Q26" s="33">
        <f>+P26/$P$20</f>
        <v>0.28306393495285698</v>
      </c>
      <c r="R26" s="34">
        <f>IF(P26=0,"",(M26-P26)/ABS(P26))</f>
        <v>-5.243492193544054E-2</v>
      </c>
      <c r="T26" s="37">
        <f>+E38/C38</f>
        <v>0.21104862149973028</v>
      </c>
      <c r="U26" s="89" t="s">
        <v>103</v>
      </c>
      <c r="AE26" s="34"/>
    </row>
    <row r="27" spans="2:33" x14ac:dyDescent="0.2">
      <c r="B27" s="19" t="s">
        <v>46</v>
      </c>
      <c r="C27" s="35">
        <f>+'COL. CONS.$'!C27/Paramet!$G$5*1000</f>
        <v>66047.20265841017</v>
      </c>
      <c r="D27" s="33">
        <f>+C27/$C$20</f>
        <v>0.28995134600103167</v>
      </c>
      <c r="E27" s="35">
        <f>+'COL. CONS.$'!E27/Paramet!$G$3*1000</f>
        <v>79760.810770005046</v>
      </c>
      <c r="F27" s="33">
        <f>+E27/$E$20</f>
        <v>0.36463042952068059</v>
      </c>
      <c r="G27" s="33">
        <f>IF(C27=0,"",(E27-C27)/ABS(C27)+1)</f>
        <v>1.2076334433499076</v>
      </c>
      <c r="H27" s="35">
        <f>+'COL. CONS.$'!H27/Paramet!$G$4*1000</f>
        <v>86967.832459724639</v>
      </c>
      <c r="I27" s="33">
        <f>+H27/$H$20</f>
        <v>0.34920668427548168</v>
      </c>
      <c r="J27" s="34">
        <f>IF(H27=0,"",(E27-H27)/ABS(H27))</f>
        <v>-8.2869970262363521E-2</v>
      </c>
      <c r="K27" s="35">
        <f>+'COL. CONS.$'!K27/Paramet!$G$5*1000</f>
        <v>767288.17211618065</v>
      </c>
      <c r="L27" s="33">
        <f>+K27/$K$20</f>
        <v>0.33871401212747965</v>
      </c>
      <c r="M27" s="35">
        <f>+'COL. CONS.$'!M27/Paramet!$G$3*1000</f>
        <v>786675.72104938026</v>
      </c>
      <c r="N27" s="33">
        <f>+M27/$M$20</f>
        <v>0.35202149387631471</v>
      </c>
      <c r="O27" s="33">
        <f>IF(K27=0,"",(M27-K27)/ABS(K27)+1)</f>
        <v>1.0252676238703495</v>
      </c>
      <c r="P27" s="35">
        <f>+'COL. CONS.$'!P27/Paramet!$G$4*1000</f>
        <v>888281.88319496147</v>
      </c>
      <c r="Q27" s="33">
        <f>+P27/$P$20</f>
        <v>0.45489733859162584</v>
      </c>
      <c r="R27" s="34">
        <f>IF(P27=0,"",(M27-P27)/ABS(P27))</f>
        <v>-0.11438504383329919</v>
      </c>
      <c r="T27" s="37">
        <f>+E39/C39</f>
        <v>1.1331619920024971</v>
      </c>
      <c r="U27" s="36"/>
      <c r="V27" s="19" t="s">
        <v>47</v>
      </c>
      <c r="W27" s="35">
        <f>'COLOMB$ '!U27/Paramet!$G$5*1000</f>
        <v>84549.514903655319</v>
      </c>
      <c r="X27" s="35">
        <f>'COLOMB$ '!V27/Paramet!$G$3*1000</f>
        <v>88907.094903603283</v>
      </c>
      <c r="Y27" s="35">
        <f>'COLOMB$ '!W27/Paramet!$G$4*1000</f>
        <v>60109.060393514301</v>
      </c>
      <c r="Z27" s="35">
        <f>'COLOMB$ '!X27/Paramet!$G$5*1000</f>
        <v>136383.92705249909</v>
      </c>
      <c r="AA27" s="35">
        <f>'COLOMB$ '!Y27/Paramet!$G$3*1000</f>
        <v>143412.99012300331</v>
      </c>
      <c r="AB27" s="36">
        <f>+AA27-Z27</f>
        <v>7029.0630705042277</v>
      </c>
      <c r="AC27" s="37">
        <f>IF(Z27=0,"",(AA27-Z27)/ABS(Z27)+1)</f>
        <v>1.0515387936277747</v>
      </c>
      <c r="AD27" s="35">
        <f>'COLOMB$ '!AB27/Paramet!$G$4*1000</f>
        <v>-92528.433490357333</v>
      </c>
      <c r="AE27" s="34">
        <f>IF(AD27=0,"",(AA27-AD27)/ABS(AD27))</f>
        <v>2.5499342711551343</v>
      </c>
    </row>
    <row r="28" spans="2:33" x14ac:dyDescent="0.2">
      <c r="B28" s="19" t="s">
        <v>48</v>
      </c>
      <c r="C28" s="35">
        <f>SUM(C26:C27)</f>
        <v>120066.23342746646</v>
      </c>
      <c r="D28" s="33">
        <f>+C28/$C$20</f>
        <v>0.5270982659420016</v>
      </c>
      <c r="E28" s="35">
        <f>SUM(E26:E27)</f>
        <v>138691.11756750636</v>
      </c>
      <c r="F28" s="33">
        <f>+E28/$E$20</f>
        <v>0.63403319601611741</v>
      </c>
      <c r="G28" s="33">
        <f>IF(C28=0,"",(E28-C28)/ABS(C28)+1)</f>
        <v>1.15512174912434</v>
      </c>
      <c r="H28" s="35">
        <f>+'COL. CONS.$'!H28/Paramet!$G$4*1000</f>
        <v>145926.59767326861</v>
      </c>
      <c r="I28" s="33">
        <f>+H28/$H$20</f>
        <v>0.58594703213608978</v>
      </c>
      <c r="J28" s="34">
        <f>IF(H28=0,"",(E28-H28)/ABS(H28))</f>
        <v>-4.9583011055754071E-2</v>
      </c>
      <c r="K28" s="35">
        <f>SUM(K26:K27)</f>
        <v>1283407.8459392332</v>
      </c>
      <c r="L28" s="33">
        <f>+K28/$K$20</f>
        <v>0.56655144245875544</v>
      </c>
      <c r="M28" s="35">
        <f>SUM(M26:M27)</f>
        <v>1310434.1135127142</v>
      </c>
      <c r="N28" s="33">
        <f>+M28/$M$20</f>
        <v>0.58639279428870739</v>
      </c>
      <c r="O28" s="33">
        <f>IF(K28=0,"",(M28-K28)/ABS(K28)+1)</f>
        <v>1.0210582066012712</v>
      </c>
      <c r="P28" s="35">
        <f>SUM(P26:P27)</f>
        <v>1441023.2247534031</v>
      </c>
      <c r="Q28" s="33">
        <f>+P28/$P$20</f>
        <v>0.73796127354448293</v>
      </c>
      <c r="R28" s="34">
        <f>IF(P28=0,"",(M28-P28)/ABS(P28))</f>
        <v>-9.0622488935274567E-2</v>
      </c>
      <c r="T28" s="37">
        <f>+E41/C41</f>
        <v>-2.4159999330313329</v>
      </c>
      <c r="U28" s="17"/>
      <c r="V28" s="19" t="s">
        <v>49</v>
      </c>
      <c r="W28" s="35">
        <f>'COLOMB$ '!U28/Paramet!$G$5*1000</f>
        <v>0</v>
      </c>
      <c r="X28" s="35">
        <f>'COLOMB$ '!V28/Paramet!$G$3*1000</f>
        <v>0</v>
      </c>
      <c r="Y28" s="35">
        <f>'COLOMB$ '!W28/Paramet!$G$4*1000</f>
        <v>21214.801030632694</v>
      </c>
      <c r="Z28" s="35">
        <f>'COLOMB$ '!X28/Paramet!$G$5*1000</f>
        <v>0</v>
      </c>
      <c r="AA28" s="35">
        <f>'COLOMB$ '!Y28/Paramet!$G$3*1000</f>
        <v>0</v>
      </c>
      <c r="AB28" s="36">
        <f>+AA28-Z28</f>
        <v>0</v>
      </c>
      <c r="AC28" s="37" t="str">
        <f>IF(Z28=0,"",(AA28-Z28)/ABS(Z28)+1)</f>
        <v/>
      </c>
      <c r="AD28" s="35">
        <f>'COLOMB$ '!AB28/Paramet!$G$4*1000</f>
        <v>145457.78305962574</v>
      </c>
      <c r="AE28" s="34">
        <f>IF(AD28=0,"",(AA28-AD28)/ABS(AD28))</f>
        <v>-1</v>
      </c>
    </row>
    <row r="29" spans="2:33" x14ac:dyDescent="0.2">
      <c r="J29" s="34"/>
      <c r="R29" s="34"/>
      <c r="T29" s="24">
        <f>+E42/C42</f>
        <v>-1.4066526881236898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13519.784968187541</v>
      </c>
      <c r="D30" s="33">
        <f>+C30/$C$20</f>
        <v>5.9352700665382778E-2</v>
      </c>
      <c r="E30" s="35">
        <f>+'COL. CONS.$'!E30/Paramet!$G$3*1000</f>
        <v>15730.095621540011</v>
      </c>
      <c r="F30" s="33">
        <f>+E30/$E$20</f>
        <v>7.1910897939874957E-2</v>
      </c>
      <c r="G30" s="33">
        <f>IF(C30=0,"",(E30-C30)/ABS(C30)+1)</f>
        <v>1.1634871159972882</v>
      </c>
      <c r="H30" s="35">
        <f>+'COL. CONS.$'!H30/Paramet!$G$4*1000</f>
        <v>15817.032246310804</v>
      </c>
      <c r="I30" s="33">
        <f>+H30/$H$20</f>
        <v>6.3510992853254081E-2</v>
      </c>
      <c r="J30" s="34">
        <f>IF(H30=0,"",(E30-H30)/ABS(H30))</f>
        <v>-5.4963929653156227E-3</v>
      </c>
      <c r="K30" s="35">
        <f>+'COL. CONS.$'!K30/Paramet!$G$5*1000</f>
        <v>137947.89788257176</v>
      </c>
      <c r="L30" s="33">
        <f>+K30/$K$20</f>
        <v>6.089613740231458E-2</v>
      </c>
      <c r="M30" s="35">
        <f>+'COL. CONS.$'!M30/Paramet!$G$3*1000</f>
        <v>147402.58294792936</v>
      </c>
      <c r="N30" s="33">
        <f>+M30/$M$20</f>
        <v>6.5959678253881673E-2</v>
      </c>
      <c r="O30" s="33">
        <f>IF(K30=0,"",(M30-K30)/ABS(K30)+1)</f>
        <v>1.0685380872813728</v>
      </c>
      <c r="P30" s="35">
        <f>+'COL. CONS.$'!P30/Paramet!$G$4*1000</f>
        <v>147063.96393566355</v>
      </c>
      <c r="Q30" s="33">
        <f>+P30/$P$20</f>
        <v>7.5312811240106192E-2</v>
      </c>
      <c r="R30" s="34">
        <f>IF(P30=0,"",(M30-P30)/ABS(P30))</f>
        <v>2.3025287990601963E-3</v>
      </c>
      <c r="T30" s="37">
        <f>+E43/C43</f>
        <v>-3.2795991364230237</v>
      </c>
      <c r="U30" s="17"/>
      <c r="V30" s="42" t="s">
        <v>51</v>
      </c>
      <c r="W30" s="43">
        <f>+W21-W23-W25-W27-W28</f>
        <v>-91863.270799451027</v>
      </c>
      <c r="X30" s="43">
        <f>+X21-X23-X25-X27-X28</f>
        <v>-96597.792955156357</v>
      </c>
      <c r="Y30" s="43">
        <f>+Y21-Y23-Y25-Y27-Y28</f>
        <v>4214.8538375451863</v>
      </c>
      <c r="Z30" s="43">
        <f>'COLOMB$ '!X30/Paramet!$G$5*1000</f>
        <v>56538.497392625781</v>
      </c>
      <c r="AA30" s="43">
        <f>+'COL. CONS.$'!Y30/Paramet!G3*1000</f>
        <v>-96597.684348740804</v>
      </c>
      <c r="AB30" s="47">
        <f>+AA30-Z30</f>
        <v>-153136.18174136657</v>
      </c>
      <c r="AC30" s="48">
        <f>IF(W30=0,"",(X30-W30)/ABS(W30)+1)</f>
        <v>0.94846120637222486</v>
      </c>
      <c r="AD30" s="43">
        <f>+AD21-AD23-AD25-AD27-AD28</f>
        <v>4214.7652239541057</v>
      </c>
      <c r="AE30" s="34">
        <f>IF(AD30=0,"",(AA30-AD30)/ABS(AD30))</f>
        <v>-23.918876667136669</v>
      </c>
    </row>
    <row r="31" spans="2:33" x14ac:dyDescent="0.2">
      <c r="J31" s="34"/>
      <c r="R31" s="34"/>
      <c r="T31" s="37">
        <f>+E45/C45</f>
        <v>-0.11991743261861282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38169.734499223116</v>
      </c>
      <c r="D32" s="33">
        <f>+C32/$C$20</f>
        <v>0.16756751912402887</v>
      </c>
      <c r="E32" s="35">
        <f>+'COL. CONS.$'!E31/Paramet!$G$3*1000</f>
        <v>60650.502479386159</v>
      </c>
      <c r="F32" s="33">
        <f>+E32/$E$20</f>
        <v>0.27726672480140185</v>
      </c>
      <c r="G32" s="33">
        <f>IF(C32=0,"",(E32-C32)/ABS(C32)+1)</f>
        <v>1.5889684137211015</v>
      </c>
      <c r="H32" s="35">
        <f>+'COL. CONS.$'!H31/Paramet!$G$4*1000</f>
        <v>50645.546271764302</v>
      </c>
      <c r="I32" s="33">
        <f>+H32/$H$20</f>
        <v>0.20335982611816483</v>
      </c>
      <c r="J32" s="34">
        <f>IF(H32=0,"",(E32-H32)/ABS(H32))</f>
        <v>0.1975485890493747</v>
      </c>
      <c r="K32" s="35">
        <f>+'COL. CONS.$'!K31/Paramet!$G$5*1000</f>
        <v>474851.93880212767</v>
      </c>
      <c r="L32" s="33">
        <f>+K32/$K$20</f>
        <v>0.209620076528206</v>
      </c>
      <c r="M32" s="35">
        <f>+'COL. CONS.$'!M31/Paramet!$G$3*1000</f>
        <v>475066.83342675259</v>
      </c>
      <c r="N32" s="33">
        <f>+M32/$M$20</f>
        <v>0.21258281134047916</v>
      </c>
      <c r="O32" s="33">
        <f>IF(K32=0,"",(M32-K32)/ABS(K32)+1)</f>
        <v>1.0004525507996598</v>
      </c>
      <c r="P32" s="35">
        <f>+'COL. CONS.$'!P31/Paramet!$G$4*1000</f>
        <v>499375.44300288887</v>
      </c>
      <c r="Q32" s="33">
        <f>+P32/$P$20</f>
        <v>0.25573476649435378</v>
      </c>
      <c r="R32" s="34">
        <f>IF(P32=0,"",(M32-P32)/ABS(P32))</f>
        <v>-4.8678023552703321E-2</v>
      </c>
      <c r="T32" s="37">
        <f>+E46/C46</f>
        <v>1.1728420657194665</v>
      </c>
      <c r="U32" s="17"/>
    </row>
    <row r="33" spans="2:27" x14ac:dyDescent="0.2">
      <c r="B33" s="19" t="s">
        <v>53</v>
      </c>
      <c r="C33" s="35">
        <f>SUM(C30:C32)</f>
        <v>51689.519467410661</v>
      </c>
      <c r="D33" s="33">
        <f>+C33/$C$20</f>
        <v>0.22692021978941165</v>
      </c>
      <c r="E33" s="35">
        <f>SUM(E30:E32)</f>
        <v>76380.598100926174</v>
      </c>
      <c r="F33" s="33">
        <f>+E33/$E$20</f>
        <v>0.34917762274127684</v>
      </c>
      <c r="G33" s="33">
        <f>IF(C33=0,"",(E33-C33)/ABS(C33)+1)</f>
        <v>1.4776805605454082</v>
      </c>
      <c r="H33" s="35">
        <f>SUM(H30:H32)</f>
        <v>66462.578518075112</v>
      </c>
      <c r="I33" s="33">
        <f>+H33/$H$20</f>
        <v>0.26687081897141895</v>
      </c>
      <c r="J33" s="34">
        <f>IF(H33=0,"",(E33-H33)/ABS(H33))</f>
        <v>0.14922712606092714</v>
      </c>
      <c r="K33" s="35">
        <f>SUM(K30:K32)</f>
        <v>612799.8366846994</v>
      </c>
      <c r="L33" s="33">
        <f>+K33/$K$20</f>
        <v>0.27051621393052055</v>
      </c>
      <c r="M33" s="35">
        <f>SUM(M30:M32)</f>
        <v>622469.41637468198</v>
      </c>
      <c r="N33" s="33">
        <f>+M33/$M$20</f>
        <v>0.27854248959436084</v>
      </c>
      <c r="O33" s="33">
        <f>IF(K33=0,"",(M33-K33)/ABS(K33)+1)</f>
        <v>1.0157793444304684</v>
      </c>
      <c r="P33" s="35">
        <f>SUM(P30:P32)</f>
        <v>646439.40693855239</v>
      </c>
      <c r="Q33" s="33">
        <f>+P33/$P$20</f>
        <v>0.33104757773445992</v>
      </c>
      <c r="R33" s="34">
        <f>IF(P33=0,"",(M33-P33)/ABS(P33))</f>
        <v>-3.7080026846427833E-2</v>
      </c>
    </row>
    <row r="34" spans="2:27" x14ac:dyDescent="0.2">
      <c r="B34" s="19" t="s">
        <v>54</v>
      </c>
      <c r="C34" s="35">
        <f>+C28+C33</f>
        <v>171755.75289487711</v>
      </c>
      <c r="D34" s="33">
        <f>+C34/$C$20</f>
        <v>0.75401848573141317</v>
      </c>
      <c r="E34" s="35">
        <f>+E28+E33</f>
        <v>215071.71566843253</v>
      </c>
      <c r="F34" s="33">
        <f>+E34/$E$20</f>
        <v>0.98321081875739424</v>
      </c>
      <c r="G34" s="33">
        <f>IF(C34=0,"",(E34-C34)/ABS(C34)+1)</f>
        <v>1.2521951203583086</v>
      </c>
      <c r="H34" s="35">
        <f>+H28+H33</f>
        <v>212389.17619134372</v>
      </c>
      <c r="I34" s="33">
        <f>+H34/$H$20</f>
        <v>0.85281785110750874</v>
      </c>
      <c r="J34" s="34">
        <f>IF(H34=0,"",(E34-H34)/ABS(H34))</f>
        <v>1.2630302189562051E-2</v>
      </c>
      <c r="K34" s="35">
        <f>+K28+K33</f>
        <v>1896207.6826239326</v>
      </c>
      <c r="L34" s="33">
        <f>+K34/$K$20</f>
        <v>0.83706765638927605</v>
      </c>
      <c r="M34" s="35">
        <f>+M28+M33</f>
        <v>1932903.5298873961</v>
      </c>
      <c r="N34" s="33">
        <f>+M34/$M$20</f>
        <v>0.86493528388306828</v>
      </c>
      <c r="O34" s="33">
        <f>IF(K34=0,"",(M34-K34)/ABS(K34)+1)</f>
        <v>1.0193522300324638</v>
      </c>
      <c r="P34" s="35">
        <f>+P28+P33</f>
        <v>2087462.6316919555</v>
      </c>
      <c r="Q34" s="33">
        <f>+P34/$P$20</f>
        <v>1.0690088512789429</v>
      </c>
      <c r="R34" s="34">
        <f>IF(P34=0,"",(M34-P34)/ABS(P34))</f>
        <v>-7.4041613707491488E-2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22514.375148855092</v>
      </c>
      <c r="D36" s="33">
        <f>+C36/$C$20</f>
        <v>9.8839513499841672E-2</v>
      </c>
      <c r="E36" s="35">
        <f>E24-E34</f>
        <v>-23477.725776790874</v>
      </c>
      <c r="F36" s="33">
        <f>+E36/$E$20</f>
        <v>-0.10732956638123037</v>
      </c>
      <c r="G36" s="33">
        <f>IF(C36=0,"",(E36-C36)/ABS(C36)+1)</f>
        <v>-1.0427882462456335</v>
      </c>
      <c r="H36" s="35">
        <f>H24-H34</f>
        <v>5486.5656611925515</v>
      </c>
      <c r="I36" s="33">
        <f>+H36/$H$20</f>
        <v>2.2030506549557311E-2</v>
      </c>
      <c r="J36" s="34">
        <f>IF(H36=0,"",(E36-H36)/ABS(H36))</f>
        <v>-5.2791296462289656</v>
      </c>
      <c r="K36" s="35">
        <f>K24-K34</f>
        <v>47659.487598244566</v>
      </c>
      <c r="L36" s="33">
        <f>+K36/$K$20</f>
        <v>2.103894839903378E-2</v>
      </c>
      <c r="M36" s="35">
        <f>M24-M34</f>
        <v>-6230.3338954388164</v>
      </c>
      <c r="N36" s="33">
        <f>+M36/$M$20</f>
        <v>-2.7879485619500158E-3</v>
      </c>
      <c r="O36" s="33">
        <f>IF(K36=0,"",(M36-K36)/ABS(K36)+1)</f>
        <v>-0.13072599411807984</v>
      </c>
      <c r="P36" s="35">
        <f>P24-P34</f>
        <v>-441582.30987169174</v>
      </c>
      <c r="Q36" s="33">
        <f>+P36/$P$20</f>
        <v>-0.22613837040925772</v>
      </c>
      <c r="R36" s="34">
        <f>IF(P36=0,"",(M36-P36)/ABS(P36))</f>
        <v>0.98589088884188059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330.94031052589793</v>
      </c>
      <c r="D38" s="33">
        <f>+C38/$C$20</f>
        <v>1.4528486388630539E-3</v>
      </c>
      <c r="E38" s="35">
        <f>+'COL. CONS.$'!E38/Paramet!$G$3*1000</f>
        <v>69.844496335183436</v>
      </c>
      <c r="F38" s="33">
        <f>+E38/$E$20</f>
        <v>3.1929751531476223E-4</v>
      </c>
      <c r="G38" s="33">
        <f>IF(C38=0,"",(E38-C38)/ABS(C38)+1)</f>
        <v>0.21104862149973036</v>
      </c>
      <c r="H38" s="35">
        <f>+'COL. CONS.$'!H38/Paramet!$G$4*1000</f>
        <v>385.45920151992294</v>
      </c>
      <c r="I38" s="33">
        <f>+H38/$H$20</f>
        <v>1.5477553697636813E-3</v>
      </c>
      <c r="J38" s="34">
        <f>IF(H38=0,"",(E38-H38)/ABS(H38))</f>
        <v>-0.8188018445018922</v>
      </c>
      <c r="K38" s="35">
        <f>+'COL. CONS.$'!K38/Paramet!$G$5*1000</f>
        <v>3309.4031052589798</v>
      </c>
      <c r="L38" s="33">
        <f>+K38/$K$20</f>
        <v>1.4609129193766317E-3</v>
      </c>
      <c r="M38" s="35">
        <f>+'COL. CONS.$'!M38/Paramet!$G$3*1000</f>
        <v>1629.0330823337479</v>
      </c>
      <c r="N38" s="33">
        <f>+M38/$M$20</f>
        <v>7.2895939695724675E-4</v>
      </c>
      <c r="O38" s="33">
        <f>IF(K38=0,"",(M38-K38)/ABS(K38)+1)</f>
        <v>0.49224377645172557</v>
      </c>
      <c r="P38" s="35">
        <f>+'COL. CONS.$'!P38/Paramet!$G$4*1000</f>
        <v>4449.0506831845514</v>
      </c>
      <c r="Q38" s="33">
        <f>+P38/$P$20</f>
        <v>2.2783998563164513E-3</v>
      </c>
      <c r="R38" s="34">
        <f>IF(P38=0,"",(M38-P38)/ABS(P38))</f>
        <v>-0.63384703876474724</v>
      </c>
    </row>
    <row r="39" spans="2:27" x14ac:dyDescent="0.2">
      <c r="B39" s="19" t="s">
        <v>57</v>
      </c>
      <c r="C39" s="35">
        <f>+'COL. CONS.$'!C39/Paramet!$G$5*1000</f>
        <v>8956.0296235809165</v>
      </c>
      <c r="D39" s="33">
        <f>+C39/$C$20</f>
        <v>3.9317529579759307E-2</v>
      </c>
      <c r="E39" s="35">
        <f>+'COL. CONS.$'!E39/Paramet!$G$3*1000</f>
        <v>10148.632368690325</v>
      </c>
      <c r="F39" s="33">
        <f>+E39/$E$20</f>
        <v>4.6394966950795473E-2</v>
      </c>
      <c r="G39" s="33">
        <f>IF(C39=0,"",(E39-C39)/ABS(C39)+1)</f>
        <v>1.1331619920024971</v>
      </c>
      <c r="H39" s="35">
        <f>+'COL. CONS.$'!H39/Paramet!$G$4*1000</f>
        <v>7598.1742471956886</v>
      </c>
      <c r="I39" s="33">
        <f>+H39/$H$20</f>
        <v>3.0509363753998767E-2</v>
      </c>
      <c r="J39" s="34">
        <f>IF(H39=0,"",(E39-H39)/ABS(H39))</f>
        <v>0.33566723248495545</v>
      </c>
      <c r="K39" s="35">
        <f>+'COL. CONS.$'!K39/Paramet!$G$5*1000</f>
        <v>86511.063477481774</v>
      </c>
      <c r="L39" s="33">
        <f>+K39/$K$20</f>
        <v>3.818970560051331E-2</v>
      </c>
      <c r="M39" s="35">
        <f>+'COL. CONS.$'!M39/Paramet!$G$3*1000</f>
        <v>90606.001345236946</v>
      </c>
      <c r="N39" s="33">
        <f>+M39/$M$20</f>
        <v>4.0544355309660815E-2</v>
      </c>
      <c r="O39" s="33">
        <f>IF(K39=0,"",(M39-K39)/ABS(K39)+1)</f>
        <v>1.0473342680479365</v>
      </c>
      <c r="P39" s="35">
        <f>+'COL. CONS.$'!P39/Paramet!$G$4*1000</f>
        <v>81966.169799338939</v>
      </c>
      <c r="Q39" s="33">
        <f>+P39/$P$20</f>
        <v>4.1975630936159657E-2</v>
      </c>
      <c r="R39" s="34">
        <f>IF(P39=0,"",(M39-P39)/ABS(P39))</f>
        <v>0.10540728653112796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13889.285835800072</v>
      </c>
      <c r="D41" s="33">
        <f>+C41/$C$20</f>
        <v>6.0974832558945417E-2</v>
      </c>
      <c r="E41" s="35">
        <f>E36+E38-E39</f>
        <v>-33556.513649146014</v>
      </c>
      <c r="F41" s="33">
        <f>+E41/$E$20</f>
        <v>-0.15340523581671109</v>
      </c>
      <c r="G41" s="33">
        <f>IF(C41=0,"",(E41-C41)/ABS(C41)+1)</f>
        <v>-2.4159999330313329</v>
      </c>
      <c r="H41" s="35">
        <f>+H36+H38-H39</f>
        <v>-1726.1493844832139</v>
      </c>
      <c r="I41" s="33">
        <f>+H41/$H$20</f>
        <v>-6.9311018346777734E-3</v>
      </c>
      <c r="J41" s="34">
        <f>IF(H41=0,"",(E41-H41)/ABS(H41))</f>
        <v>-18.440098261942946</v>
      </c>
      <c r="K41" s="35">
        <f>K36+K38-K39</f>
        <v>-35542.172773978229</v>
      </c>
      <c r="L41" s="33">
        <f>+K41/$K$20</f>
        <v>-1.5689844282102895E-2</v>
      </c>
      <c r="M41" s="35">
        <f>M36+M38-M39</f>
        <v>-95207.30215834202</v>
      </c>
      <c r="N41" s="33">
        <f>+M41/$M$20</f>
        <v>-4.2603344474653589E-2</v>
      </c>
      <c r="O41" s="33">
        <f>IF(K41=0,"",(M41-K41)/ABS(K41)+1)</f>
        <v>-0.67871361618181347</v>
      </c>
      <c r="P41" s="35">
        <f>P36+P38-P39</f>
        <v>-519099.42898784613</v>
      </c>
      <c r="Q41" s="33">
        <f>+P41/$P$20</f>
        <v>-0.2658356014891009</v>
      </c>
      <c r="R41" s="34">
        <f>IF(P41=0,"",(M41-P41)/ABS(P41))</f>
        <v>0.81659139493954025</v>
      </c>
    </row>
    <row r="42" spans="2:27" x14ac:dyDescent="0.2">
      <c r="B42" s="19" t="s">
        <v>44</v>
      </c>
      <c r="C42" s="35">
        <f>+'COL. CONS.$'!C42/Paramet!$G$5*1000</f>
        <v>6404.2280516711471</v>
      </c>
      <c r="D42" s="33">
        <f>+C42/$C$20</f>
        <v>2.8114961254050354E-2</v>
      </c>
      <c r="E42" s="35">
        <f>+'COL. CONS.$'!E42/Paramet!$G$3*1000</f>
        <v>-9008.5246042403596</v>
      </c>
      <c r="F42" s="33">
        <f>+E42/$E$20</f>
        <v>-4.1182908800458946E-2</v>
      </c>
      <c r="G42" s="33">
        <f>IF(C42=0,"",(E42-C42)/ABS(C42)+1)</f>
        <v>-1.4066526881236898</v>
      </c>
      <c r="H42" s="35">
        <f>+'COL. CONS.$'!H42/Paramet!$G$4*1000</f>
        <v>-360.02966972906853</v>
      </c>
      <c r="I42" s="33">
        <f>+H42/$H$20</f>
        <v>-1.4456467828505295E-3</v>
      </c>
      <c r="J42" s="34">
        <f>IF(H42=0,"",(E42-H42)/ABS(H42))</f>
        <v>-24.021617276763614</v>
      </c>
      <c r="K42" s="35">
        <f>+'COL. CONS.$'!K42/Paramet!$G$5*1000</f>
        <v>27377.011103172175</v>
      </c>
      <c r="L42" s="33">
        <f>+K42/$K$20</f>
        <v>1.2085390610465343E-2</v>
      </c>
      <c r="M42" s="35">
        <f>+'COL. CONS.$'!M42/Paramet!$G$3*1000</f>
        <v>6599.9940370703416</v>
      </c>
      <c r="N42" s="33">
        <f>+M42/$M$20</f>
        <v>2.9533640079867584E-3</v>
      </c>
      <c r="O42" s="33">
        <f>IF(K42=0,"",(M42-K42)/ABS(K42)+1)</f>
        <v>0.24107796180517305</v>
      </c>
      <c r="P42" s="35">
        <f>+'COL. CONS.$'!P42/Paramet!$G$4*1000</f>
        <v>36174.89966946881</v>
      </c>
      <c r="Q42" s="33">
        <f>+P42/$P$20</f>
        <v>1.8525499500532634E-2</v>
      </c>
      <c r="R42" s="34">
        <f>IF(P42=0,"",(M42-P42)/ABS(P42))</f>
        <v>-0.81755321791146096</v>
      </c>
    </row>
    <row r="43" spans="2:27" x14ac:dyDescent="0.2">
      <c r="B43" s="42" t="s">
        <v>59</v>
      </c>
      <c r="C43" s="43">
        <f>C41-C42</f>
        <v>7485.0577841289251</v>
      </c>
      <c r="D43" s="44">
        <f>+C43/$C$20</f>
        <v>3.2859871304895059E-2</v>
      </c>
      <c r="E43" s="43">
        <f>E41-E42</f>
        <v>-24547.989044905655</v>
      </c>
      <c r="F43" s="44">
        <f>+E43/$E$20</f>
        <v>-0.11222232701625212</v>
      </c>
      <c r="G43" s="44">
        <f>IF(C43=0,"",(E43-C43)/ABS(C43)+1)</f>
        <v>-3.2795991364230241</v>
      </c>
      <c r="H43" s="43">
        <f>H41-H42</f>
        <v>-1366.1197147541454</v>
      </c>
      <c r="I43" s="44">
        <f>+H43/$H$20</f>
        <v>-5.4854550518272441E-3</v>
      </c>
      <c r="J43" s="45">
        <f>IF(H43=0,"",(E43-H43)/ABS(H43))</f>
        <v>-16.969134607887163</v>
      </c>
      <c r="K43" s="43">
        <f>K41-K42</f>
        <v>-62919.183877150404</v>
      </c>
      <c r="L43" s="44">
        <f>+K43/$K$20</f>
        <v>-2.7775234892568237E-2</v>
      </c>
      <c r="M43" s="43">
        <f>M41-M42</f>
        <v>-101807.29619541236</v>
      </c>
      <c r="N43" s="44">
        <f>+M43/$M$20</f>
        <v>-4.5556708482640346E-2</v>
      </c>
      <c r="O43" s="44">
        <f>IF(K43=0,"",(M43-K43)/ABS(K43)+1)</f>
        <v>0.38193552551172749</v>
      </c>
      <c r="P43" s="43">
        <f>P41-P42</f>
        <v>-555274.32865731488</v>
      </c>
      <c r="Q43" s="44">
        <f>+P43/$P$20</f>
        <v>-0.28436110098963352</v>
      </c>
      <c r="R43" s="45">
        <f>IF(P43=0,"",(M43-P43)/ABS(P43))</f>
        <v>0.81665405558800419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40366.325292323047</v>
      </c>
      <c r="D45" s="33">
        <f>+C45/$C$20</f>
        <v>0.17721068993879913</v>
      </c>
      <c r="E45" s="35">
        <f>+'COL. CONS.$'!E45/Paramet!$G$3*1000</f>
        <v>-4840.6260933031554</v>
      </c>
      <c r="F45" s="33">
        <f>+E45/$E$20</f>
        <v>-2.2129157847200657E-2</v>
      </c>
      <c r="G45" s="33">
        <f>IF(C45=0,"",(E45-C45)/ABS(C45)+1)</f>
        <v>-0.11991743261861298</v>
      </c>
      <c r="H45" s="35">
        <f>+'COL. CONS.$'!H45/Paramet!$G$4*1000</f>
        <v>17874.93191317701</v>
      </c>
      <c r="I45" s="33">
        <f>+H45/$H$20</f>
        <v>7.1774189703316643E-2</v>
      </c>
      <c r="J45" s="34">
        <f>IF(H45=0,"",(E45-H45)/ABS(H45))</f>
        <v>-1.2708052884797145</v>
      </c>
      <c r="K45" s="35">
        <f>+'COL. CONS.$'!K45/Paramet!$G$5*1000</f>
        <v>261095.57347487326</v>
      </c>
      <c r="L45" s="33">
        <f>+K45/$K$20</f>
        <v>0.11525881989877544</v>
      </c>
      <c r="M45" s="35">
        <f>+'COL. CONS.$'!M45/Paramet!$G$3*1000</f>
        <v>216131.69422335256</v>
      </c>
      <c r="N45" s="33">
        <f>+M45/$M$20</f>
        <v>9.6714567182819719E-2</v>
      </c>
      <c r="O45" s="33">
        <f>IF(K45=0,"",(M45-K45)/ABS(K45)+1)</f>
        <v>0.82778766160948403</v>
      </c>
      <c r="P45" s="35">
        <f>+'COL. CONS.$'!P45/Paramet!$G$4*1000</f>
        <v>298534.79274653154</v>
      </c>
      <c r="Q45" s="33">
        <f>+P45/$P$20</f>
        <v>0.15288241859548724</v>
      </c>
      <c r="R45" s="34">
        <f>IF(P45=0,"",(M45-P45)/ABS(P45))</f>
        <v>-0.27602510838039118</v>
      </c>
    </row>
    <row r="46" spans="2:27" x14ac:dyDescent="0.2">
      <c r="B46" s="19" t="s">
        <v>35</v>
      </c>
      <c r="C46" s="35">
        <f>+'COL. CONS.$'!C46/Paramet!$G$5*1000</f>
        <v>92563.936806051744</v>
      </c>
      <c r="D46" s="33">
        <f>+C46/$C$20</f>
        <v>0.40636146555484087</v>
      </c>
      <c r="E46" s="35">
        <f>+'COL. CONS.$'!E46/Paramet!$G$3*1000</f>
        <v>108562.87885473589</v>
      </c>
      <c r="F46" s="33">
        <f>+E46/$E$20</f>
        <v>0.49630048597362642</v>
      </c>
      <c r="G46" s="33">
        <f>IF(C46=0,"",(E46-C46)/ABS(C46)+1)</f>
        <v>1.1728420657194665</v>
      </c>
      <c r="H46" s="35">
        <f>+'COL. CONS.$'!H46/Paramet!$G$4*1000</f>
        <v>113171.46761054576</v>
      </c>
      <c r="I46" s="33">
        <f>+H46/$H$20</f>
        <v>0.45442357065954042</v>
      </c>
      <c r="J46" s="34">
        <f>IF(H46=0,"",(E46-H46)/ABS(H46))</f>
        <v>-4.0722178947694677E-2</v>
      </c>
      <c r="K46" s="35">
        <f>+'COL. CONS.$'!K46/Paramet!$G$5*1000</f>
        <v>1016825.5588445442</v>
      </c>
      <c r="L46" s="33">
        <f>+K46/$K$20</f>
        <v>0.44887055109960972</v>
      </c>
      <c r="M46" s="35">
        <f>+'COL. CONS.$'!M46/Paramet!$G$3*1000</f>
        <v>1091506.2262526327</v>
      </c>
      <c r="N46" s="33">
        <f>+M46/$M$20</f>
        <v>0.48842698720662803</v>
      </c>
      <c r="O46" s="33">
        <f>IF(K46=0,"",(M46-K46)/ABS(K46)+1)</f>
        <v>1.0734449156578547</v>
      </c>
      <c r="P46" s="35">
        <f>+'COL. CONS.$'!P46/Paramet!$G$4*1000</f>
        <v>1113938.3520287327</v>
      </c>
      <c r="Q46" s="33">
        <f>+P46/$P$20</f>
        <v>0.57045809588102869</v>
      </c>
      <c r="R46" s="34">
        <f>IF(P46=0,"",(M46-P46)/ABS(P46))</f>
        <v>-2.0137672551848149E-2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C948F-3AD2-4BA6-9F8A-BE8F9D354620}">
  <sheetPr>
    <tabColor theme="0" tint="-0.249977111117893"/>
  </sheetPr>
  <dimension ref="A1:AI68"/>
  <sheetViews>
    <sheetView showGridLines="0" topLeftCell="J3" zoomScaleNormal="100" workbookViewId="0">
      <selection activeCell="X32" sqref="X32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104</v>
      </c>
      <c r="T3" s="18"/>
      <c r="U3" s="90" t="str">
        <f>+B3</f>
        <v>MUSICAR S.A. EL SALVADOR</v>
      </c>
    </row>
    <row r="4" spans="1:34" x14ac:dyDescent="0.2">
      <c r="B4" s="3" t="s">
        <v>105</v>
      </c>
      <c r="U4" s="3" t="s">
        <v>21</v>
      </c>
    </row>
    <row r="5" spans="1:34" x14ac:dyDescent="0.2">
      <c r="B5" s="3" t="s">
        <v>93</v>
      </c>
      <c r="U5" s="3" t="s">
        <v>93</v>
      </c>
    </row>
    <row r="6" spans="1:34" ht="13.5" thickBot="1" x14ac:dyDescent="0.25">
      <c r="B6" s="79" t="str">
        <f>+'COL. CONS.$'!B6</f>
        <v>OCTUBRE de 2025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OCTUBRE de 2025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S7" s="61"/>
      <c r="T7" s="63"/>
      <c r="V7" s="54" t="str">
        <f>+C7</f>
        <v>Ppto 2025</v>
      </c>
      <c r="W7" s="54" t="str">
        <f>+M7</f>
        <v>Real 2025</v>
      </c>
      <c r="X7" s="54" t="str">
        <f>+H7</f>
        <v>Real 2024</v>
      </c>
      <c r="Y7" s="54" t="str">
        <f>+V7</f>
        <v>Ppto 2025</v>
      </c>
      <c r="Z7" s="54" t="str">
        <f>+W7</f>
        <v>Real 2025</v>
      </c>
      <c r="AA7" s="54" t="s">
        <v>26</v>
      </c>
      <c r="AB7" s="54" t="s">
        <v>24</v>
      </c>
      <c r="AC7" s="54" t="str">
        <f>+X7</f>
        <v>Real 2024</v>
      </c>
      <c r="AD7" s="54" t="s">
        <v>25</v>
      </c>
      <c r="AF7" s="2" t="s">
        <v>106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107</v>
      </c>
      <c r="AG8" s="2" t="s">
        <v>108</v>
      </c>
      <c r="AH8" s="2" t="s">
        <v>109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5305</v>
      </c>
      <c r="D10" s="34">
        <f>+C10/$C$20</f>
        <v>0.68425125757771188</v>
      </c>
      <c r="E10" s="32">
        <v>5328.98</v>
      </c>
      <c r="F10" s="34">
        <f>+E10/$E$20</f>
        <v>0.8796105863982544</v>
      </c>
      <c r="G10" s="34">
        <f>IF(C10=0,"",(E10-C10)/ABS(C10)+1)</f>
        <v>1.0045202639019792</v>
      </c>
      <c r="H10" s="32">
        <v>5419.06</v>
      </c>
      <c r="I10" s="34">
        <f>+H10/$H$20</f>
        <v>0.84489048818819079</v>
      </c>
      <c r="J10" s="34">
        <f>IF(H10=0,"",(E10-H10)/ABS(H10))</f>
        <v>-1.6622809121877379E-2</v>
      </c>
      <c r="K10" s="32">
        <v>52653</v>
      </c>
      <c r="L10" s="34">
        <f>+K10/$K$20</f>
        <v>0.70001462435353712</v>
      </c>
      <c r="M10" s="32">
        <v>52955.88</v>
      </c>
      <c r="N10" s="34">
        <f>+M10/$M$20</f>
        <v>0.80083174419782799</v>
      </c>
      <c r="O10" s="34">
        <f>IF(K10=0,"",(M10-K10)/ABS(K10)+1)</f>
        <v>1.0057523787818357</v>
      </c>
      <c r="P10" s="32">
        <v>59281.96</v>
      </c>
      <c r="Q10" s="34">
        <f>+P10/$P$20</f>
        <v>0.79454122122630866</v>
      </c>
      <c r="R10" s="34">
        <f t="shared" ref="R10:R17" si="0">IF(P10=0,"",(M10-P10)/ABS(P10))</f>
        <v>-0.10671172140732192</v>
      </c>
      <c r="S10" s="34"/>
      <c r="T10" s="63"/>
      <c r="U10" s="3" t="s">
        <v>31</v>
      </c>
      <c r="V10" s="32">
        <v>13901</v>
      </c>
      <c r="W10" s="32">
        <v>20263.25</v>
      </c>
      <c r="X10" s="32">
        <v>18478.41</v>
      </c>
      <c r="Y10" s="32"/>
      <c r="Z10" s="32">
        <v>13901</v>
      </c>
      <c r="AA10" s="63">
        <v>15168</v>
      </c>
      <c r="AB10" s="68" t="str">
        <f>IF(Y10=0,"",(Z10-Y10)/ABS(Y10)+1)</f>
        <v/>
      </c>
      <c r="AC10" s="32">
        <v>15168</v>
      </c>
      <c r="AD10" s="34">
        <f>IF(X10=0,"",(Z10-AC10)/ABS(AC10))</f>
        <v>-8.3531118143459912E-2</v>
      </c>
      <c r="AF10" s="67">
        <v>15168</v>
      </c>
      <c r="AG10" s="67"/>
      <c r="AH10" s="67"/>
    </row>
    <row r="11" spans="1:34" x14ac:dyDescent="0.2">
      <c r="A11" s="94"/>
      <c r="B11" s="3" t="str">
        <f>+'COLOMB$ '!B11</f>
        <v>Instalaciones</v>
      </c>
      <c r="C11" s="32">
        <v>882</v>
      </c>
      <c r="D11" s="34">
        <f>+C11/$C$20</f>
        <v>0.11376241454920676</v>
      </c>
      <c r="E11" s="32">
        <v>0</v>
      </c>
      <c r="F11" s="34">
        <f>+E11/$E$20</f>
        <v>0</v>
      </c>
      <c r="G11" s="34">
        <f>IF(C11=0,"",(E11-C11)/ABS(C11)+1)</f>
        <v>0</v>
      </c>
      <c r="H11" s="32">
        <v>0</v>
      </c>
      <c r="I11" s="34">
        <f>+H11/$H$20</f>
        <v>0</v>
      </c>
      <c r="J11" s="34" t="str">
        <f>IF(H11=0,"",(E11-H11)/ABS(H11))</f>
        <v/>
      </c>
      <c r="K11" s="32">
        <v>6394</v>
      </c>
      <c r="L11" s="34">
        <f>+K11/$K$20</f>
        <v>8.5007378651102805E-2</v>
      </c>
      <c r="M11" s="32">
        <v>1577.37</v>
      </c>
      <c r="N11" s="34">
        <f>+M11/$M$20</f>
        <v>2.3853969915056231E-2</v>
      </c>
      <c r="O11" s="34">
        <f>IF(K11=0,"",(M11-K11)/ABS(K11)+1)</f>
        <v>0.24669533938066934</v>
      </c>
      <c r="P11" s="32">
        <v>1410</v>
      </c>
      <c r="Q11" s="34">
        <f>+P11/$P$20</f>
        <v>1.889787587875123E-2</v>
      </c>
      <c r="R11" s="34">
        <f t="shared" si="0"/>
        <v>0.11870212765957439</v>
      </c>
      <c r="S11" s="34"/>
      <c r="T11" s="63"/>
      <c r="U11" s="3" t="s">
        <v>32</v>
      </c>
      <c r="V11" s="32"/>
      <c r="W11" s="32">
        <v>5958.2</v>
      </c>
      <c r="X11" s="32">
        <v>11687.8</v>
      </c>
      <c r="Y11" s="32">
        <f>+AF11+V11</f>
        <v>0</v>
      </c>
      <c r="Z11" s="32">
        <v>76191</v>
      </c>
      <c r="AA11" s="63">
        <v>46907.6</v>
      </c>
      <c r="AB11" s="68" t="str">
        <f>IF(Y11=0,"",(Z11-Y11)/ABS(Y11)+1)</f>
        <v/>
      </c>
      <c r="AC11" s="32">
        <v>82498.8</v>
      </c>
      <c r="AD11" s="34">
        <f>IF(AC11=0,"",(Z11-AC11)/ABS(AC11))</f>
        <v>-7.6459293953366633E-2</v>
      </c>
      <c r="AF11" s="32"/>
      <c r="AG11" s="32"/>
      <c r="AH11" s="32"/>
    </row>
    <row r="12" spans="1:34" x14ac:dyDescent="0.2">
      <c r="A12" s="94"/>
      <c r="B12" s="3" t="str">
        <f>+'COLOMB$ '!B12</f>
        <v>Voice Experience (Publihold)</v>
      </c>
      <c r="C12" s="32">
        <v>994</v>
      </c>
      <c r="D12" s="34">
        <f>+C12/$C$20</f>
        <v>0.12820843544434413</v>
      </c>
      <c r="E12" s="32">
        <v>681.36</v>
      </c>
      <c r="F12" s="34">
        <f>+E12/$E$20</f>
        <v>0.11246645120610597</v>
      </c>
      <c r="G12" s="34">
        <f>IF(C12=0,"",(E12-C12)/ABS(C12)+1)</f>
        <v>0.6854728370221328</v>
      </c>
      <c r="H12" s="32">
        <v>994.86</v>
      </c>
      <c r="I12" s="34">
        <f>+H12/$H$20</f>
        <v>0.15510951181180932</v>
      </c>
      <c r="J12" s="34">
        <f>IF(H12=0,"",(E12-H12)/ABS(H12))</f>
        <v>-0.31511971533683131</v>
      </c>
      <c r="K12" s="32">
        <v>10330</v>
      </c>
      <c r="L12" s="34">
        <f>+K12/$K$20</f>
        <v>0.13733597458021457</v>
      </c>
      <c r="M12" s="32">
        <v>9512.35</v>
      </c>
      <c r="N12" s="34">
        <f>+M12/$M$20</f>
        <v>0.14385167127654586</v>
      </c>
      <c r="O12" s="34">
        <f>IF(K12=0,"",(M12-K12)/ABS(K12)+1)</f>
        <v>0.9208470474346564</v>
      </c>
      <c r="P12" s="32">
        <v>10596.6</v>
      </c>
      <c r="Q12" s="34">
        <f>+P12/$P$20</f>
        <v>0.14202356846579808</v>
      </c>
      <c r="R12" s="34">
        <f t="shared" si="0"/>
        <v>-0.10232055564992544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485</v>
      </c>
      <c r="D13" s="34">
        <f>+C13/$C$20</f>
        <v>6.2556429769121624E-2</v>
      </c>
      <c r="E13" s="32">
        <v>48</v>
      </c>
      <c r="F13" s="34"/>
      <c r="G13" s="34">
        <f>IF(C13=0,"",(E13-C13)/ABS(C13)+1)</f>
        <v>9.8969072164948435E-2</v>
      </c>
      <c r="H13" s="32">
        <v>0</v>
      </c>
      <c r="I13" s="34"/>
      <c r="J13" s="34" t="str">
        <f>IF(H13=0,"",(E13-H13)/ABS(H13))</f>
        <v/>
      </c>
      <c r="K13" s="32">
        <v>3545</v>
      </c>
      <c r="L13" s="34">
        <f>+K13/$K$20</f>
        <v>4.7130302990015555E-2</v>
      </c>
      <c r="M13" s="32">
        <v>424.5</v>
      </c>
      <c r="N13" s="34">
        <f>+M13/$M$20</f>
        <v>6.4195529450549781E-3</v>
      </c>
      <c r="O13" s="34">
        <f>IF(K13=0,"",(M13-K13)/ABS(K13)+1)</f>
        <v>0.1197461212976022</v>
      </c>
      <c r="P13" s="32">
        <v>1667</v>
      </c>
      <c r="Q13" s="34"/>
      <c r="R13" s="34">
        <f t="shared" si="0"/>
        <v>-0.74535092981403717</v>
      </c>
      <c r="S13" s="34"/>
      <c r="T13" s="63"/>
      <c r="U13" s="3" t="s">
        <v>33</v>
      </c>
      <c r="V13" s="32"/>
      <c r="W13" s="32"/>
      <c r="X13" s="32">
        <v>0</v>
      </c>
      <c r="Y13" s="32">
        <f>+AF13+V13</f>
        <v>0</v>
      </c>
      <c r="Z13" s="32">
        <f t="shared" ref="Z13:Z14" si="1">+W13+AH13</f>
        <v>0</v>
      </c>
      <c r="AA13" s="63">
        <v>362</v>
      </c>
      <c r="AB13" s="68" t="str">
        <f>IF(Y13=0,"",(Z13-Y13)/ABS(Y13)+1)</f>
        <v/>
      </c>
      <c r="AC13" s="32">
        <v>362</v>
      </c>
      <c r="AD13" s="34">
        <f>IF(AC13=0,"",(Z13-AC13)/ABS(AC13))</f>
        <v>-1</v>
      </c>
      <c r="AF13" s="32"/>
      <c r="AG13" s="32"/>
      <c r="AH13" s="32"/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/>
    </row>
    <row r="15" spans="1:34" x14ac:dyDescent="0.2">
      <c r="A15" s="94"/>
      <c r="B15" s="3" t="str">
        <f>+'COLOMB$ '!B15</f>
        <v>Voice Experience (Audicóm)</v>
      </c>
      <c r="C15" s="32">
        <v>87</v>
      </c>
      <c r="D15" s="34">
        <f>+C15/$C$20</f>
        <v>1.1221462659615633E-2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2295</v>
      </c>
      <c r="L15" s="34"/>
      <c r="M15" s="32">
        <v>1656</v>
      </c>
      <c r="N15" s="34"/>
      <c r="O15" s="34">
        <f>IF(K15=0,"",(M15-K15)/ABS(K15)+1)</f>
        <v>0.72156862745098038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/>
      <c r="W15" s="32">
        <v>3536.8999999999996</v>
      </c>
      <c r="X15" s="32">
        <v>4445.8999999999996</v>
      </c>
      <c r="Y15" s="32">
        <f t="shared" si="2"/>
        <v>0</v>
      </c>
      <c r="Z15" s="32">
        <v>41152</v>
      </c>
      <c r="AA15" s="63">
        <v>24681.1</v>
      </c>
      <c r="AB15" s="68" t="str">
        <f>IF(Y15=0,"",(Z15-Y15)/ABS(Y15)+1)</f>
        <v/>
      </c>
      <c r="AC15" s="32">
        <v>42403.9</v>
      </c>
      <c r="AD15" s="34">
        <f>IF(AC15=0,"",(Z15-AC15)/ABS(AC15))</f>
        <v>-2.9523227816309384E-2</v>
      </c>
      <c r="AF15" s="32"/>
      <c r="AG15" s="32"/>
      <c r="AH15" s="32"/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/>
      <c r="W16" s="32">
        <v>2613.2999999999997</v>
      </c>
      <c r="X16" s="32">
        <v>2295.8000000000002</v>
      </c>
      <c r="Y16" s="32">
        <f t="shared" si="2"/>
        <v>0</v>
      </c>
      <c r="Z16" s="32">
        <v>18281</v>
      </c>
      <c r="AA16" s="63">
        <v>9058.7000000000007</v>
      </c>
      <c r="AB16" s="68" t="str">
        <f>IF(Y16=0,"",(Z16-Y16)/ABS(Y16)+1)</f>
        <v/>
      </c>
      <c r="AC16" s="32">
        <v>15500.8</v>
      </c>
      <c r="AD16" s="34">
        <f>IF(AC16=0,"",(Z16-AC16)/ABS(AC16))</f>
        <v>0.17935848472336918</v>
      </c>
      <c r="AF16" s="32"/>
      <c r="AG16" s="32"/>
      <c r="AH16" s="32"/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0</v>
      </c>
      <c r="W17" s="32">
        <f>SUM(W13:W16)</f>
        <v>6150.1999999999989</v>
      </c>
      <c r="X17" s="32">
        <v>6741.7</v>
      </c>
      <c r="Y17" s="32">
        <f>SUM(Y13:Y16)</f>
        <v>0</v>
      </c>
      <c r="Z17" s="32">
        <f>SUM(Z13:Z16)</f>
        <v>59433</v>
      </c>
      <c r="AA17" s="63">
        <v>34101.800000000003</v>
      </c>
      <c r="AB17" s="68" t="str">
        <f>IF(Y17=0,"",(Z17-Y17)/ABS(Y17)+1)</f>
        <v/>
      </c>
      <c r="AC17" s="32">
        <v>58266.7</v>
      </c>
      <c r="AD17" s="34">
        <f>IF(AC17=0,"",(Z17-AC17)/ABS(AC17))</f>
        <v>2.0016578937883955E-2</v>
      </c>
      <c r="AF17" s="32"/>
      <c r="AG17" s="32"/>
      <c r="AH17" s="32"/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0</v>
      </c>
      <c r="W19" s="32">
        <f>W11-W17</f>
        <v>-191.99999999999909</v>
      </c>
      <c r="X19" s="32">
        <v>4946.0999999999995</v>
      </c>
      <c r="Y19" s="32">
        <f>Y11-Y17</f>
        <v>0</v>
      </c>
      <c r="Z19" s="32">
        <f>Z11-Z17</f>
        <v>16758</v>
      </c>
      <c r="AA19" s="63">
        <v>12805.799999999996</v>
      </c>
      <c r="AB19" s="68" t="str">
        <f>IF(Y19=0,"",(Z19-Y19)/ABS(Y19)+1)</f>
        <v/>
      </c>
      <c r="AC19" s="32">
        <v>24232.100000000006</v>
      </c>
      <c r="AD19" s="34">
        <f>IF(AC19=0,"",(Z19-AC19)/ABS(AC19))</f>
        <v>-0.30843798102516928</v>
      </c>
      <c r="AF19" s="32"/>
      <c r="AG19" s="32"/>
      <c r="AH19" s="32"/>
      <c r="AI19" s="55"/>
    </row>
    <row r="20" spans="1:35" x14ac:dyDescent="0.2">
      <c r="B20" s="20" t="s">
        <v>39</v>
      </c>
      <c r="C20" s="69">
        <f>SUM(C10:C19)</f>
        <v>7753</v>
      </c>
      <c r="D20" s="45">
        <f>+C20/$C$20</f>
        <v>1</v>
      </c>
      <c r="E20" s="69">
        <f>SUM(E10:E19)</f>
        <v>6058.3399999999992</v>
      </c>
      <c r="F20" s="45">
        <f>+E20/$E$20</f>
        <v>1</v>
      </c>
      <c r="G20" s="45">
        <f>IF(C20=0,"",(E20-C20)/ABS(C20)+1)</f>
        <v>0.78141880562362953</v>
      </c>
      <c r="H20" s="69">
        <f>SUM(H10:H19)</f>
        <v>6413.92</v>
      </c>
      <c r="I20" s="45">
        <f>+H20/$H$20</f>
        <v>1</v>
      </c>
      <c r="J20" s="45">
        <f>IF(H20=0,"",(E20-H20)/ABS(H20))</f>
        <v>-5.5438795619527657E-2</v>
      </c>
      <c r="K20" s="69">
        <f>SUM(K10:K19)</f>
        <v>75217</v>
      </c>
      <c r="L20" s="45">
        <f>+K20/$K$20</f>
        <v>1</v>
      </c>
      <c r="M20" s="69">
        <f>SUM(M10:M19)</f>
        <v>66126.100000000006</v>
      </c>
      <c r="N20" s="45">
        <f>+M20/$M$20</f>
        <v>1</v>
      </c>
      <c r="O20" s="45">
        <f>IF(K20=0,"",(M20-K20)/ABS(K20)+1)</f>
        <v>0.87913769493598526</v>
      </c>
      <c r="P20" s="69">
        <f>SUM(P10:P19)</f>
        <v>74611.56</v>
      </c>
      <c r="Q20" s="45">
        <f>+P20/$P$20</f>
        <v>1</v>
      </c>
      <c r="R20" s="45">
        <f>IF(P20=0,"",(M20-P20)/ABS(P20))</f>
        <v>-0.1137284892582328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13901</v>
      </c>
      <c r="W21" s="32">
        <f>+W10+W19</f>
        <v>20071.25</v>
      </c>
      <c r="X21" s="32">
        <v>23424.51</v>
      </c>
      <c r="Y21" s="32">
        <f>+Y10+Y19</f>
        <v>0</v>
      </c>
      <c r="Z21" s="32">
        <f>+Z10+Z19</f>
        <v>30659</v>
      </c>
      <c r="AA21" s="63">
        <v>27973.799999999996</v>
      </c>
      <c r="AB21" s="68" t="str">
        <f>IF(Y21=0,"",(Z21-Y21)/ABS(Y21)+1)</f>
        <v/>
      </c>
      <c r="AC21" s="32">
        <v>39400.100000000006</v>
      </c>
      <c r="AD21" s="34">
        <f>IF(AC21=0,"",(Z21-AC21)/ABS(AC21))</f>
        <v>-0.22185476686607405</v>
      </c>
      <c r="AF21" s="32"/>
      <c r="AG21" s="32"/>
      <c r="AH21" s="32"/>
    </row>
    <row r="22" spans="1:35" x14ac:dyDescent="0.2">
      <c r="A22" s="94"/>
      <c r="B22" s="3" t="s">
        <v>41</v>
      </c>
      <c r="C22" s="32">
        <v>194</v>
      </c>
      <c r="D22" s="34">
        <f>+C22/$C$20</f>
        <v>2.5022571907648651E-2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1418</v>
      </c>
      <c r="L22" s="34">
        <f>+K22/$K$20</f>
        <v>1.8852121196006221E-2</v>
      </c>
      <c r="M22" s="32">
        <v>0</v>
      </c>
      <c r="N22" s="34">
        <f>+M22/$M$20</f>
        <v>0</v>
      </c>
      <c r="O22" s="34">
        <f>IF(K22=0,"",(M22-K22)/ABS(K22)+1)</f>
        <v>0</v>
      </c>
      <c r="P22" s="32">
        <v>621.66</v>
      </c>
      <c r="Q22" s="34">
        <f>+P22/$P$20</f>
        <v>8.331952850201765E-3</v>
      </c>
      <c r="R22" s="34">
        <f>IF(P22=0,"",(M22-P22)/ABS(P22))</f>
        <v>-1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/>
      <c r="X23" s="32">
        <v>0</v>
      </c>
      <c r="Y23" s="32">
        <f>+AF23+V23</f>
        <v>0</v>
      </c>
      <c r="Z23" s="32">
        <v>1325</v>
      </c>
      <c r="AA23" s="63">
        <v>585</v>
      </c>
      <c r="AB23" s="68" t="str">
        <f>IF(Y23=0,"",(Z23-Y23)/ABS(Y23)+1)</f>
        <v/>
      </c>
      <c r="AC23" s="32">
        <v>6730</v>
      </c>
      <c r="AD23" s="34">
        <f>IF(AC23=0,"",(Z23-AC23)/ABS(AC23))</f>
        <v>-0.80312035661218428</v>
      </c>
      <c r="AF23" s="32"/>
      <c r="AG23" s="32"/>
      <c r="AH23" s="32"/>
    </row>
    <row r="24" spans="1:35" x14ac:dyDescent="0.2">
      <c r="B24" s="3" t="s">
        <v>43</v>
      </c>
      <c r="C24" s="32">
        <f>+C20-C22</f>
        <v>7559</v>
      </c>
      <c r="D24" s="34">
        <f>+C24/$C$20</f>
        <v>0.97497742809235133</v>
      </c>
      <c r="E24" s="32">
        <f>+E20-E22</f>
        <v>6058.3399999999992</v>
      </c>
      <c r="F24" s="34">
        <f>+E24/$E$20</f>
        <v>1</v>
      </c>
      <c r="G24" s="34">
        <f>IF(C24=0,"",(E24-C24)/ABS(C24)+1)</f>
        <v>0.80147373991268678</v>
      </c>
      <c r="H24" s="32">
        <f>+H20-H22</f>
        <v>6413.92</v>
      </c>
      <c r="I24" s="34">
        <f>+H24/$H$20</f>
        <v>1</v>
      </c>
      <c r="J24" s="34">
        <f>IF(H24=0,"",(E24-H24)/ABS(H24))</f>
        <v>-5.5438795619527657E-2</v>
      </c>
      <c r="K24" s="32">
        <f>+K20-K22</f>
        <v>73799</v>
      </c>
      <c r="L24" s="34">
        <f>+K24/$K$20</f>
        <v>0.98114787880399379</v>
      </c>
      <c r="M24" s="32">
        <f>+M20-M22</f>
        <v>66126.100000000006</v>
      </c>
      <c r="N24" s="34">
        <f>+M24/$M$20</f>
        <v>1</v>
      </c>
      <c r="O24" s="34">
        <f>IF(K24=0,"",(M24-K24)/ABS(K24)+1)</f>
        <v>0.89602975650076566</v>
      </c>
      <c r="P24" s="32">
        <f>+P20-P22</f>
        <v>73989.899999999994</v>
      </c>
      <c r="Q24" s="34">
        <f>+P24/$P$20</f>
        <v>0.99166804714979817</v>
      </c>
      <c r="R24" s="34">
        <f>IF(P24=0,"",(M24-P24)/ABS(P24))</f>
        <v>-0.10628207363437427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/>
      <c r="W25" s="32">
        <v>856.1</v>
      </c>
      <c r="X25" s="32">
        <v>1067</v>
      </c>
      <c r="Y25" s="32">
        <f>+AF25+V25</f>
        <v>0</v>
      </c>
      <c r="Z25" s="32">
        <v>10119</v>
      </c>
      <c r="AA25" s="63">
        <v>6100.8</v>
      </c>
      <c r="AB25" s="68" t="str">
        <f>IF(Y25=0,"",(Z25-Y25)/ABS(Y25)+1)</f>
        <v/>
      </c>
      <c r="AC25" s="32">
        <v>10312</v>
      </c>
      <c r="AD25" s="34">
        <f>IF(AC25=0,"",(Z25-AC25)/ABS(AC25))</f>
        <v>-1.8716058960434444E-2</v>
      </c>
      <c r="AF25" s="32"/>
      <c r="AG25" s="32"/>
      <c r="AH25" s="32"/>
    </row>
    <row r="26" spans="1:35" x14ac:dyDescent="0.2">
      <c r="B26" s="3" t="s">
        <v>45</v>
      </c>
      <c r="C26" s="32">
        <v>685</v>
      </c>
      <c r="D26" s="34">
        <f>+C26/$C$20</f>
        <v>8.8352895653295502E-2</v>
      </c>
      <c r="E26" s="32">
        <v>1775.58</v>
      </c>
      <c r="F26" s="34">
        <f>+E26/$E$20</f>
        <v>0.2930802827177082</v>
      </c>
      <c r="G26" s="34">
        <f>IF(C26=0,"",(E26-C26)/ABS(C26)+1)</f>
        <v>2.5920875912408761</v>
      </c>
      <c r="H26" s="32">
        <v>486.09</v>
      </c>
      <c r="I26" s="34">
        <f>+H26/$H$20</f>
        <v>7.5786726370144927E-2</v>
      </c>
      <c r="J26" s="34">
        <f>IF(H26=0,"",(E26-H26)/ABS(H26))</f>
        <v>2.6527803493180278</v>
      </c>
      <c r="K26" s="32">
        <v>7875</v>
      </c>
      <c r="L26" s="34">
        <f>+K26/$K$20</f>
        <v>0.10469707645877926</v>
      </c>
      <c r="M26" s="32">
        <v>6887.59</v>
      </c>
      <c r="N26" s="34">
        <f>+M26/$M$20</f>
        <v>0.10415841853670486</v>
      </c>
      <c r="O26" s="34">
        <f>IF(K26=0,"",(M26-K26)/ABS(K26)+1)</f>
        <v>0.87461460317460316</v>
      </c>
      <c r="P26" s="32">
        <v>5248.64</v>
      </c>
      <c r="Q26" s="34">
        <f>+P26/$P$20</f>
        <v>7.0346203724999196E-2</v>
      </c>
      <c r="R26" s="34">
        <f>IF(P26=0,"",(M26-P26)/ABS(P26))</f>
        <v>0.31226184306791849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1020</v>
      </c>
      <c r="D27" s="34">
        <f>+C27/$C$20</f>
        <v>0.13156197600928674</v>
      </c>
      <c r="E27" s="32">
        <v>984.56</v>
      </c>
      <c r="F27" s="34">
        <f>+E27/$E$20</f>
        <v>0.16251316367189694</v>
      </c>
      <c r="G27" s="34">
        <f>IF(C27=0,"",(E27-C27)/ABS(C27)+1)</f>
        <v>0.96525490196078423</v>
      </c>
      <c r="H27" s="32">
        <v>1225.3399999999999</v>
      </c>
      <c r="I27" s="34">
        <f>+H27/$H$20</f>
        <v>0.19104385461620974</v>
      </c>
      <c r="J27" s="34">
        <f>IF(H27=0,"",(E27-H27)/ABS(H27))</f>
        <v>-0.19650056310901462</v>
      </c>
      <c r="K27" s="32">
        <v>11736</v>
      </c>
      <c r="L27" s="34">
        <f>+K27/$K$20</f>
        <v>0.1560285573739979</v>
      </c>
      <c r="M27" s="32">
        <v>10827.3</v>
      </c>
      <c r="N27" s="34">
        <f>+M27/$M$20</f>
        <v>0.16373716278443759</v>
      </c>
      <c r="O27" s="34">
        <f>IF(K27=0,"",(M27-K27)/ABS(K27)+1)</f>
        <v>0.92257157464212669</v>
      </c>
      <c r="P27" s="32">
        <v>11672.67</v>
      </c>
      <c r="Q27" s="34">
        <f>+P27/$P$20</f>
        <v>0.1564458644210093</v>
      </c>
      <c r="R27" s="34">
        <f>IF(P27=0,"",(M27-P27)/ABS(P27))</f>
        <v>-7.2423018897989994E-2</v>
      </c>
      <c r="S27" s="34"/>
      <c r="T27" s="63"/>
      <c r="U27" s="3" t="s">
        <v>47</v>
      </c>
      <c r="V27" s="32"/>
      <c r="W27" s="32"/>
      <c r="X27" s="32"/>
      <c r="Y27" s="32">
        <f t="shared" ref="Y27:Y28" si="3">+AF27+V27</f>
        <v>0</v>
      </c>
      <c r="Z27" s="32">
        <f t="shared" ref="Z27:Z28" si="4">+W27+AH27</f>
        <v>0</v>
      </c>
      <c r="AA27" s="63"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/>
      <c r="AG27" s="32"/>
    </row>
    <row r="28" spans="1:35" x14ac:dyDescent="0.2">
      <c r="B28" s="3" t="s">
        <v>48</v>
      </c>
      <c r="C28" s="32">
        <f>SUM(C26:C27)</f>
        <v>1705</v>
      </c>
      <c r="D28" s="34">
        <f>+C28/$C$20</f>
        <v>0.21991487166258222</v>
      </c>
      <c r="E28" s="32">
        <f>SUM(E26:E27)</f>
        <v>2760.14</v>
      </c>
      <c r="F28" s="34">
        <f>+E28/$E$20</f>
        <v>0.45559344638960508</v>
      </c>
      <c r="G28" s="34">
        <f>IF(C28=0,"",(E28-C28)/ABS(C28)+1)</f>
        <v>1.6188504398826979</v>
      </c>
      <c r="H28" s="32">
        <f>SUM(H26:H27)</f>
        <v>1711.4299999999998</v>
      </c>
      <c r="I28" s="34">
        <f>+H28/$H$20</f>
        <v>0.26683058098635465</v>
      </c>
      <c r="J28" s="34">
        <f>IF(H28=0,"",(E28-H28)/ABS(H28))</f>
        <v>0.61276826980945764</v>
      </c>
      <c r="K28" s="32">
        <f>SUM(K26:K27)</f>
        <v>19611</v>
      </c>
      <c r="L28" s="34">
        <f>+K28/$K$20</f>
        <v>0.26072563383277714</v>
      </c>
      <c r="M28" s="32">
        <f>SUM(M26:M27)</f>
        <v>17714.89</v>
      </c>
      <c r="N28" s="34">
        <f>+M28/$M$20</f>
        <v>0.26789558132114244</v>
      </c>
      <c r="O28" s="34">
        <f>IF(K28=0,"",(M28-K28)/ABS(K28)+1)</f>
        <v>0.90331395645301105</v>
      </c>
      <c r="P28" s="32">
        <f>SUM(P26:P27)</f>
        <v>16921.310000000001</v>
      </c>
      <c r="Q28" s="34">
        <f>+P28/$P$20</f>
        <v>0.2267920681460085</v>
      </c>
      <c r="R28" s="34">
        <f>IF(P28=0,"",(M28-P28)/ABS(P28))</f>
        <v>4.6898260241080507E-2</v>
      </c>
      <c r="S28" s="34"/>
      <c r="T28" s="63"/>
      <c r="U28" s="3" t="s">
        <v>49</v>
      </c>
      <c r="V28" s="32"/>
      <c r="W28" s="32"/>
      <c r="X28" s="32"/>
      <c r="Y28" s="32">
        <f t="shared" si="3"/>
        <v>0</v>
      </c>
      <c r="Z28" s="32">
        <f t="shared" si="4"/>
        <v>0</v>
      </c>
      <c r="AA28" s="63"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/>
      <c r="AG28" s="32"/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5248</v>
      </c>
      <c r="D30" s="34">
        <f>+C30/$C$20</f>
        <v>0.67689926480072227</v>
      </c>
      <c r="E30" s="32">
        <v>4341.37</v>
      </c>
      <c r="F30" s="34">
        <f>+E30/$E$20</f>
        <v>0.71659398449080114</v>
      </c>
      <c r="G30" s="34">
        <f>IF(C30=0,"",(E30-C30)/ABS(C30)+1)</f>
        <v>0.82724275914634138</v>
      </c>
      <c r="H30" s="32">
        <v>4905.03</v>
      </c>
      <c r="I30" s="34">
        <f>+H30/$H$20</f>
        <v>0.76474761144510683</v>
      </c>
      <c r="J30" s="34">
        <f>IF(H30=0,"",(E30-H30)/ABS(H30))</f>
        <v>-0.11491468961453852</v>
      </c>
      <c r="K30" s="32">
        <v>55079</v>
      </c>
      <c r="L30" s="34">
        <f>+K30/$K$20</f>
        <v>0.73226797133626709</v>
      </c>
      <c r="M30" s="32">
        <v>49473.43</v>
      </c>
      <c r="N30" s="34">
        <f>+M30/$M$20</f>
        <v>0.74816796998462021</v>
      </c>
      <c r="O30" s="34">
        <f>IF(K30=0,"",(M30-K30)/ABS(K30)+1)</f>
        <v>0.8982267288803355</v>
      </c>
      <c r="P30" s="32">
        <v>55930.39</v>
      </c>
      <c r="Q30" s="34">
        <f>+P30/$P$20</f>
        <v>0.74962097026251695</v>
      </c>
      <c r="R30" s="34">
        <f>IF(P30=0,"",(M30-P30)/ABS(P30))</f>
        <v>-0.11544636109277978</v>
      </c>
      <c r="S30" s="34"/>
      <c r="T30" s="63"/>
      <c r="U30" s="20" t="s">
        <v>51</v>
      </c>
      <c r="V30" s="69">
        <f>V21-V23-V25-V27-V28</f>
        <v>13901</v>
      </c>
      <c r="W30" s="69">
        <f>W21-W23-W25-W27-W28</f>
        <v>19215.150000000001</v>
      </c>
      <c r="X30" s="69">
        <v>22357.51</v>
      </c>
      <c r="Y30" s="69">
        <f>Y21-Y23-Y25-Y27-Y28</f>
        <v>0</v>
      </c>
      <c r="Z30" s="69">
        <f>Z21-Z23-Z25-Z27-Z28</f>
        <v>19215</v>
      </c>
      <c r="AA30" s="71">
        <v>21287.999999999996</v>
      </c>
      <c r="AB30" s="72">
        <f>IF(V30=0,"",(W30-V30)/ABS(V30)+1)</f>
        <v>1.3822854470901376</v>
      </c>
      <c r="AC30" s="69">
        <v>22358.100000000006</v>
      </c>
      <c r="AD30" s="34">
        <f>IF(AC30=0,"",(Z30-AC30)/ABS(AC30))</f>
        <v>-0.14057992405436978</v>
      </c>
      <c r="AF30" s="67"/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/>
      <c r="W31" s="63"/>
      <c r="X31" s="61"/>
      <c r="Y31" s="32"/>
      <c r="Z31" s="32"/>
      <c r="AA31" s="95"/>
      <c r="AB31" s="61"/>
      <c r="AC31" s="32"/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5248</v>
      </c>
      <c r="D32" s="34">
        <f>+C32/$C$20</f>
        <v>0.67689926480072227</v>
      </c>
      <c r="E32" s="32">
        <f>SUM(E30:E31)</f>
        <v>4341.37</v>
      </c>
      <c r="F32" s="34">
        <f>+E32/$E$20</f>
        <v>0.71659398449080114</v>
      </c>
      <c r="G32" s="34">
        <f>IF(C32=0,"",(E32-C32)/ABS(C32)+1)</f>
        <v>0.82724275914634138</v>
      </c>
      <c r="H32" s="32">
        <f>SUM(H30:H31)</f>
        <v>4905.03</v>
      </c>
      <c r="I32" s="34">
        <f>+H32/$H$20</f>
        <v>0.76474761144510683</v>
      </c>
      <c r="J32" s="34">
        <f>IF(H32=0,"",(E32-H32)/ABS(H32))</f>
        <v>-0.11491468961453852</v>
      </c>
      <c r="K32" s="32">
        <f>SUM(K30:K31)</f>
        <v>55079</v>
      </c>
      <c r="L32" s="34">
        <f>+K32/$K$20</f>
        <v>0.73226797133626709</v>
      </c>
      <c r="M32" s="32">
        <f>SUM(M30:M31)</f>
        <v>49473.43</v>
      </c>
      <c r="N32" s="34">
        <f>+M32/$M$20</f>
        <v>0.74816796998462021</v>
      </c>
      <c r="O32" s="34">
        <f>IF(K32=0,"",(M32-K32)/ABS(K32)+1)</f>
        <v>0.8982267288803355</v>
      </c>
      <c r="P32" s="32">
        <f>SUM(P30:P31)</f>
        <v>55930.39</v>
      </c>
      <c r="Q32" s="34">
        <f>+P32/$P$20</f>
        <v>0.74962097026251695</v>
      </c>
      <c r="R32" s="34">
        <f>IF(P32=0,"",(M32-P32)/ABS(P32))</f>
        <v>-0.11544636109277978</v>
      </c>
      <c r="S32" s="34"/>
      <c r="T32" s="63"/>
      <c r="U32" s="54"/>
      <c r="V32" s="54"/>
      <c r="W32" s="54" t="s">
        <v>61</v>
      </c>
      <c r="X32" s="54" t="s">
        <v>61</v>
      </c>
      <c r="Y32" s="73"/>
      <c r="Z32" s="73" t="s">
        <v>61</v>
      </c>
      <c r="AA32" s="73"/>
      <c r="AB32" s="54"/>
      <c r="AC32" s="54" t="s">
        <v>61</v>
      </c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6953</v>
      </c>
      <c r="D34" s="34">
        <f>+C34/$C$20</f>
        <v>0.89681413646330455</v>
      </c>
      <c r="E34" s="32">
        <f>E28+E32</f>
        <v>7101.51</v>
      </c>
      <c r="F34" s="34">
        <f>+E34/$E$20</f>
        <v>1.1721874308804063</v>
      </c>
      <c r="G34" s="34">
        <f>IF(C34=0,"",(E34-C34)/ABS(C34)+1)</f>
        <v>1.0213591255573133</v>
      </c>
      <c r="H34" s="32">
        <f>H28+H32</f>
        <v>6616.4599999999991</v>
      </c>
      <c r="I34" s="34">
        <f>+H34/$H$20</f>
        <v>1.0315781924314613</v>
      </c>
      <c r="J34" s="34">
        <f>IF(H34=0,"",(E34-H34)/ABS(H34))</f>
        <v>7.3309594556605975E-2</v>
      </c>
      <c r="K34" s="32">
        <f>K28+K32</f>
        <v>74690</v>
      </c>
      <c r="L34" s="34">
        <f>+K34/$K$20</f>
        <v>0.99299360516904422</v>
      </c>
      <c r="M34" s="32">
        <f>M28+M32</f>
        <v>67188.320000000007</v>
      </c>
      <c r="N34" s="34">
        <f>+M34/$M$20</f>
        <v>1.0160635513057628</v>
      </c>
      <c r="O34" s="34">
        <f>IF(K34=0,"",(M34-K34)/ABS(K34)+1)</f>
        <v>0.89956245816039637</v>
      </c>
      <c r="P34" s="32">
        <f>P28+P32</f>
        <v>72851.7</v>
      </c>
      <c r="Q34" s="34">
        <f>+P34/$P$20</f>
        <v>0.97641303840852545</v>
      </c>
      <c r="R34" s="34">
        <f>IF(P34=0,"",(M34-P34)/ABS(P34))</f>
        <v>-7.7738474187973514E-2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606</v>
      </c>
      <c r="D36" s="45">
        <f>+C36/$C$20</f>
        <v>7.8163291629046824E-2</v>
      </c>
      <c r="E36" s="69">
        <f>E24-E34</f>
        <v>-1043.170000000001</v>
      </c>
      <c r="F36" s="45">
        <f>+E36/$E$20</f>
        <v>-0.17218743088040636</v>
      </c>
      <c r="G36" s="45">
        <f>IF(C36=0,"",(E36-C36)/ABS(C36)+1)</f>
        <v>-1.7214026402640279</v>
      </c>
      <c r="H36" s="69">
        <f>H24-H34</f>
        <v>-202.53999999999905</v>
      </c>
      <c r="I36" s="45">
        <f>+H36/$H$20</f>
        <v>-3.157819243146142E-2</v>
      </c>
      <c r="J36" s="45">
        <f>IF(H36=0,"",(E36-H36)/ABS(H36))</f>
        <v>-4.1504394193739795</v>
      </c>
      <c r="K36" s="69">
        <f>K24-K34</f>
        <v>-891</v>
      </c>
      <c r="L36" s="45">
        <f>+K36/$K$20</f>
        <v>-1.1845726365050454E-2</v>
      </c>
      <c r="M36" s="69">
        <f>M24-M34</f>
        <v>-1062.2200000000012</v>
      </c>
      <c r="N36" s="45">
        <f>+M36/$M$20</f>
        <v>-1.6063551305762792E-2</v>
      </c>
      <c r="O36" s="45">
        <f>IF(K36=0,"",(M36-K36)/ABS(K36)+1)</f>
        <v>0.80783389450055987</v>
      </c>
      <c r="P36" s="69">
        <f>P24-P34</f>
        <v>1138.1999999999971</v>
      </c>
      <c r="Q36" s="45">
        <f>+P36/$P$20</f>
        <v>1.5255008741272762E-2</v>
      </c>
      <c r="R36" s="45">
        <f>IF(P36=0,"",(M36-P36)/ABS(P36))</f>
        <v>-1.9332454753118993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96" t="s">
        <v>110</v>
      </c>
      <c r="V37" s="97" t="s">
        <v>8</v>
      </c>
      <c r="W37" s="97" t="s">
        <v>111</v>
      </c>
      <c r="X37" s="97"/>
      <c r="Y37" s="96"/>
      <c r="Z37" s="96"/>
      <c r="AA37" s="96"/>
      <c r="AB37" s="96"/>
      <c r="AC37" s="96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0</v>
      </c>
      <c r="N38" s="34">
        <f>+M38/$M$20</f>
        <v>0</v>
      </c>
      <c r="O38" s="34" t="str">
        <f>IF(K38=0,"",(M38-K38)/ABS(K38)+1)</f>
        <v/>
      </c>
      <c r="P38" s="32">
        <v>5470.85</v>
      </c>
      <c r="Q38" s="34">
        <f>+P38/$P$20</f>
        <v>7.3324428546997278E-2</v>
      </c>
      <c r="R38" s="34">
        <f>IF(P38=0,"",(M38-P38)/ABS(P38))</f>
        <v>-1</v>
      </c>
      <c r="S38" s="34"/>
      <c r="T38" s="63"/>
      <c r="U38" s="96" t="s">
        <v>112</v>
      </c>
      <c r="V38" s="98">
        <f>+V30</f>
        <v>13901</v>
      </c>
      <c r="W38" s="98">
        <f>+W30</f>
        <v>19215.150000000001</v>
      </c>
      <c r="X38" s="99">
        <f>+W38/V38</f>
        <v>1.3822854470901376</v>
      </c>
      <c r="Y38" s="96"/>
      <c r="Z38" s="96"/>
      <c r="AA38" s="96"/>
      <c r="AB38" s="96"/>
      <c r="AC38" s="96"/>
    </row>
    <row r="39" spans="1:34" x14ac:dyDescent="0.2">
      <c r="B39" s="3" t="s">
        <v>57</v>
      </c>
      <c r="C39" s="32">
        <v>12</v>
      </c>
      <c r="D39" s="34">
        <f>+C39/$C$20</f>
        <v>1.5477879530504321E-3</v>
      </c>
      <c r="E39" s="32">
        <v>5</v>
      </c>
      <c r="F39" s="34">
        <f>+E39/$E$20</f>
        <v>8.2530858287913858E-4</v>
      </c>
      <c r="G39" s="34">
        <f>IF(C39=0,"",(E39-C39)/ABS(C39)+1)</f>
        <v>0.41666666666666663</v>
      </c>
      <c r="H39" s="32">
        <v>0</v>
      </c>
      <c r="I39" s="34">
        <f>+H39/$H$20</f>
        <v>0</v>
      </c>
      <c r="J39" s="34" t="str">
        <f>IF(H39=0,"",(E39-H39)/ABS(H39))</f>
        <v/>
      </c>
      <c r="K39" s="32">
        <v>120</v>
      </c>
      <c r="L39" s="34">
        <f>+K39/$K$20</f>
        <v>1.5953840222290173E-3</v>
      </c>
      <c r="M39" s="32">
        <v>136.96</v>
      </c>
      <c r="N39" s="34">
        <f>+M39/$M$20</f>
        <v>2.0711942788097285E-3</v>
      </c>
      <c r="O39" s="34">
        <f>IF(K39=0,"",(M39-K39)/ABS(K39)+1)</f>
        <v>1.1413333333333333</v>
      </c>
      <c r="P39" s="32">
        <v>54.52</v>
      </c>
      <c r="Q39" s="34">
        <f>+P39/$P$20</f>
        <v>7.3071786731171418E-4</v>
      </c>
      <c r="R39" s="34">
        <f>IF(P39=0,"",(M39-P39)/ABS(P39))</f>
        <v>1.5121056493030078</v>
      </c>
      <c r="S39" s="34"/>
      <c r="T39" s="63"/>
      <c r="U39" s="96" t="s">
        <v>113</v>
      </c>
      <c r="V39" s="98">
        <f>+'VENEZUELA USD'!W24</f>
        <v>0</v>
      </c>
      <c r="W39" s="98">
        <f>+'VENEZUELA USD'!Y24</f>
        <v>0</v>
      </c>
      <c r="X39" s="96"/>
      <c r="Y39" s="96"/>
      <c r="Z39" s="96"/>
      <c r="AA39" s="96"/>
      <c r="AB39" s="96"/>
      <c r="AC39" s="96"/>
    </row>
    <row r="40" spans="1:34" x14ac:dyDescent="0.2">
      <c r="J40" s="34"/>
      <c r="R40" s="34"/>
      <c r="S40" s="34"/>
      <c r="U40" s="96" t="s">
        <v>114</v>
      </c>
      <c r="V40" s="98">
        <f>+'PANAMA USD'!U30</f>
        <v>0</v>
      </c>
      <c r="W40" s="98">
        <f>+'PANAMA USD'!V30</f>
        <v>0</v>
      </c>
      <c r="X40" s="96"/>
      <c r="Y40" s="96"/>
      <c r="Z40" s="96"/>
      <c r="AA40" s="96"/>
      <c r="AB40" s="96"/>
      <c r="AC40" s="96"/>
      <c r="AG40" s="55"/>
    </row>
    <row r="41" spans="1:34" x14ac:dyDescent="0.2">
      <c r="B41" s="3" t="s">
        <v>58</v>
      </c>
      <c r="C41" s="32">
        <f>C36+C38-C39</f>
        <v>594</v>
      </c>
      <c r="D41" s="34">
        <f>+C41/$C$20</f>
        <v>7.6615503675996385E-2</v>
      </c>
      <c r="E41" s="32">
        <f>E36+E38-E39</f>
        <v>-1048.170000000001</v>
      </c>
      <c r="F41" s="34">
        <f>+E41/$E$20</f>
        <v>-0.17301273946328552</v>
      </c>
      <c r="G41" s="34">
        <f>IF(C41=0,"",(E41-C41)/ABS(C41)+1)</f>
        <v>-1.7645959595959613</v>
      </c>
      <c r="H41" s="32">
        <f>H36+H38-H39</f>
        <v>-202.53999999999905</v>
      </c>
      <c r="I41" s="34">
        <f>+H41/$H$20</f>
        <v>-3.157819243146142E-2</v>
      </c>
      <c r="J41" s="34">
        <f>IF(H41=0,"",(E41-H41)/ABS(H41))</f>
        <v>-4.1751259010566102</v>
      </c>
      <c r="K41" s="32">
        <f>K36+K38-K39</f>
        <v>-1011</v>
      </c>
      <c r="L41" s="34">
        <f>+K41/$K$20</f>
        <v>-1.3441110387279472E-2</v>
      </c>
      <c r="M41" s="32">
        <f>M36+M38-M39</f>
        <v>-1199.1800000000012</v>
      </c>
      <c r="N41" s="34">
        <f>+M41/$M$20</f>
        <v>-1.8134745584572523E-2</v>
      </c>
      <c r="O41" s="34">
        <f>IF(K41=0,"",(M41-K41)/ABS(K41)+1)</f>
        <v>0.81386745796241233</v>
      </c>
      <c r="P41" s="32">
        <f>P36+P38-P39</f>
        <v>6554.529999999997</v>
      </c>
      <c r="Q41" s="34">
        <f>+P41/$P$20</f>
        <v>8.7848719420958329E-2</v>
      </c>
      <c r="R41" s="34">
        <f>IF(P41=0,"",(M41-P41)/ABS(P41))</f>
        <v>-1.182954384219769</v>
      </c>
      <c r="S41" s="34"/>
      <c r="T41" s="63"/>
      <c r="U41" s="96" t="s">
        <v>115</v>
      </c>
      <c r="V41" s="98">
        <f>SUM(V38:V40)</f>
        <v>13901</v>
      </c>
      <c r="W41" s="98">
        <f>SUM(W38:W40)</f>
        <v>19215.150000000001</v>
      </c>
      <c r="X41" s="96" t="s">
        <v>116</v>
      </c>
      <c r="Y41" s="96"/>
      <c r="Z41" s="96"/>
      <c r="AA41" s="96"/>
      <c r="AB41" s="96"/>
      <c r="AC41" s="96"/>
    </row>
    <row r="42" spans="1:34" x14ac:dyDescent="0.2">
      <c r="A42" s="94"/>
      <c r="B42" s="3" t="s">
        <v>44</v>
      </c>
      <c r="C42" s="32">
        <v>179</v>
      </c>
      <c r="D42" s="34">
        <f>+C42/$C$20</f>
        <v>2.3087836966335613E-2</v>
      </c>
      <c r="E42" s="32">
        <v>0</v>
      </c>
      <c r="F42" s="34">
        <f>+E42/$E$20</f>
        <v>0</v>
      </c>
      <c r="G42" s="34">
        <f>IF(C42=0,"",(E42-C42)/ABS(C42)+1)</f>
        <v>0</v>
      </c>
      <c r="H42" s="32">
        <v>0</v>
      </c>
      <c r="I42" s="34">
        <f>+H42/$H$20</f>
        <v>0</v>
      </c>
      <c r="J42" s="34" t="str">
        <f>IF(H42=0,"",(E42-H42)/ABS(H42))</f>
        <v/>
      </c>
      <c r="K42" s="32">
        <v>-301</v>
      </c>
      <c r="L42" s="34">
        <f>+K42/$K$20</f>
        <v>-4.0017549224244517E-3</v>
      </c>
      <c r="M42" s="32">
        <v>570.36</v>
      </c>
      <c r="N42" s="34">
        <f>+M42/$M$20</f>
        <v>8.6253385576950704E-3</v>
      </c>
      <c r="O42" s="34">
        <f>IF(K42=0,"",(M42-K42)/ABS(K42)+1)</f>
        <v>3.8948837209302325</v>
      </c>
      <c r="P42" s="32">
        <v>362.9</v>
      </c>
      <c r="Q42" s="34">
        <f>+P42/$P$20</f>
        <v>4.8638575577296603E-3</v>
      </c>
      <c r="R42" s="34">
        <f>IF(P42=0,"",(M42-P42)/ABS(P42))</f>
        <v>0.57167263709010763</v>
      </c>
      <c r="S42" s="34"/>
      <c r="T42" s="63"/>
      <c r="U42" s="96" t="s">
        <v>117</v>
      </c>
      <c r="V42" s="98">
        <f>+V41-V39</f>
        <v>13901</v>
      </c>
      <c r="W42" s="98">
        <f>+W41-W39</f>
        <v>19215.150000000001</v>
      </c>
      <c r="X42" s="100">
        <f>+W42/V42</f>
        <v>1.3822854470901376</v>
      </c>
      <c r="Y42" s="96"/>
      <c r="Z42" s="96"/>
      <c r="AA42" s="96"/>
      <c r="AB42" s="96"/>
      <c r="AC42" s="96"/>
    </row>
    <row r="43" spans="1:34" x14ac:dyDescent="0.2">
      <c r="B43" s="20" t="s">
        <v>59</v>
      </c>
      <c r="C43" s="69">
        <f>C41-C42</f>
        <v>415</v>
      </c>
      <c r="D43" s="45">
        <f>+C43/$C$20</f>
        <v>5.3527666709660776E-2</v>
      </c>
      <c r="E43" s="69">
        <f>E41-E42</f>
        <v>-1048.170000000001</v>
      </c>
      <c r="F43" s="45">
        <f>+E43/$E$20</f>
        <v>-0.17301273946328552</v>
      </c>
      <c r="G43" s="45">
        <f>IF(C43=0,"",(E43-C43)/ABS(C43)+1)</f>
        <v>-2.5257108433734965</v>
      </c>
      <c r="H43" s="69">
        <f>H41-H42</f>
        <v>-202.53999999999905</v>
      </c>
      <c r="I43" s="45">
        <f>+H43/$H$20</f>
        <v>-3.157819243146142E-2</v>
      </c>
      <c r="J43" s="45">
        <f>IF(H43=0,"",(E43-H43)/ABS(H43))</f>
        <v>-4.1751259010566102</v>
      </c>
      <c r="K43" s="69">
        <f>K41-K42</f>
        <v>-710</v>
      </c>
      <c r="L43" s="45">
        <f>+K43/$K$20</f>
        <v>-9.439355464855019E-3</v>
      </c>
      <c r="M43" s="69">
        <f>M41-M42</f>
        <v>-1769.5400000000013</v>
      </c>
      <c r="N43" s="45">
        <f>+M43/$M$20</f>
        <v>-2.6760084142267593E-2</v>
      </c>
      <c r="O43" s="45">
        <f>IF(K43=0,"",(M43-K43)/ABS(K43)+1)</f>
        <v>-0.49230985915493153</v>
      </c>
      <c r="P43" s="69">
        <f>P41-P42</f>
        <v>6191.6299999999974</v>
      </c>
      <c r="Q43" s="45">
        <f>+P43/$P$20</f>
        <v>8.2984861863228662E-2</v>
      </c>
      <c r="R43" s="45">
        <f>IF(P43=0,"",(M43-P43)/ABS(P43))</f>
        <v>-1.2857955013461724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936</v>
      </c>
      <c r="D45" s="34">
        <f>+C45/$C$20</f>
        <v>0.1207274603379337</v>
      </c>
      <c r="E45" s="32">
        <v>-720.05000000000098</v>
      </c>
      <c r="F45" s="34">
        <f>+E45/$E$20</f>
        <v>-0.11885268902042491</v>
      </c>
      <c r="G45" s="34">
        <f>IF(C45=0,"",(E45-C45)/ABS(C45)+1)</f>
        <v>-0.76928418803418919</v>
      </c>
      <c r="H45" s="32">
        <v>115.57000000000096</v>
      </c>
      <c r="I45" s="34">
        <f>+H45/$H$20</f>
        <v>1.8018621997156335E-2</v>
      </c>
      <c r="J45" s="34">
        <f>IF(H45=0,"",(E45-H45)/ABS(H45))</f>
        <v>-7.2304231201868561</v>
      </c>
      <c r="K45" s="32">
        <v>2409</v>
      </c>
      <c r="L45" s="34">
        <f>+K45/$K$20</f>
        <v>3.2027334246247527E-2</v>
      </c>
      <c r="M45" s="32">
        <v>2265.889999999999</v>
      </c>
      <c r="N45" s="34">
        <f>+M45/$M$20</f>
        <v>3.4266197462121596E-2</v>
      </c>
      <c r="O45" s="34">
        <f>IF(K45=0,"",(M45-K45)/ABS(K45)+1)</f>
        <v>0.94059360730593566</v>
      </c>
      <c r="P45" s="32">
        <v>3900.5599999999972</v>
      </c>
      <c r="Q45" s="34">
        <f>+P45/$P$20</f>
        <v>5.2278226055050954E-2</v>
      </c>
      <c r="R45" s="34">
        <f>IF(P45=0,"",(M45-P45)/ABS(P45))</f>
        <v>-0.41908597739811704</v>
      </c>
      <c r="S45" s="34"/>
      <c r="T45" s="63"/>
    </row>
    <row r="46" spans="1:34" x14ac:dyDescent="0.2">
      <c r="B46" s="3" t="s">
        <v>35</v>
      </c>
      <c r="C46" s="32">
        <v>5126</v>
      </c>
      <c r="D46" s="34">
        <f>+C46/$C$20</f>
        <v>0.66116342061137623</v>
      </c>
      <c r="E46" s="32">
        <v>4269.96</v>
      </c>
      <c r="F46" s="34">
        <f>+E46/$E$20</f>
        <v>0.7048069273101214</v>
      </c>
      <c r="G46" s="34">
        <f>IF(C46=0,"",(E46-C46)/ABS(C46)+1)</f>
        <v>0.83300039016777216</v>
      </c>
      <c r="H46" s="32">
        <v>4771.01</v>
      </c>
      <c r="I46" s="34">
        <f>+H46/$H$20</f>
        <v>0.74385243345723051</v>
      </c>
      <c r="J46" s="34">
        <f>IF(H46=0,"",(E46-H46)/ABS(H46))</f>
        <v>-0.10501969184721896</v>
      </c>
      <c r="K46" s="32">
        <v>51870</v>
      </c>
      <c r="L46" s="34">
        <f>+K46/$K$20</f>
        <v>0.68960474360849278</v>
      </c>
      <c r="M46" s="32">
        <v>46900.29</v>
      </c>
      <c r="N46" s="34">
        <f>+M46/$M$20</f>
        <v>0.70925534698099535</v>
      </c>
      <c r="O46" s="34">
        <f>IF(K46=0,"",(M46-K46)/ABS(K46)+1)</f>
        <v>0.90418912666281093</v>
      </c>
      <c r="P46" s="32">
        <v>52831.08</v>
      </c>
      <c r="Q46" s="34">
        <f>+P46/$P$20</f>
        <v>0.70808169672367127</v>
      </c>
      <c r="R46" s="34">
        <f>IF(P46=0,"",(M46-P46)/ABS(P46))</f>
        <v>-0.11225948816492112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118</v>
      </c>
      <c r="C56" s="55" t="s">
        <v>119</v>
      </c>
      <c r="E56" s="55" t="s">
        <v>120</v>
      </c>
      <c r="N56" s="55" t="s">
        <v>121</v>
      </c>
      <c r="R56" s="55" t="s">
        <v>122</v>
      </c>
      <c r="S56" s="55"/>
    </row>
    <row r="57" spans="2:19" x14ac:dyDescent="0.2">
      <c r="B57" s="2" t="s">
        <v>112</v>
      </c>
      <c r="C57" s="55">
        <f>+C36</f>
        <v>606</v>
      </c>
      <c r="E57" s="55">
        <f>+E36</f>
        <v>-1043.170000000001</v>
      </c>
      <c r="N57" s="55">
        <f>+K36</f>
        <v>-891</v>
      </c>
      <c r="R57" s="55">
        <f>+M36</f>
        <v>-1062.2200000000012</v>
      </c>
      <c r="S57" s="55"/>
    </row>
    <row r="58" spans="2:19" x14ac:dyDescent="0.2">
      <c r="B58" s="2" t="s">
        <v>123</v>
      </c>
      <c r="C58" s="55">
        <f>+'VENEZUELA USD'!C36</f>
        <v>0</v>
      </c>
      <c r="E58" s="55">
        <f>+'VENEZUELA USD'!E36</f>
        <v>464.85693418000034</v>
      </c>
      <c r="N58" s="55">
        <f>+'VENEZUELA USD'!K36</f>
        <v>0</v>
      </c>
      <c r="R58" s="55" t="str">
        <f>+'VENEZUELA USD'!O36</f>
        <v/>
      </c>
      <c r="S58" s="55"/>
    </row>
    <row r="59" spans="2:19" x14ac:dyDescent="0.2">
      <c r="B59" s="2" t="s">
        <v>124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-2350</v>
      </c>
      <c r="S59" s="55"/>
    </row>
    <row r="60" spans="2:19" x14ac:dyDescent="0.2">
      <c r="B60" s="2" t="s">
        <v>125</v>
      </c>
      <c r="C60" s="55">
        <f>SUM(C57:C59)</f>
        <v>606</v>
      </c>
      <c r="E60" s="55">
        <f>SUM(E57:E59)</f>
        <v>-578.3130658200007</v>
      </c>
      <c r="N60" s="55">
        <f>SUM(N57:N59)</f>
        <v>-891</v>
      </c>
      <c r="R60" s="55">
        <f>SUM(R57:R59)</f>
        <v>-3412.2200000000012</v>
      </c>
      <c r="S60" s="55"/>
    </row>
    <row r="61" spans="2:19" x14ac:dyDescent="0.2">
      <c r="B61" s="2" t="s">
        <v>126</v>
      </c>
      <c r="C61" s="55">
        <f>+C60-C58</f>
        <v>606</v>
      </c>
      <c r="E61" s="55">
        <f>+E60-E58</f>
        <v>-1043.170000000001</v>
      </c>
    </row>
    <row r="62" spans="2:19" x14ac:dyDescent="0.2">
      <c r="B62" s="79" t="s">
        <v>127</v>
      </c>
    </row>
    <row r="63" spans="2:19" x14ac:dyDescent="0.2">
      <c r="B63" s="2" t="s">
        <v>112</v>
      </c>
      <c r="C63" s="55">
        <f>+C43</f>
        <v>415</v>
      </c>
      <c r="E63" s="55">
        <f>+E43</f>
        <v>-1048.170000000001</v>
      </c>
      <c r="K63" s="2">
        <f>+E63/C63</f>
        <v>-2.5257108433734965</v>
      </c>
    </row>
    <row r="64" spans="2:19" x14ac:dyDescent="0.2">
      <c r="B64" s="2" t="s">
        <v>128</v>
      </c>
      <c r="C64" s="55">
        <f>+'VENEZUELA USD'!C43</f>
        <v>0</v>
      </c>
      <c r="E64" s="55">
        <f>+'VENEZUELA USD'!E43</f>
        <v>4618.5070978700005</v>
      </c>
    </row>
    <row r="65" spans="2:6" x14ac:dyDescent="0.2">
      <c r="B65" s="2" t="s">
        <v>124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129</v>
      </c>
      <c r="C66" s="55">
        <f>SUM(C63:C65)</f>
        <v>415</v>
      </c>
      <c r="E66" s="55">
        <f>SUM(E63:E65)</f>
        <v>3570.3370978699995</v>
      </c>
    </row>
    <row r="68" spans="2:6" x14ac:dyDescent="0.2">
      <c r="B68" s="79" t="s">
        <v>130</v>
      </c>
      <c r="C68" s="101">
        <f>+C63+C65</f>
        <v>415</v>
      </c>
      <c r="D68" s="79"/>
      <c r="E68" s="101">
        <f>+E63+E65</f>
        <v>-1048.170000000001</v>
      </c>
      <c r="F68" s="102">
        <f>+E68/C68</f>
        <v>-2.5257108433734965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BA8FC-DFA9-4D65-B845-91FDD81A6DB3}">
  <sheetPr>
    <tabColor theme="0" tint="-0.14999847407452621"/>
  </sheetPr>
  <dimension ref="A1:AH48"/>
  <sheetViews>
    <sheetView showGridLines="0" topLeftCell="I1" zoomScale="98" zoomScaleNormal="98" workbookViewId="0">
      <selection activeCell="Y32" sqref="Y32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5" width="11.28515625" style="2" customWidth="1"/>
    <col min="6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131</v>
      </c>
      <c r="T3" s="18" t="s">
        <v>131</v>
      </c>
    </row>
    <row r="4" spans="1:34" x14ac:dyDescent="0.2">
      <c r="B4" s="3" t="s">
        <v>105</v>
      </c>
      <c r="C4" s="91"/>
      <c r="S4" s="103"/>
      <c r="T4" s="3" t="s">
        <v>21</v>
      </c>
    </row>
    <row r="5" spans="1:34" ht="15.75" customHeight="1" thickBot="1" x14ac:dyDescent="0.25">
      <c r="B5" s="3" t="s">
        <v>132</v>
      </c>
      <c r="E5" s="104"/>
      <c r="T5" s="3" t="s">
        <v>132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OCTUBRE de 2025</v>
      </c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OCTUBRE de 2025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2025</v>
      </c>
      <c r="D7" s="61"/>
      <c r="E7" s="61" t="str">
        <f>+'COL. CONS.$'!E7:E7</f>
        <v>Real 2025</v>
      </c>
      <c r="F7" s="61"/>
      <c r="G7" s="61" t="s">
        <v>24</v>
      </c>
      <c r="H7" s="61" t="str">
        <f>+'COL. CONS.$'!H7:H7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/>
      <c r="D10" s="68" t="str">
        <f t="shared" ref="D10:D20" si="0">IF($C$20=0," ",C10/$C$20)</f>
        <v xml:space="preserve"> </v>
      </c>
      <c r="E10" s="32">
        <v>496506</v>
      </c>
      <c r="F10" s="68">
        <f t="shared" ref="F10:F15" si="1">+E10/$E$20</f>
        <v>0.53867630701526881</v>
      </c>
      <c r="G10" s="68" t="str">
        <f t="shared" ref="G10:G15" si="2">IF(C10=0,"",(E10-C10)/ABS(C10)+1)</f>
        <v/>
      </c>
      <c r="H10" s="32">
        <v>123382</v>
      </c>
      <c r="I10" s="68">
        <f t="shared" ref="I10:I15" si="3">+H10/$H$20</f>
        <v>0.53147991798335548</v>
      </c>
      <c r="J10" s="68">
        <f t="shared" ref="J10:J15" si="4">IF(H10=0,"",(E10-H10)/ABS(H10))</f>
        <v>3.0241364218443532</v>
      </c>
      <c r="K10" s="32"/>
      <c r="L10" s="68" t="str">
        <f t="shared" ref="L10:L20" si="5">IF($K$20=0," ",K10/$K$20)</f>
        <v xml:space="preserve"> </v>
      </c>
      <c r="M10" s="32">
        <v>2932460</v>
      </c>
      <c r="N10" s="68">
        <f t="shared" ref="N10:N15" si="6">+M10/$M$20</f>
        <v>0.48535343083103699</v>
      </c>
      <c r="O10" s="68" t="str">
        <f>IF(K10=0,"",(M10-K10)/ABS(K10)+1)</f>
        <v/>
      </c>
      <c r="P10" s="32">
        <v>1009294</v>
      </c>
      <c r="Q10" s="68">
        <f t="shared" ref="Q10:Q15" si="7">+P10/$P$20</f>
        <v>0.43965653181114478</v>
      </c>
      <c r="R10" s="68">
        <f t="shared" ref="R10:R15" si="8">IF(P10=0,"",(M10-P10)/ABS(P10))</f>
        <v>1.9054566855643649</v>
      </c>
      <c r="T10" s="3" t="s">
        <v>31</v>
      </c>
      <c r="U10" s="32"/>
      <c r="V10" s="32">
        <v>711166.19</v>
      </c>
      <c r="W10" s="32">
        <v>184277</v>
      </c>
      <c r="X10" s="32">
        <v>236652</v>
      </c>
      <c r="Y10" s="32">
        <v>238865</v>
      </c>
      <c r="Z10" s="63">
        <f>+Y10-X10</f>
        <v>2213</v>
      </c>
      <c r="AA10" s="68">
        <f>IF(X10=0,"",(Y10-X10)/ABS(X10)+1)</f>
        <v>1.0093512837415277</v>
      </c>
      <c r="AB10" s="32">
        <v>253979</v>
      </c>
      <c r="AC10" s="68">
        <f>IF(W10=0,"",(Y10-AB10)/ABS(AB10))</f>
        <v>-5.9508857031486853E-2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/>
      <c r="D11" s="68" t="str">
        <f t="shared" si="0"/>
        <v xml:space="preserve"> </v>
      </c>
      <c r="E11" s="32">
        <v>144039.01</v>
      </c>
      <c r="F11" s="68">
        <f t="shared" si="1"/>
        <v>0.15627283854159943</v>
      </c>
      <c r="G11" s="68" t="str">
        <f t="shared" si="2"/>
        <v/>
      </c>
      <c r="H11" s="32">
        <v>32970</v>
      </c>
      <c r="I11" s="68">
        <f t="shared" si="3"/>
        <v>0.14202146906283922</v>
      </c>
      <c r="J11" s="68">
        <f t="shared" si="4"/>
        <v>3.3687901122232335</v>
      </c>
      <c r="K11" s="32"/>
      <c r="L11" s="68" t="str">
        <f t="shared" si="5"/>
        <v xml:space="preserve"> </v>
      </c>
      <c r="M11" s="32">
        <v>881382.24000000011</v>
      </c>
      <c r="N11" s="68">
        <f t="shared" si="6"/>
        <v>0.14587816851979038</v>
      </c>
      <c r="O11" s="68" t="str">
        <f>IF(K11=0,"",(M11-K11)/ABS(K11)+1)</f>
        <v/>
      </c>
      <c r="P11" s="32">
        <v>296193</v>
      </c>
      <c r="Q11" s="68">
        <f t="shared" si="7"/>
        <v>0.12902403772016716</v>
      </c>
      <c r="R11" s="68">
        <f t="shared" si="8"/>
        <v>1.975702464271607</v>
      </c>
      <c r="T11" s="3" t="s">
        <v>32</v>
      </c>
      <c r="U11" s="32"/>
      <c r="V11" s="32">
        <v>943039.45</v>
      </c>
      <c r="W11" s="32">
        <v>207475</v>
      </c>
      <c r="X11" s="32">
        <f>+AD8+U11</f>
        <v>0</v>
      </c>
      <c r="Y11" s="32">
        <v>6332051</v>
      </c>
      <c r="Z11" s="63">
        <f>+Y11-X11</f>
        <v>6332051</v>
      </c>
      <c r="AA11" s="68" t="str">
        <f>IF(X11=0,"",(Y11-X11)/ABS(X11)+1)</f>
        <v/>
      </c>
      <c r="AB11" s="32">
        <v>2191065</v>
      </c>
      <c r="AC11" s="68">
        <f>IF(AB11=0,"",(Y11-AB11)/ABS(AB11))</f>
        <v>1.8899421057796095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/>
      <c r="D12" s="68" t="str">
        <f t="shared" si="0"/>
        <v xml:space="preserve"> </v>
      </c>
      <c r="E12" s="32">
        <v>121092.13</v>
      </c>
      <c r="F12" s="68">
        <f t="shared" si="1"/>
        <v>0.13137698516636825</v>
      </c>
      <c r="G12" s="68" t="str">
        <f t="shared" si="2"/>
        <v/>
      </c>
      <c r="H12" s="32">
        <v>33700</v>
      </c>
      <c r="I12" s="68">
        <f t="shared" si="3"/>
        <v>0.1451660147836725</v>
      </c>
      <c r="J12" s="68">
        <f t="shared" si="4"/>
        <v>2.593238278931751</v>
      </c>
      <c r="K12" s="32"/>
      <c r="L12" s="68" t="str">
        <f t="shared" si="5"/>
        <v xml:space="preserve"> </v>
      </c>
      <c r="M12" s="32">
        <v>791412.01000000013</v>
      </c>
      <c r="N12" s="68">
        <f t="shared" si="6"/>
        <v>0.13098713512013363</v>
      </c>
      <c r="O12" s="68" t="str">
        <f>IF(K12=0,"",(M12-K12)/ABS(K12)+1)</f>
        <v/>
      </c>
      <c r="P12" s="32">
        <v>370774</v>
      </c>
      <c r="Q12" s="68">
        <f t="shared" si="7"/>
        <v>0.16151211730748957</v>
      </c>
      <c r="R12" s="68">
        <f t="shared" si="8"/>
        <v>1.1344862638696351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/>
      <c r="D13" s="68" t="str">
        <f t="shared" si="0"/>
        <v xml:space="preserve"> </v>
      </c>
      <c r="E13" s="32"/>
      <c r="F13" s="68">
        <f t="shared" si="1"/>
        <v>0</v>
      </c>
      <c r="G13" s="68" t="str">
        <f t="shared" si="2"/>
        <v/>
      </c>
      <c r="H13" s="32">
        <v>3955</v>
      </c>
      <c r="I13" s="68">
        <f t="shared" si="3"/>
        <v>1.7036545651911712E-2</v>
      </c>
      <c r="J13" s="68">
        <f t="shared" si="4"/>
        <v>-1</v>
      </c>
      <c r="K13" s="32"/>
      <c r="L13" s="68" t="str">
        <f t="shared" si="5"/>
        <v xml:space="preserve"> </v>
      </c>
      <c r="M13" s="32">
        <v>468480.73</v>
      </c>
      <c r="N13" s="68">
        <f t="shared" si="6"/>
        <v>7.7538561338851578E-2</v>
      </c>
      <c r="O13" s="68" t="str">
        <f>IF(K13=0,"",(M13-K13)/ABS(K13)+1)</f>
        <v/>
      </c>
      <c r="P13" s="32">
        <v>255942</v>
      </c>
      <c r="Q13" s="68">
        <f t="shared" si="7"/>
        <v>0.11149038046873162</v>
      </c>
      <c r="R13" s="68">
        <f t="shared" si="8"/>
        <v>0.83041755553992691</v>
      </c>
      <c r="T13" s="3" t="s">
        <v>33</v>
      </c>
      <c r="U13" s="32"/>
      <c r="V13" s="32"/>
      <c r="W13" s="32"/>
      <c r="X13" s="32">
        <f>+AD9+U13</f>
        <v>0</v>
      </c>
      <c r="Y13" s="32">
        <v>178575</v>
      </c>
      <c r="Z13" s="63">
        <f>+X13-Y13</f>
        <v>-178575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 t="str">
        <f t="shared" si="0"/>
        <v xml:space="preserve"> 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 t="str">
        <f t="shared" si="5"/>
        <v xml:space="preserve"> 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/>
      <c r="D15" s="68" t="str">
        <f t="shared" si="0"/>
        <v xml:space="preserve"> </v>
      </c>
      <c r="E15" s="32">
        <v>160077.79999999999</v>
      </c>
      <c r="F15" s="68">
        <f t="shared" si="1"/>
        <v>0.17367386927676359</v>
      </c>
      <c r="G15" s="68" t="str">
        <f t="shared" si="2"/>
        <v/>
      </c>
      <c r="H15" s="32">
        <v>38141</v>
      </c>
      <c r="I15" s="68">
        <f t="shared" si="3"/>
        <v>0.16429605251822113</v>
      </c>
      <c r="J15" s="68">
        <f t="shared" si="4"/>
        <v>3.1970006030256153</v>
      </c>
      <c r="K15" s="32"/>
      <c r="L15" s="68" t="str">
        <f t="shared" si="5"/>
        <v xml:space="preserve"> </v>
      </c>
      <c r="M15" s="32">
        <v>968171.42000000016</v>
      </c>
      <c r="N15" s="68">
        <f t="shared" si="6"/>
        <v>0.16024270419018741</v>
      </c>
      <c r="O15" s="68"/>
      <c r="P15" s="32">
        <v>363439</v>
      </c>
      <c r="Q15" s="68">
        <f t="shared" si="7"/>
        <v>0.15831693269246686</v>
      </c>
      <c r="R15" s="68">
        <f t="shared" si="8"/>
        <v>1.6639172460853133</v>
      </c>
      <c r="T15" s="3" t="s">
        <v>35</v>
      </c>
      <c r="U15" s="32"/>
      <c r="V15" s="32">
        <v>275930.21999999997</v>
      </c>
      <c r="W15" s="32">
        <v>69382</v>
      </c>
      <c r="X15" s="32">
        <f>+AD11+U15</f>
        <v>0</v>
      </c>
      <c r="Y15" s="32">
        <v>1687532</v>
      </c>
      <c r="Z15" s="63">
        <f>+X15-Y15</f>
        <v>-1687532</v>
      </c>
      <c r="AA15" s="68" t="str">
        <f>IF(X15=0,"",(Y15-X15)/ABS(X15)+1)</f>
        <v/>
      </c>
      <c r="AB15" s="32">
        <v>819056</v>
      </c>
      <c r="AC15" s="68">
        <f>IF(AB15=0,"",(Y15-AB15)/ABS(AB15))</f>
        <v>1.0603377546834405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 t="str">
        <f t="shared" si="0"/>
        <v xml:space="preserve"> </v>
      </c>
      <c r="E16" s="32"/>
      <c r="F16" s="68"/>
      <c r="G16" s="68"/>
      <c r="H16" s="32"/>
      <c r="I16" s="68"/>
      <c r="J16" s="68"/>
      <c r="K16" s="32"/>
      <c r="L16" s="68" t="str">
        <f t="shared" si="5"/>
        <v xml:space="preserve"> 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467100.07400000002</v>
      </c>
      <c r="W16" s="32">
        <v>103713</v>
      </c>
      <c r="X16" s="32">
        <f>+AD13+U16</f>
        <v>0</v>
      </c>
      <c r="Y16" s="32">
        <v>3332389</v>
      </c>
      <c r="Z16" s="63">
        <f>+X16-Y16</f>
        <v>-3332389</v>
      </c>
      <c r="AA16" s="68" t="str">
        <f>IF(X16=0,"",(Y16-X16)/ABS(X16)+1)</f>
        <v/>
      </c>
      <c r="AB16" s="32">
        <v>984184</v>
      </c>
      <c r="AC16" s="68">
        <f>IF(AB16=0,"",(Y16-AB16)/ABS(AB16))</f>
        <v>2.3859410435447028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 t="str">
        <f t="shared" si="0"/>
        <v xml:space="preserve"> </v>
      </c>
      <c r="E17" s="32"/>
      <c r="F17" s="68"/>
      <c r="G17" s="68"/>
      <c r="H17" s="32"/>
      <c r="I17" s="68"/>
      <c r="J17" s="68"/>
      <c r="K17" s="32"/>
      <c r="L17" s="68" t="str">
        <f t="shared" si="5"/>
        <v xml:space="preserve"> 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743030.29399999999</v>
      </c>
      <c r="W17" s="32">
        <v>173095</v>
      </c>
      <c r="X17" s="32">
        <f>X13+X14+X15+X16</f>
        <v>0</v>
      </c>
      <c r="Y17" s="32">
        <f>Y13+Y14+Y15+Y16</f>
        <v>5198496</v>
      </c>
      <c r="Z17" s="63">
        <f>+Y17-X17</f>
        <v>5198496</v>
      </c>
      <c r="AA17" s="68" t="str">
        <f>IF(X17=0,"",(Y17-X17)/ABS(X17)+1)</f>
        <v/>
      </c>
      <c r="AB17" s="32">
        <v>1803240</v>
      </c>
      <c r="AC17" s="68">
        <f>IF(AB17=0,"",(Y17-AB17)/ABS(AB17))</f>
        <v>1.8828641778132695</v>
      </c>
      <c r="AD17" s="67"/>
      <c r="AE17" s="67"/>
      <c r="AF17" s="67"/>
      <c r="AG17" s="67"/>
      <c r="AH17" s="67"/>
    </row>
    <row r="18" spans="2:34" x14ac:dyDescent="0.2">
      <c r="B18" s="3" t="s">
        <v>133</v>
      </c>
      <c r="C18" s="32"/>
      <c r="D18" s="68" t="str">
        <f t="shared" si="0"/>
        <v xml:space="preserve"> </v>
      </c>
      <c r="E18" s="32"/>
      <c r="F18" s="68"/>
      <c r="G18" s="68"/>
      <c r="H18" s="32"/>
      <c r="I18" s="68"/>
      <c r="J18" s="68"/>
      <c r="K18" s="32"/>
      <c r="L18" s="68" t="str">
        <f t="shared" si="5"/>
        <v xml:space="preserve"> 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 t="str">
        <f t="shared" si="0"/>
        <v xml:space="preserve"> </v>
      </c>
      <c r="E19" s="32"/>
      <c r="F19" s="68"/>
      <c r="G19" s="68"/>
      <c r="H19" s="32"/>
      <c r="I19" s="68"/>
      <c r="J19" s="68"/>
      <c r="K19" s="32"/>
      <c r="L19" s="68" t="str">
        <f t="shared" si="5"/>
        <v xml:space="preserve"> 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200009.15599999996</v>
      </c>
      <c r="W19" s="32">
        <v>34380</v>
      </c>
      <c r="X19" s="32">
        <f>X11-X17</f>
        <v>0</v>
      </c>
      <c r="Y19" s="32">
        <f>+Y11-Y17</f>
        <v>1133555</v>
      </c>
      <c r="Z19" s="63">
        <f>+Y19-X19</f>
        <v>1133555</v>
      </c>
      <c r="AA19" s="68" t="str">
        <f>IF(X19=0,"",(Y19-X19)/ABS(X19)+1)</f>
        <v/>
      </c>
      <c r="AB19" s="32">
        <v>387825</v>
      </c>
      <c r="AC19" s="68">
        <f>IF(AB19=0,"",(Y19-AB19)/ABS(AB19))</f>
        <v>1.9228518017146909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0</v>
      </c>
      <c r="D20" s="68" t="str">
        <f t="shared" si="0"/>
        <v xml:space="preserve"> </v>
      </c>
      <c r="E20" s="32">
        <f>SUM(E10:E16)</f>
        <v>921714.94</v>
      </c>
      <c r="F20" s="68">
        <f>+E20/$E$20</f>
        <v>1</v>
      </c>
      <c r="G20" s="68" t="str">
        <f>IF(C20=0,"",(E20-C20)/ABS(C20)+1)</f>
        <v/>
      </c>
      <c r="H20" s="32">
        <v>232148</v>
      </c>
      <c r="I20" s="68">
        <f>+H20/$H$20</f>
        <v>1</v>
      </c>
      <c r="J20" s="68">
        <f>IF(H20=0,"",(E20-H20)/ABS(H20))</f>
        <v>2.9703763978151865</v>
      </c>
      <c r="K20" s="32">
        <f>SUM(K10:K16)</f>
        <v>0</v>
      </c>
      <c r="L20" s="68" t="str">
        <f t="shared" si="5"/>
        <v xml:space="preserve"> </v>
      </c>
      <c r="M20" s="32">
        <f>SUM(M10:M19)</f>
        <v>6041906.4000000004</v>
      </c>
      <c r="N20" s="68">
        <f>+M20/$M$20</f>
        <v>1</v>
      </c>
      <c r="O20" s="68" t="str">
        <f>IF(K20=0,"",(M20-K20)/ABS(K20)+1)</f>
        <v/>
      </c>
      <c r="P20" s="32">
        <v>2295642</v>
      </c>
      <c r="Q20" s="68">
        <f>+P20/$P$20</f>
        <v>1</v>
      </c>
      <c r="R20" s="68">
        <f>IF(P20=0,"",(M20-P20)/ABS(P20))</f>
        <v>1.6319027095688268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0</v>
      </c>
      <c r="V21" s="32">
        <f>+V10+V19</f>
        <v>911175.3459999999</v>
      </c>
      <c r="W21" s="32">
        <v>218657</v>
      </c>
      <c r="X21" s="32">
        <f>+X10+X19</f>
        <v>236652</v>
      </c>
      <c r="Y21" s="32">
        <f>+Y10+Y19</f>
        <v>1372420</v>
      </c>
      <c r="Z21" s="63">
        <f>+Y21-X21</f>
        <v>1135768</v>
      </c>
      <c r="AA21" s="68">
        <f>IF(X21=0,"",(Y21-X21)/ABS(X21)+1)</f>
        <v>5.7993171407805555</v>
      </c>
      <c r="AB21" s="32">
        <v>641804</v>
      </c>
      <c r="AC21" s="68">
        <f>IF(AB21=0,"",(Y21-AB21)/ABS(AB21))</f>
        <v>1.1383786950533186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 t="str">
        <f>IF($C$20=0," ",C22/$C$20)</f>
        <v xml:space="preserve"> 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 t="str">
        <f>IF($K$20=0," ",K22/$K$20)</f>
        <v xml:space="preserve"> </v>
      </c>
      <c r="M22" s="32">
        <v>474453.46</v>
      </c>
      <c r="N22" s="68">
        <f>+M22/$M$20</f>
        <v>7.8527111906268529E-2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0</v>
      </c>
      <c r="D24" s="68" t="str">
        <f>IF($C$20=0," ",C24/$C$20)</f>
        <v xml:space="preserve"> </v>
      </c>
      <c r="E24" s="32">
        <f>+E20-E22</f>
        <v>921714.94</v>
      </c>
      <c r="F24" s="68">
        <f>+E24/$E$20</f>
        <v>1</v>
      </c>
      <c r="G24" s="68" t="str">
        <f>IF(C24=0,"",(E24-C24)/ABS(C24)+1)</f>
        <v/>
      </c>
      <c r="H24" s="32">
        <v>232148</v>
      </c>
      <c r="I24" s="68">
        <f>+H24/$H$20</f>
        <v>1</v>
      </c>
      <c r="J24" s="68">
        <f>IF(H24=0,"",(E24-H24)/ABS(H24))</f>
        <v>2.9703763978151865</v>
      </c>
      <c r="K24" s="32">
        <f>+K20-K22</f>
        <v>0</v>
      </c>
      <c r="L24" s="68" t="str">
        <f>IF($K$20=0," ",K24/$K$20)</f>
        <v xml:space="preserve"> </v>
      </c>
      <c r="M24" s="32">
        <f>+M20-M22</f>
        <v>5567452.9400000004</v>
      </c>
      <c r="N24" s="68">
        <f>+M24/$M$20</f>
        <v>0.92147288809373151</v>
      </c>
      <c r="O24" s="68" t="str">
        <f>IF(K24=0,"",(M24-K24)/ABS(K24)+1)</f>
        <v/>
      </c>
      <c r="P24" s="32">
        <v>2295642</v>
      </c>
      <c r="Q24" s="68">
        <f>+P24/$P$20</f>
        <v>1</v>
      </c>
      <c r="R24" s="68">
        <f>IF(P24=0,"",(M24-P24)/ABS(P24))</f>
        <v>1.4252269909681041</v>
      </c>
    </row>
    <row r="25" spans="2:34" x14ac:dyDescent="0.2">
      <c r="T25" s="3" t="s">
        <v>44</v>
      </c>
      <c r="U25" s="32"/>
      <c r="V25" s="32">
        <v>82612.89</v>
      </c>
      <c r="W25" s="32">
        <v>21445</v>
      </c>
      <c r="X25" s="32">
        <f>+AD22+U25</f>
        <v>0</v>
      </c>
      <c r="Y25" s="32">
        <v>543858</v>
      </c>
      <c r="Z25" s="63">
        <f>+Y25-X25</f>
        <v>543858</v>
      </c>
      <c r="AA25" s="68" t="str">
        <f>IF(X25=0,"",(Y25-X25)/ABS(X25)+1)</f>
        <v/>
      </c>
      <c r="AB25" s="32">
        <v>421994</v>
      </c>
      <c r="AC25" s="68">
        <f>IF(AB25=0,"",(Y25-AB25)/ABS(AB25))</f>
        <v>0.28878135708090635</v>
      </c>
      <c r="AD25" s="67"/>
      <c r="AE25" s="67"/>
      <c r="AF25" s="67"/>
    </row>
    <row r="26" spans="2:34" x14ac:dyDescent="0.2">
      <c r="B26" s="3" t="s">
        <v>45</v>
      </c>
      <c r="C26" s="32"/>
      <c r="D26" s="68" t="str">
        <f>IF($C$20=0," ",C26/$C$20)</f>
        <v xml:space="preserve"> </v>
      </c>
      <c r="E26" s="32">
        <v>13633.64</v>
      </c>
      <c r="F26" s="68">
        <f>+E26/$E$20</f>
        <v>1.4791601403357963E-2</v>
      </c>
      <c r="G26" s="68" t="str">
        <f>IF(C26=0,"",(E26-C26)/ABS(C26)+1)</f>
        <v/>
      </c>
      <c r="H26" s="32">
        <v>4347</v>
      </c>
      <c r="I26" s="68">
        <f>+H26/$H$20</f>
        <v>1.8725123628030395E-2</v>
      </c>
      <c r="J26" s="68">
        <f>IF(H26=0,"",(E26-H26)/ABS(H26))</f>
        <v>2.1363331032896249</v>
      </c>
      <c r="K26" s="32"/>
      <c r="L26" s="68" t="str">
        <f>IF($K$20=0," ",K26/$K$20)</f>
        <v xml:space="preserve"> </v>
      </c>
      <c r="M26" s="32">
        <v>84621.32</v>
      </c>
      <c r="N26" s="68">
        <f>+M26/$M$20</f>
        <v>1.4005731700841973E-2</v>
      </c>
      <c r="O26" s="68" t="str">
        <f>IF(K26=0,"",(M26-K26)/ABS(K26)+1)</f>
        <v/>
      </c>
      <c r="P26" s="32">
        <v>37475</v>
      </c>
      <c r="Q26" s="68">
        <f>+P26/$P$20</f>
        <v>1.632440946802681E-2</v>
      </c>
      <c r="R26" s="68">
        <f>IF(P26=0,"",(M26-P26)/ABS(P26))</f>
        <v>1.2580739159439629</v>
      </c>
      <c r="AF26" s="67"/>
    </row>
    <row r="27" spans="2:34" x14ac:dyDescent="0.2">
      <c r="B27" s="3" t="s">
        <v>46</v>
      </c>
      <c r="C27" s="32"/>
      <c r="D27" s="68" t="str">
        <f>IF($C$20=0," ",C27/$C$20)</f>
        <v xml:space="preserve"> </v>
      </c>
      <c r="E27" s="32">
        <v>204019.52999999997</v>
      </c>
      <c r="F27" s="68">
        <f>+E27/$E$20</f>
        <v>0.22134775205010779</v>
      </c>
      <c r="G27" s="68" t="str">
        <f>IF(C27=0,"",(E27-C27)/ABS(C27)+1)</f>
        <v/>
      </c>
      <c r="H27" s="32">
        <v>44058</v>
      </c>
      <c r="I27" s="68">
        <f>+H27/$H$20</f>
        <v>0.18978410324448197</v>
      </c>
      <c r="J27" s="68">
        <f>IF(H27=0,"",(E27-H27)/ABS(H27))</f>
        <v>3.6307033909846105</v>
      </c>
      <c r="K27" s="32"/>
      <c r="L27" s="68" t="str">
        <f>IF($K$20=0," ",K27/$K$20)</f>
        <v xml:space="preserve"> </v>
      </c>
      <c r="M27" s="32">
        <v>1205507.2100000002</v>
      </c>
      <c r="N27" s="68">
        <f>+M27/$M$20</f>
        <v>0.19952431073741891</v>
      </c>
      <c r="O27" s="68" t="str">
        <f>IF(K27=0,"",(M27-K27)/ABS(K27)+1)</f>
        <v/>
      </c>
      <c r="P27" s="32">
        <v>335810</v>
      </c>
      <c r="Q27" s="68">
        <f>+P27/$P$20</f>
        <v>0.14628151950521903</v>
      </c>
      <c r="R27" s="68">
        <f>IF(P27=0,"",(M27-P27)/ABS(P27))</f>
        <v>2.5898490515470063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0</v>
      </c>
      <c r="D28" s="68" t="str">
        <f>IF($C$20=0," ",C28/$C$20)</f>
        <v xml:space="preserve"> </v>
      </c>
      <c r="E28" s="32">
        <f>SUM(E26:E27)</f>
        <v>217653.16999999998</v>
      </c>
      <c r="F28" s="68">
        <f>+E28/$E$20</f>
        <v>0.23613935345346576</v>
      </c>
      <c r="G28" s="68" t="str">
        <f>IF(C28=0,"",(E28-C28)/ABS(C28)+1)</f>
        <v/>
      </c>
      <c r="H28" s="32">
        <v>48405</v>
      </c>
      <c r="I28" s="68">
        <f>+H28/$H$20</f>
        <v>0.20850922687251236</v>
      </c>
      <c r="J28" s="68">
        <f>IF(H28=0,"",(E28-H28)/ABS(H28))</f>
        <v>3.4965018076644969</v>
      </c>
      <c r="K28" s="32">
        <f>+K26+K27</f>
        <v>0</v>
      </c>
      <c r="L28" s="68" t="str">
        <f>IF($K$20=0," ",K28/$K$20)</f>
        <v xml:space="preserve"> </v>
      </c>
      <c r="M28" s="32">
        <f>SUM(M26:M27)</f>
        <v>1290128.5300000003</v>
      </c>
      <c r="N28" s="68">
        <f>+M28/$M$20</f>
        <v>0.2135300424382609</v>
      </c>
      <c r="O28" s="68" t="str">
        <f>IF(K28=0,"",(M28-K28)/ABS(K28)+1)</f>
        <v/>
      </c>
      <c r="P28" s="32">
        <v>373285</v>
      </c>
      <c r="Q28" s="68">
        <f>+P28/$P$20</f>
        <v>0.16260592897324583</v>
      </c>
      <c r="R28" s="68">
        <f>IF(P28=0,"",(M28-P28)/ABS(P28))</f>
        <v>2.4561488674873093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/>
      <c r="D30" s="68" t="str">
        <f>IF($C$20=0," ",C30/$C$20)</f>
        <v xml:space="preserve"> </v>
      </c>
      <c r="E30" s="32">
        <v>345084.81999999995</v>
      </c>
      <c r="F30" s="68">
        <f>+E30/$E$20</f>
        <v>0.37439430025947062</v>
      </c>
      <c r="G30" s="68" t="str">
        <f>IF(C30=0,"",(E30-C30)/ABS(C30)+1)</f>
        <v/>
      </c>
      <c r="H30" s="32">
        <v>136417</v>
      </c>
      <c r="I30" s="68">
        <f>+H30/$H$20</f>
        <v>0.5876294432861795</v>
      </c>
      <c r="J30" s="68">
        <f>IF(H30=0,"",(E30-H30)/ABS(H30))</f>
        <v>1.529632083977803</v>
      </c>
      <c r="K30" s="32"/>
      <c r="L30" s="68" t="str">
        <f>IF($K$20=0," ",K30/$K$20)</f>
        <v xml:space="preserve"> </v>
      </c>
      <c r="M30" s="32">
        <v>2563950.4299999997</v>
      </c>
      <c r="N30" s="68">
        <f>+M30/$M$20</f>
        <v>0.42436116355592657</v>
      </c>
      <c r="O30" s="68" t="str">
        <f>IF(K30=0,"",(M30-K30)/ABS(K30)+1)</f>
        <v/>
      </c>
      <c r="P30" s="32">
        <v>1425593</v>
      </c>
      <c r="Q30" s="68">
        <f>+P30/$P$20</f>
        <v>0.62099970291535</v>
      </c>
      <c r="R30" s="68">
        <f>IF(P30=0,"",(M30-P30)/ABS(P30))</f>
        <v>0.79851502497557136</v>
      </c>
      <c r="T30" s="3" t="s">
        <v>51</v>
      </c>
      <c r="U30" s="32">
        <f>+U21-U25-U23+U27</f>
        <v>0</v>
      </c>
      <c r="V30" s="32">
        <f>+V21-V25-V23+V27</f>
        <v>828562.45599999989</v>
      </c>
      <c r="W30" s="32">
        <v>197212</v>
      </c>
      <c r="X30" s="32">
        <f>+X21-X25-X23-X27</f>
        <v>236652</v>
      </c>
      <c r="Y30" s="32">
        <f>+Y21-Y25-Y23+Y27</f>
        <v>828562</v>
      </c>
      <c r="Z30" s="63">
        <f>+Y30-X30</f>
        <v>591910</v>
      </c>
      <c r="AA30" s="68" t="str">
        <f>IF(U30=0,"",(V30-U30)/ABS(U30)+1)</f>
        <v/>
      </c>
      <c r="AB30" s="32">
        <v>197212</v>
      </c>
      <c r="AC30" s="68">
        <f>IF(AB30=0,"",(Y30-AB30)/ABS(AB30))</f>
        <v>3.2013771981421009</v>
      </c>
      <c r="AD30" s="55"/>
      <c r="AF30" s="67"/>
    </row>
    <row r="31" spans="2:34" x14ac:dyDescent="0.2">
      <c r="B31" s="3" t="s">
        <v>52</v>
      </c>
      <c r="C31" s="32"/>
      <c r="D31" s="68" t="str">
        <f>IF($C$20=0," ",C31/$C$20)</f>
        <v xml:space="preserve"> </v>
      </c>
      <c r="E31" s="32">
        <v>255005.37</v>
      </c>
      <c r="F31" s="68">
        <f>+E31/$E$20</f>
        <v>0.27666403020439273</v>
      </c>
      <c r="G31" s="68" t="str">
        <f>IF(C31=0,"",(E31-C31)/ABS(C31)+1)</f>
        <v/>
      </c>
      <c r="H31" s="32">
        <v>48947</v>
      </c>
      <c r="I31" s="68">
        <f>+H31/$H$20</f>
        <v>0.21084394438030912</v>
      </c>
      <c r="J31" s="68">
        <f>IF(H31=0,"",(E31-H31)/ABS(H31))</f>
        <v>4.209826342778924</v>
      </c>
      <c r="K31" s="32"/>
      <c r="L31" s="68" t="str">
        <f>IF($K$20=0," ",K31/$K$20)</f>
        <v xml:space="preserve"> </v>
      </c>
      <c r="M31" s="32">
        <v>1409435.3199999998</v>
      </c>
      <c r="N31" s="68">
        <f>+M31/$M$20</f>
        <v>0.23327658965388801</v>
      </c>
      <c r="O31" s="68" t="str">
        <f>IF(K31=0,"",(M31-K31)/ABS(K31)+1)</f>
        <v/>
      </c>
      <c r="P31" s="32">
        <v>419998</v>
      </c>
      <c r="Q31" s="68">
        <f>+P31/$P$20</f>
        <v>0.18295448506343759</v>
      </c>
      <c r="R31" s="68">
        <f>IF(P31=0,"",(M31-P31)/ABS(P31))</f>
        <v>2.3558143610207662</v>
      </c>
      <c r="T31" s="61"/>
      <c r="U31" s="61"/>
      <c r="V31" s="61" t="s">
        <v>61</v>
      </c>
      <c r="W31" s="61" t="s">
        <v>61</v>
      </c>
      <c r="X31" s="32"/>
      <c r="Y31" s="32" t="s">
        <v>61</v>
      </c>
      <c r="Z31" s="61"/>
      <c r="AA31" s="61"/>
      <c r="AB31" s="32" t="s">
        <v>61</v>
      </c>
      <c r="AC31" s="61"/>
      <c r="AD31" s="55"/>
    </row>
    <row r="32" spans="2:34" x14ac:dyDescent="0.2">
      <c r="B32" s="3" t="s">
        <v>53</v>
      </c>
      <c r="C32" s="32">
        <f>SUM(C30:C31)</f>
        <v>0</v>
      </c>
      <c r="D32" s="68" t="str">
        <f>IF($C$20=0," ",C32/$C$20)</f>
        <v xml:space="preserve"> </v>
      </c>
      <c r="E32" s="32">
        <f>SUM(E30:E31)</f>
        <v>600090.18999999994</v>
      </c>
      <c r="F32" s="68">
        <f>+E32/$E$20</f>
        <v>0.6510583304638633</v>
      </c>
      <c r="G32" s="68" t="str">
        <f>IF(C32=0,"",(E32-C32)/ABS(C32)+1)</f>
        <v/>
      </c>
      <c r="H32" s="32">
        <v>185364</v>
      </c>
      <c r="I32" s="68">
        <f>+H32/$H$20</f>
        <v>0.79847338766648857</v>
      </c>
      <c r="J32" s="68">
        <f>IF(H32=0,"",(E32-H32)/ABS(H32))</f>
        <v>2.2373610301892488</v>
      </c>
      <c r="K32" s="32">
        <f>+K30+K31</f>
        <v>0</v>
      </c>
      <c r="L32" s="68" t="str">
        <f>IF($K$20=0," ",K32/$K$20)</f>
        <v xml:space="preserve"> </v>
      </c>
      <c r="M32" s="32">
        <f>+M30+M31</f>
        <v>3973385.7499999995</v>
      </c>
      <c r="N32" s="68">
        <f>+M32/$M$20</f>
        <v>0.65763775320981455</v>
      </c>
      <c r="O32" s="68" t="str">
        <f>IF(K32=0,"",(M32-K32)/ABS(K32)+1)</f>
        <v/>
      </c>
      <c r="P32" s="32">
        <v>1845591</v>
      </c>
      <c r="Q32" s="68">
        <f>+P32/$P$20</f>
        <v>0.80395418797878759</v>
      </c>
      <c r="R32" s="68">
        <f>IF(P32=0,"",(M32-P32)/ABS(P32))</f>
        <v>1.1529069820995006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0</v>
      </c>
      <c r="D34" s="68" t="str">
        <f>IF($C$20=0," ",C34/$C$20)</f>
        <v xml:space="preserve"> </v>
      </c>
      <c r="E34" s="32">
        <f>E28+E32</f>
        <v>817743.35999999987</v>
      </c>
      <c r="F34" s="68">
        <f>+E34/$E$20</f>
        <v>0.88719768391732901</v>
      </c>
      <c r="G34" s="68" t="str">
        <f>IF(C34=0,"",(E34-C34)/ABS(C34)+1)</f>
        <v/>
      </c>
      <c r="H34" s="32">
        <v>233769</v>
      </c>
      <c r="I34" s="68">
        <f>+H34/$H$20</f>
        <v>1.0069826145390011</v>
      </c>
      <c r="J34" s="68">
        <f>IF(H34=0,"",(E34-H34)/ABS(H34))</f>
        <v>2.4980829793514103</v>
      </c>
      <c r="K34" s="32">
        <f>K28+K32</f>
        <v>0</v>
      </c>
      <c r="L34" s="68" t="str">
        <f>IF($K$20=0," ",K34/$K$20)</f>
        <v xml:space="preserve"> </v>
      </c>
      <c r="M34" s="32">
        <f>M28+M32</f>
        <v>5263514.2799999993</v>
      </c>
      <c r="N34" s="68">
        <f>+M34/$M$20</f>
        <v>0.87116779564807545</v>
      </c>
      <c r="O34" s="68" t="str">
        <f>IF(K34=0,"",(M34-K34)/ABS(K34)+1)</f>
        <v/>
      </c>
      <c r="P34" s="32">
        <v>2218876</v>
      </c>
      <c r="Q34" s="68">
        <f>+P34/$P$20</f>
        <v>0.96656011695203348</v>
      </c>
      <c r="R34" s="68">
        <f>IF(P34=0,"",(M34-P34)/ABS(P34))</f>
        <v>1.372153414611722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0</v>
      </c>
      <c r="D36" s="68" t="str">
        <f>IF($C$20=0," ",C36/$C$20)</f>
        <v xml:space="preserve"> </v>
      </c>
      <c r="E36" s="32">
        <f>E24-E34</f>
        <v>103971.58000000007</v>
      </c>
      <c r="F36" s="68">
        <f>+E36/$E$20</f>
        <v>0.11280231608267094</v>
      </c>
      <c r="G36" s="68" t="str">
        <f>IF(C36=0,"",(E36-C36)/ABS(C36)+1)</f>
        <v/>
      </c>
      <c r="H36" s="32">
        <v>-1621</v>
      </c>
      <c r="I36" s="68">
        <f>+H36/$H$20</f>
        <v>-6.9826145390009817E-3</v>
      </c>
      <c r="J36" s="68">
        <f>IF(H36=0,"",(E36-H36)/ABS(H36))</f>
        <v>65.140394818013618</v>
      </c>
      <c r="K36" s="32">
        <f>K24-K34</f>
        <v>0</v>
      </c>
      <c r="L36" s="68" t="str">
        <f>IF($K$20=0," ",K36/$K$20)</f>
        <v xml:space="preserve"> </v>
      </c>
      <c r="M36" s="32">
        <f>M24-M34</f>
        <v>303938.66000000108</v>
      </c>
      <c r="N36" s="68">
        <f>+M36/$M$20</f>
        <v>5.030509244565607E-2</v>
      </c>
      <c r="O36" s="68" t="str">
        <f>IF(K36=0,"",(M36-K36)/ABS(K36)+1)</f>
        <v/>
      </c>
      <c r="P36" s="32">
        <v>76766</v>
      </c>
      <c r="Q36" s="68">
        <f>+P36/$P$20</f>
        <v>3.3439883047966537E-2</v>
      </c>
      <c r="R36" s="68">
        <f>IF(P36=0,"",(M36-P36)/ABS(P36))</f>
        <v>2.9592874449626279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 t="str">
        <f>IF($C$20=0," ",C38/$C$20)</f>
        <v xml:space="preserve"> </v>
      </c>
      <c r="E38" s="32">
        <v>929662.74</v>
      </c>
      <c r="F38" s="68">
        <f>+E38/$E$20</f>
        <v>1.0086228395082757</v>
      </c>
      <c r="G38" s="68" t="str">
        <f>IF(C38=0,"",(E38-C38)/ABS(C38)+1)</f>
        <v/>
      </c>
      <c r="H38" s="32">
        <v>91855</v>
      </c>
      <c r="I38" s="68">
        <f>+H38/$H$20</f>
        <v>0.39567431121525926</v>
      </c>
      <c r="J38" s="68">
        <f>IF(H38=0,"",(E38-H38)/ABS(H38))</f>
        <v>9.1209813292689557</v>
      </c>
      <c r="K38" s="32">
        <f>+S28+C38</f>
        <v>0</v>
      </c>
      <c r="L38" s="68" t="str">
        <f>IF($K$20=0," ",K38/$K$20)</f>
        <v xml:space="preserve"> </v>
      </c>
      <c r="M38" s="32">
        <v>3109684.3200000003</v>
      </c>
      <c r="N38" s="68">
        <f>+M38/$M$20</f>
        <v>0.51468594746850105</v>
      </c>
      <c r="O38" s="68" t="str">
        <f>IF(K38=0,"",(M38-K38)/ABS(K38)+1)</f>
        <v/>
      </c>
      <c r="P38" s="32">
        <v>85564</v>
      </c>
      <c r="Q38" s="68">
        <f>+P38/$P$20</f>
        <v>3.7272362154029244E-2</v>
      </c>
      <c r="R38" s="68">
        <f>IF(P38=0,"",(M38-P38)/ABS(P38))</f>
        <v>35.34337244635595</v>
      </c>
      <c r="AD38" s="55"/>
    </row>
    <row r="39" spans="2:30" x14ac:dyDescent="0.2">
      <c r="B39" s="3" t="s">
        <v>57</v>
      </c>
      <c r="C39" s="32"/>
      <c r="D39" s="68" t="str">
        <f>IF($C$20=0," ",C39/$C$20)</f>
        <v xml:space="preserve"> </v>
      </c>
      <c r="E39" s="32">
        <v>642.35</v>
      </c>
      <c r="F39" s="68">
        <f>+E39/$E$20</f>
        <v>6.9690744081895867E-4</v>
      </c>
      <c r="G39" s="68" t="str">
        <f>IF(C39=0,"",(E39-C39)/ABS(C39)+1)</f>
        <v/>
      </c>
      <c r="H39" s="32">
        <v>159</v>
      </c>
      <c r="I39" s="68">
        <f>+H39/$H$20</f>
        <v>6.8490790357875143E-4</v>
      </c>
      <c r="J39" s="68">
        <f>IF(H39=0,"",(E39-H39)/ABS(H39))</f>
        <v>3.0399371069182393</v>
      </c>
      <c r="K39" s="32"/>
      <c r="L39" s="68" t="str">
        <f>IF($K$20=0," ",K39/$K$20)</f>
        <v xml:space="preserve"> </v>
      </c>
      <c r="M39" s="32">
        <v>46510.42</v>
      </c>
      <c r="N39" s="68">
        <f>+M39/$M$20</f>
        <v>7.6979709583054768E-3</v>
      </c>
      <c r="O39" s="68" t="str">
        <f>IF(K39=0,"",(M39-K39)/ABS(K39)+1)</f>
        <v/>
      </c>
      <c r="P39" s="32">
        <v>32185</v>
      </c>
      <c r="Q39" s="68">
        <f>+P39/$P$20</f>
        <v>1.4020043194888402E-2</v>
      </c>
      <c r="R39" s="68">
        <f>IF(P39=0,"",(M39-P39)/ABS(P39))</f>
        <v>0.4450961628087618</v>
      </c>
    </row>
    <row r="41" spans="2:30" x14ac:dyDescent="0.2">
      <c r="B41" s="3" t="s">
        <v>58</v>
      </c>
      <c r="C41" s="32">
        <f>C36+C38-C39</f>
        <v>0</v>
      </c>
      <c r="D41" s="68" t="str">
        <f>IF($C$20=0," ",C41/$C$20)</f>
        <v xml:space="preserve"> </v>
      </c>
      <c r="E41" s="32">
        <f>E36+E38-E39</f>
        <v>1032991.9700000001</v>
      </c>
      <c r="F41" s="68">
        <f>+E41/$E$20</f>
        <v>1.1207282481501277</v>
      </c>
      <c r="G41" s="68" t="str">
        <f>IF(C41=0,"",(E41-C41)/ABS(C41)+1)</f>
        <v/>
      </c>
      <c r="H41" s="32">
        <v>90075</v>
      </c>
      <c r="I41" s="68">
        <f>+H41/$H$20</f>
        <v>0.38800678877267952</v>
      </c>
      <c r="J41" s="68">
        <f>IF(H41=0,"",(E41-H41)/ABS(H41))</f>
        <v>10.468131779072996</v>
      </c>
      <c r="K41" s="32">
        <f>K36+K38-K39</f>
        <v>0</v>
      </c>
      <c r="L41" s="68" t="str">
        <f>IF($K$20=0," ",K41/$K$20)</f>
        <v xml:space="preserve"> </v>
      </c>
      <c r="M41" s="32">
        <f>M36+M38-M39</f>
        <v>3367112.5600000015</v>
      </c>
      <c r="N41" s="68">
        <f>+M41/$M$20</f>
        <v>0.55729306895585162</v>
      </c>
      <c r="O41" s="68" t="str">
        <f>IF(K41=0,"",(M41-K41)/ABS(K41)+1)</f>
        <v/>
      </c>
      <c r="P41" s="32">
        <v>130145</v>
      </c>
      <c r="Q41" s="68">
        <f>+P41/$P$20</f>
        <v>5.6692202007107381E-2</v>
      </c>
      <c r="R41" s="68">
        <f>IF(P41=0,"",(M41-P41)/ABS(P41))</f>
        <v>24.872008605785865</v>
      </c>
    </row>
    <row r="42" spans="2:30" x14ac:dyDescent="0.2">
      <c r="B42" s="3" t="s">
        <v>44</v>
      </c>
      <c r="C42" s="32"/>
      <c r="D42" s="68" t="str">
        <f>IF($C$20=0," ",C42/$C$20)</f>
        <v xml:space="preserve"> </v>
      </c>
      <c r="E42" s="32"/>
      <c r="F42" s="68">
        <f>+E42/$E$20</f>
        <v>0</v>
      </c>
      <c r="G42" s="68" t="str">
        <f>IF(C42=0,"",(E42-C42)/ABS(C42)+1)</f>
        <v/>
      </c>
      <c r="H42" s="32">
        <v>0</v>
      </c>
      <c r="I42" s="68">
        <f>+H42/$H$20</f>
        <v>0</v>
      </c>
      <c r="J42" s="68" t="str">
        <f>IF(H42=0,"",(E42-H42)/ABS(H42))</f>
        <v/>
      </c>
      <c r="K42" s="32"/>
      <c r="L42" s="68" t="str">
        <f>IF($K$20=0," ",K42/$K$20)</f>
        <v xml:space="preserve"> </v>
      </c>
      <c r="M42" s="32"/>
      <c r="N42" s="68">
        <f>+M42/$M$20</f>
        <v>0</v>
      </c>
      <c r="O42" s="68" t="str">
        <f>IF(K42=0,"",(M42-K42)/ABS(K42)+1)</f>
        <v/>
      </c>
      <c r="P42" s="32">
        <v>0</v>
      </c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0</v>
      </c>
      <c r="D43" s="72" t="str">
        <f>IF($C$20=0," ",C43/$C$20)</f>
        <v xml:space="preserve"> </v>
      </c>
      <c r="E43" s="69">
        <f>+E41-E42</f>
        <v>1032991.9700000001</v>
      </c>
      <c r="F43" s="72">
        <f>+E43/$E$20</f>
        <v>1.1207282481501277</v>
      </c>
      <c r="G43" s="72" t="str">
        <f>IF(C43=0,"",(E43-C43)/ABS(C43)+1)</f>
        <v/>
      </c>
      <c r="H43" s="69">
        <v>90075</v>
      </c>
      <c r="I43" s="72">
        <f>+H43/$H$20</f>
        <v>0.38800678877267952</v>
      </c>
      <c r="J43" s="72">
        <f>IF(H43=0,"",(E43-H43)/ABS(H43))</f>
        <v>10.468131779072996</v>
      </c>
      <c r="K43" s="69">
        <f>+K41-K42</f>
        <v>0</v>
      </c>
      <c r="L43" s="72" t="str">
        <f>IF($K$20=0," ",K43/$K$20)</f>
        <v xml:space="preserve"> </v>
      </c>
      <c r="M43" s="69">
        <f>+M41-M42</f>
        <v>3367112.5600000015</v>
      </c>
      <c r="N43" s="72">
        <f>+M43/$M$20</f>
        <v>0.55729306895585162</v>
      </c>
      <c r="O43" s="72" t="str">
        <f>IF(K43=0,"",(M43-K43)/ABS(K43)+1)</f>
        <v/>
      </c>
      <c r="P43" s="69">
        <v>130145</v>
      </c>
      <c r="Q43" s="72">
        <f>+P43/$P$20</f>
        <v>5.6692202007107381E-2</v>
      </c>
      <c r="R43" s="72">
        <f>IF(P43=0,"",(M43-P43)/ABS(P43))</f>
        <v>24.872008605785865</v>
      </c>
    </row>
    <row r="45" spans="2:30" x14ac:dyDescent="0.2">
      <c r="B45" s="3" t="s">
        <v>60</v>
      </c>
      <c r="C45" s="32"/>
      <c r="D45" s="68" t="str">
        <f>IF($C$20=0," ",C45/$C$20)</f>
        <v xml:space="preserve"> </v>
      </c>
      <c r="E45" s="32">
        <v>1033449.9400000002</v>
      </c>
      <c r="F45" s="68">
        <f>+E45/$E$20</f>
        <v>1.1212251154353647</v>
      </c>
      <c r="G45" s="68" t="str">
        <f>IF(C45=0,"",(E45-C45)/ABS(C45)+1)</f>
        <v/>
      </c>
      <c r="H45" s="32">
        <v>-28924.670000000013</v>
      </c>
      <c r="I45" s="68">
        <f>+H45/$H$20</f>
        <v>-0.12459581818495104</v>
      </c>
      <c r="J45" s="68">
        <f>IF(H45=0,"",(E45-H45)/ABS(H45))</f>
        <v>36.729014021594701</v>
      </c>
      <c r="K45" s="32">
        <f>+K43</f>
        <v>0</v>
      </c>
      <c r="L45" s="68" t="str">
        <f>IF($K$20=0," ",K45/$K$20)</f>
        <v xml:space="preserve"> </v>
      </c>
      <c r="M45" s="32">
        <v>3371696.0100000021</v>
      </c>
      <c r="N45" s="68">
        <f>+M45/$M$20</f>
        <v>0.55805167885421092</v>
      </c>
      <c r="O45" s="68" t="str">
        <f>IF(K45=0,"",(M45-K45)/ABS(K45)+1)</f>
        <v/>
      </c>
      <c r="P45" s="32">
        <v>134727</v>
      </c>
      <c r="Q45" s="68">
        <f>+P45/$P$20</f>
        <v>5.8688157822517621E-2</v>
      </c>
      <c r="R45" s="68">
        <f>IF(P45=0,"",(M45-P45)/ABS(P45))</f>
        <v>24.026134405130389</v>
      </c>
    </row>
    <row r="46" spans="2:30" x14ac:dyDescent="0.2">
      <c r="B46" s="3" t="s">
        <v>35</v>
      </c>
      <c r="C46" s="32"/>
      <c r="D46" s="68"/>
      <c r="E46" s="32">
        <v>149998.35999999999</v>
      </c>
      <c r="F46" s="68">
        <f>+E46/$E$20</f>
        <v>0.16273834077160559</v>
      </c>
      <c r="G46" s="68"/>
      <c r="H46" s="32">
        <v>87351</v>
      </c>
      <c r="I46" s="68">
        <f>+H46/$H$20</f>
        <v>0.37627289487740578</v>
      </c>
      <c r="J46" s="68"/>
      <c r="K46" s="32"/>
      <c r="L46" s="68"/>
      <c r="M46" s="32">
        <v>1355851.58</v>
      </c>
      <c r="N46" s="68">
        <f>+M46/$M$20</f>
        <v>0.22440790873556068</v>
      </c>
      <c r="O46" s="68" t="str">
        <f>IF(K46=0,"",(M46-K46)/ABS(K46)+1)</f>
        <v/>
      </c>
      <c r="P46" s="32">
        <v>925355</v>
      </c>
      <c r="Q46" s="68"/>
      <c r="R46" s="68">
        <f>IF(P46=0,"",(M46-P46)/ABS(P46))</f>
        <v>0.46522316300230732</v>
      </c>
    </row>
    <row r="47" spans="2:30" x14ac:dyDescent="0.2">
      <c r="B47" s="61"/>
      <c r="C47" s="61"/>
      <c r="D47" s="61"/>
      <c r="E47" s="61"/>
      <c r="F47" s="61"/>
      <c r="G47" s="61"/>
      <c r="H47" s="61" t="s">
        <v>61</v>
      </c>
      <c r="I47" s="61"/>
      <c r="J47" s="61"/>
      <c r="K47" s="61"/>
      <c r="L47" s="61"/>
      <c r="M47" s="32" t="s">
        <v>61</v>
      </c>
      <c r="N47" s="61"/>
      <c r="O47" s="61"/>
      <c r="P47" s="61" t="s">
        <v>61</v>
      </c>
      <c r="Q47" s="61"/>
      <c r="R47" s="61"/>
    </row>
    <row r="48" spans="2:30" x14ac:dyDescent="0.2">
      <c r="E48" s="2" t="s">
        <v>61</v>
      </c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F0E71-83ED-489F-B571-7331B0FA3DF6}">
  <sheetPr>
    <tabColor theme="2" tint="-0.249977111117893"/>
  </sheetPr>
  <dimension ref="A1:AY109"/>
  <sheetViews>
    <sheetView showGridLines="0" zoomScale="96" zoomScaleNormal="96" workbookViewId="0">
      <selection activeCell="G5" sqref="G5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6.140625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  <c r="AI2" s="106">
        <f>1/AH3</f>
        <v>4.4710000000000001E-3</v>
      </c>
    </row>
    <row r="3" spans="1:35" ht="18" x14ac:dyDescent="0.25">
      <c r="B3" s="16" t="s">
        <v>131</v>
      </c>
      <c r="S3" s="54"/>
      <c r="T3" s="18" t="s">
        <v>131</v>
      </c>
      <c r="AF3" s="2" t="str">
        <f>+B6</f>
        <v>OCTUBRE de 2025</v>
      </c>
      <c r="AG3" s="2" t="s">
        <v>134</v>
      </c>
      <c r="AH3" s="107">
        <f>_xlfn.XLOOKUP(Paramet!E3,'VENEZUELA USD'!AL94:AL105,'VENEZUELA USD'!AM94:AM105,0,0)</f>
        <v>223.66360993066428</v>
      </c>
      <c r="AI3" s="2" t="s">
        <v>135</v>
      </c>
    </row>
    <row r="4" spans="1:35" x14ac:dyDescent="0.2">
      <c r="B4" s="2" t="s">
        <v>89</v>
      </c>
      <c r="S4" s="54"/>
      <c r="T4" s="3" t="s">
        <v>21</v>
      </c>
      <c r="AG4" s="2" t="s">
        <v>136</v>
      </c>
      <c r="AH4" s="107">
        <f>_xlfn.XLOOKUP(Paramet!E3,'VENEZUELA USD'!AL70:AL81,'VENEZUELA USD'!AM70:AM81,0,0)</f>
        <v>43.45</v>
      </c>
    </row>
    <row r="5" spans="1:35" ht="13.5" thickBot="1" x14ac:dyDescent="0.25">
      <c r="B5" s="3" t="s">
        <v>137</v>
      </c>
      <c r="S5" s="54"/>
      <c r="T5" s="3" t="s">
        <v>138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OCTUBRE de 2025</v>
      </c>
      <c r="C6" s="91"/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OCTUBRE de 2025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2025</v>
      </c>
      <c r="E7" s="2" t="str">
        <f>+'VZLA BFS'!E7</f>
        <v>Real 2025</v>
      </c>
      <c r="G7" s="2" t="str">
        <f>+'VZLA BFS'!G7</f>
        <v>Cump</v>
      </c>
      <c r="H7" s="2" t="str">
        <f>+'VZLA BFS'!H7</f>
        <v>Real 2024</v>
      </c>
      <c r="J7" s="51" t="s">
        <v>25</v>
      </c>
      <c r="K7" s="2" t="str">
        <f>+C7</f>
        <v>Ppto 2025</v>
      </c>
      <c r="M7" s="2" t="str">
        <f>+E7</f>
        <v>Real 2025</v>
      </c>
      <c r="O7" s="2" t="str">
        <f>+G7</f>
        <v>Cump</v>
      </c>
      <c r="P7" s="2" t="str">
        <f>+H7</f>
        <v>Real 2024</v>
      </c>
      <c r="Q7" s="51"/>
      <c r="R7" s="51" t="s">
        <v>25</v>
      </c>
      <c r="S7" s="51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54"/>
      <c r="AE7" s="54"/>
      <c r="AH7" s="2">
        <v>2819322440</v>
      </c>
      <c r="AI7" s="106">
        <f>1/AH4</f>
        <v>2.3014959723820481E-2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8">
        <f>+AI7*AH7</f>
        <v>64886592.405063286</v>
      </c>
    </row>
    <row r="9" spans="1:35" x14ac:dyDescent="0.2">
      <c r="S9" s="68"/>
      <c r="AD9" s="68"/>
      <c r="AE9" s="68"/>
      <c r="AH9" s="2">
        <f>+AH7/AH4</f>
        <v>64886592.405063286</v>
      </c>
    </row>
    <row r="10" spans="1:35" x14ac:dyDescent="0.2">
      <c r="B10" s="3" t="s">
        <v>65</v>
      </c>
      <c r="C10" s="32">
        <f>'VZLA BFS'!C10/'VENEZUELA USD'!$AH$3</f>
        <v>0</v>
      </c>
      <c r="D10" s="34" t="str">
        <f t="shared" ref="D10:D20" si="0">IF(DD19&lt;=0," ",C10/$C$20)</f>
        <v xml:space="preserve"> </v>
      </c>
      <c r="E10" s="32">
        <f>'VZLA BFS'!E10/'VENEZUELA USD'!$AH$3</f>
        <v>2219.878326</v>
      </c>
      <c r="F10" s="34">
        <f t="shared" ref="F10:F20" si="1">+E10/$E$20</f>
        <v>0.5386763070152687</v>
      </c>
      <c r="G10" s="34" t="str">
        <f>IF(C10=0,"",(E10-C10)/ABS(C10)+1)</f>
        <v/>
      </c>
      <c r="H10" s="63">
        <f>+'VZLA BFS'!H10/'VENEZUELA USD'!$AH$4</f>
        <v>2839.6317606444186</v>
      </c>
      <c r="I10" s="34">
        <f t="shared" ref="I10:I20" si="2">IF($H$20&lt;=0," ",H10/$H$20)</f>
        <v>0.53147991798335537</v>
      </c>
      <c r="J10" s="34">
        <f>IF(E10=0,"",(E10-H10)/ABS(H10))</f>
        <v>-0.21825133921722772</v>
      </c>
      <c r="K10" s="32">
        <f>'VZLA BFS'!K10/'VENEZUELA USD'!$AH$3</f>
        <v>0</v>
      </c>
      <c r="L10" s="34" t="str">
        <f t="shared" ref="L10:L22" si="3">IF($K$20&lt;=0," ",K10/$K$20)</f>
        <v xml:space="preserve"> </v>
      </c>
      <c r="M10" s="32">
        <f>'VZLA BFS'!M10/'VENEZUELA USD'!$AH$3</f>
        <v>13111.02866</v>
      </c>
      <c r="N10" s="34">
        <f t="shared" ref="N10:N15" si="4">+M10/$M$20</f>
        <v>0.48535343083103699</v>
      </c>
      <c r="O10" s="34" t="str">
        <f>IF(K10=0,"",(M10-K10)/ABS(K10)+1)</f>
        <v/>
      </c>
      <c r="P10" s="63">
        <f>+'VZLA BFS'!P10/'VENEZUELA USD'!$AH$4</f>
        <v>23228.860759493669</v>
      </c>
      <c r="Q10" s="34">
        <f t="shared" ref="Q10:Q22" si="5">IF($P$20&lt;=0," ",P10/$P$20)</f>
        <v>0.43965653181114478</v>
      </c>
      <c r="R10" s="34">
        <f>IF(M10=0,"",(M10-P10)/ABS(P10))</f>
        <v>-0.43557160225167291</v>
      </c>
      <c r="S10" s="68"/>
      <c r="T10" s="3" t="s">
        <v>31</v>
      </c>
      <c r="U10" s="32">
        <f>+'VZLA BFS'!U10/'VENEZUELA USD'!$AH$3</f>
        <v>0</v>
      </c>
      <c r="V10" s="32">
        <f>+'VZLA BFS'!V10/'VENEZUELA USD'!$AH$3</f>
        <v>3179.6240354899996</v>
      </c>
      <c r="W10" s="32">
        <f>+'VZLA BFS'!W10/'VENEZUELA USD'!$AH$3</f>
        <v>823.902467</v>
      </c>
      <c r="X10" s="32">
        <f>+'VZLA BFS'!X10/'VENEZUELA USD'!$AH$3</f>
        <v>1058.0710919999999</v>
      </c>
      <c r="Y10" s="32">
        <f>+'VZLA BFS'!Y10/'VENEZUELA USD'!$AH$3</f>
        <v>1067.9654150000001</v>
      </c>
      <c r="Z10" s="63">
        <f>+Y10-X10</f>
        <v>9.8943230000002131</v>
      </c>
      <c r="AA10" s="68">
        <f>IF(X10=0,"",(Y10-X10)/ABS(X10)+1)</f>
        <v>1.0093512837415279</v>
      </c>
      <c r="AB10" s="32">
        <f>+'VZLA BFS'!AB10/'VENEZUELA USD'!$AH$3</f>
        <v>1135.540109</v>
      </c>
      <c r="AC10" s="68">
        <f>IF(W10=0,"",(Y10-AB10)/ABS(AB10))</f>
        <v>-5.950885703148677E-2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0</v>
      </c>
      <c r="D11" s="34" t="str">
        <f t="shared" si="0"/>
        <v xml:space="preserve"> </v>
      </c>
      <c r="E11" s="32">
        <f>'VZLA BFS'!E11/'VENEZUELA USD'!$AH$3</f>
        <v>643.99841371000002</v>
      </c>
      <c r="F11" s="34">
        <f t="shared" si="1"/>
        <v>0.15627283854159943</v>
      </c>
      <c r="G11" s="34" t="str">
        <f t="shared" ref="G11:G22" si="6">IF(C11=0,"",(E11-C11)/ABS(C11)+1)</f>
        <v/>
      </c>
      <c r="H11" s="63">
        <f>+'VZLA BFS'!H11/'VENEZUELA USD'!$AH$4</f>
        <v>758.80322209436133</v>
      </c>
      <c r="I11" s="34">
        <f t="shared" si="2"/>
        <v>0.14202146906283922</v>
      </c>
      <c r="J11" s="34">
        <f t="shared" ref="J11:J20" si="7">IF(E11=0,"",(E11-H11)/ABS(H11))</f>
        <v>-0.15129720728845916</v>
      </c>
      <c r="K11" s="32">
        <f>'VZLA BFS'!K11/'VENEZUELA USD'!$AH$3</f>
        <v>0</v>
      </c>
      <c r="L11" s="34" t="str">
        <f t="shared" si="3"/>
        <v xml:space="preserve"> </v>
      </c>
      <c r="M11" s="32">
        <f>'VZLA BFS'!M11/'VENEZUELA USD'!$AH$3</f>
        <v>3940.6599950400005</v>
      </c>
      <c r="N11" s="34">
        <f t="shared" si="4"/>
        <v>0.14587816851979038</v>
      </c>
      <c r="O11" s="34" t="str">
        <f t="shared" ref="O11:O22" si="8">IF(K11=0,"",(M11-K11)/ABS(K11)+1)</f>
        <v/>
      </c>
      <c r="P11" s="63">
        <f>+'VZLA BFS'!P11/'VENEZUELA USD'!$AH$4</f>
        <v>6816.8699654775601</v>
      </c>
      <c r="Q11" s="34">
        <f t="shared" si="5"/>
        <v>0.12902403772016718</v>
      </c>
      <c r="R11" s="34">
        <f t="shared" ref="R11:R22" si="9">IF(M11=0,"",(M11-P11)/ABS(P11))</f>
        <v>-0.42192530956339946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4216.3293809500001</v>
      </c>
      <c r="W11" s="32">
        <f>+'VZLA BFS'!W11/'VENEZUELA USD'!$AH$3</f>
        <v>927.62072499999999</v>
      </c>
      <c r="X11" s="32">
        <f>+'VZLA BFS'!X11/'VENEZUELA USD'!$AH$3</f>
        <v>0</v>
      </c>
      <c r="Y11" s="32">
        <f>+'VZLA BFS'!Y11/'VENEZUELA USD'!$AH$3</f>
        <v>28310.600021000002</v>
      </c>
      <c r="Z11" s="63">
        <f>+Y11-X11</f>
        <v>28310.600021000002</v>
      </c>
      <c r="AA11" s="68" t="str">
        <f>IF(X11=0,"",(Y11-X11)/ABS(X11)+1)</f>
        <v/>
      </c>
      <c r="AB11" s="32">
        <f>+'VZLA BFS'!AB11/'VENEZUELA USD'!$AH$3</f>
        <v>9796.2516149999992</v>
      </c>
      <c r="AC11" s="68">
        <f>IF(AB11=0,"",(Y11-AB11)/ABS(AB11))</f>
        <v>1.88994210577961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0</v>
      </c>
      <c r="D12" s="34" t="str">
        <f t="shared" si="0"/>
        <v xml:space="preserve"> </v>
      </c>
      <c r="E12" s="32">
        <f>'VZLA BFS'!E12/'VENEZUELA USD'!$AH$3</f>
        <v>541.40291323000008</v>
      </c>
      <c r="F12" s="34">
        <f t="shared" si="1"/>
        <v>0.13137698516636825</v>
      </c>
      <c r="G12" s="34" t="str">
        <f t="shared" si="6"/>
        <v/>
      </c>
      <c r="H12" s="63">
        <f>+'VZLA BFS'!H12/'VENEZUELA USD'!$AH$4</f>
        <v>775.6041426927502</v>
      </c>
      <c r="I12" s="34">
        <f t="shared" si="2"/>
        <v>0.14516601478367247</v>
      </c>
      <c r="J12" s="34">
        <f t="shared" si="7"/>
        <v>-0.30195974540523723</v>
      </c>
      <c r="K12" s="32">
        <f>'VZLA BFS'!K12/'VENEZUELA USD'!$AH$3</f>
        <v>0</v>
      </c>
      <c r="L12" s="34" t="str">
        <f t="shared" si="3"/>
        <v xml:space="preserve"> </v>
      </c>
      <c r="M12" s="32">
        <f>'VZLA BFS'!M12/'VENEZUELA USD'!$AH$3</f>
        <v>3538.4030967100007</v>
      </c>
      <c r="N12" s="34">
        <f t="shared" si="4"/>
        <v>0.1309871351201336</v>
      </c>
      <c r="O12" s="34" t="str">
        <f t="shared" si="8"/>
        <v/>
      </c>
      <c r="P12" s="63">
        <f>+'VZLA BFS'!P12/'VENEZUELA USD'!$AH$4</f>
        <v>8533.3486766398146</v>
      </c>
      <c r="Q12" s="34">
        <f t="shared" si="5"/>
        <v>0.16151211730748957</v>
      </c>
      <c r="R12" s="34">
        <f t="shared" si="9"/>
        <v>-0.58534413267367846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72</v>
      </c>
      <c r="C13" s="32">
        <f>'VZLA BFS'!C13/'VENEZUELA USD'!$AH$3</f>
        <v>0</v>
      </c>
      <c r="D13" s="34" t="str">
        <f t="shared" si="0"/>
        <v xml:space="preserve"> </v>
      </c>
      <c r="E13" s="32">
        <f>'VZLA BFS'!E13/'VENEZUELA USD'!$AH$3</f>
        <v>0</v>
      </c>
      <c r="F13" s="34">
        <f t="shared" si="1"/>
        <v>0</v>
      </c>
      <c r="G13" s="34" t="str">
        <f t="shared" si="6"/>
        <v/>
      </c>
      <c r="H13" s="63">
        <f>+'VZLA BFS'!H13/'VENEZUELA USD'!$AH$4</f>
        <v>91.024165707710011</v>
      </c>
      <c r="I13" s="34">
        <f t="shared" si="2"/>
        <v>1.7036545651911712E-2</v>
      </c>
      <c r="J13" s="34" t="str">
        <f t="shared" si="7"/>
        <v/>
      </c>
      <c r="K13" s="32">
        <f>'VZLA BFS'!K13/'VENEZUELA USD'!$AH$3</f>
        <v>0</v>
      </c>
      <c r="L13" s="34" t="str">
        <f t="shared" si="3"/>
        <v xml:space="preserve"> </v>
      </c>
      <c r="M13" s="32">
        <f>'VZLA BFS'!M13/'VENEZUELA USD'!$AH$3</f>
        <v>2094.5773438299998</v>
      </c>
      <c r="N13" s="34">
        <f t="shared" si="4"/>
        <v>7.7538561338851578E-2</v>
      </c>
      <c r="O13" s="34" t="str">
        <f t="shared" si="8"/>
        <v/>
      </c>
      <c r="P13" s="63">
        <f>+'VZLA BFS'!P13/'VENEZUELA USD'!$AH$4</f>
        <v>5890.4948216340617</v>
      </c>
      <c r="Q13" s="34">
        <f t="shared" si="5"/>
        <v>0.11149038046873162</v>
      </c>
      <c r="R13" s="34">
        <f t="shared" si="9"/>
        <v>-0.64441402509391388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798.40882499999998</v>
      </c>
      <c r="Z13" s="63">
        <f>+X13-Y13</f>
        <v>-798.40882499999998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73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 t="str">
        <f t="shared" si="3"/>
        <v xml:space="preserve"> 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75</v>
      </c>
      <c r="C15" s="32">
        <f>'VZLA BFS'!C15/'VENEZUELA USD'!$AH$3</f>
        <v>0</v>
      </c>
      <c r="D15" s="34" t="str">
        <f t="shared" si="0"/>
        <v xml:space="preserve"> </v>
      </c>
      <c r="E15" s="32">
        <f>'VZLA BFS'!E15/'VENEZUELA USD'!$AH$3</f>
        <v>715.70784379999998</v>
      </c>
      <c r="F15" s="34">
        <f t="shared" si="1"/>
        <v>0.17367386927676359</v>
      </c>
      <c r="G15" s="34" t="str">
        <f t="shared" si="6"/>
        <v/>
      </c>
      <c r="H15" s="63">
        <f>+'VZLA BFS'!H15/'VENEZUELA USD'!$AH$4</f>
        <v>877.81357882623695</v>
      </c>
      <c r="I15" s="34">
        <f t="shared" si="2"/>
        <v>0.16429605251822113</v>
      </c>
      <c r="J15" s="34">
        <f t="shared" si="7"/>
        <v>-0.1846698877032589</v>
      </c>
      <c r="K15" s="32">
        <f>'VZLA BFS'!K15/'VENEZUELA USD'!$AH$3</f>
        <v>0</v>
      </c>
      <c r="L15" s="34" t="str">
        <f t="shared" si="3"/>
        <v xml:space="preserve"> </v>
      </c>
      <c r="M15" s="32">
        <f>'VZLA BFS'!M15/'VENEZUELA USD'!$AH$3</f>
        <v>4328.6944188200005</v>
      </c>
      <c r="N15" s="34">
        <f t="shared" si="4"/>
        <v>0.16024270419018738</v>
      </c>
      <c r="O15" s="34" t="str">
        <f t="shared" si="8"/>
        <v/>
      </c>
      <c r="P15" s="63">
        <f>+'VZLA BFS'!P15/'VENEZUELA USD'!$AH$4</f>
        <v>8364.5339470655927</v>
      </c>
      <c r="Q15" s="34">
        <f t="shared" si="5"/>
        <v>0.15831693269246688</v>
      </c>
      <c r="R15" s="34">
        <f t="shared" si="9"/>
        <v>-0.48249424938509894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1233.6840136199999</v>
      </c>
      <c r="W15" s="32">
        <f>+'VZLA BFS'!W15/'VENEZUELA USD'!$AH$3</f>
        <v>310.20692200000002</v>
      </c>
      <c r="X15" s="32">
        <f>+'VZLA BFS'!X15/'VENEZUELA USD'!$AH$3</f>
        <v>0</v>
      </c>
      <c r="Y15" s="32">
        <f>+'VZLA BFS'!Y15/'VENEZUELA USD'!$AH$3</f>
        <v>7544.9555719999998</v>
      </c>
      <c r="Z15" s="63">
        <f>+X15-Y15</f>
        <v>-7544.9555719999998</v>
      </c>
      <c r="AA15" s="68" t="str">
        <f>IF(X15=0,"",(Y15-X15)/ABS(X15)+1)</f>
        <v/>
      </c>
      <c r="AB15" s="32">
        <f>+'VZLA BFS'!AB15/'VENEZUELA USD'!$AH$3</f>
        <v>3661.9993760000002</v>
      </c>
      <c r="AC15" s="68">
        <f>IF(AB15=0,"",(Y15-AB15)/ABS(AB15))</f>
        <v>1.0603377546834403</v>
      </c>
      <c r="AD15" s="68"/>
      <c r="AE15" s="68"/>
      <c r="AG15" s="55"/>
    </row>
    <row r="16" spans="1:35" x14ac:dyDescent="0.2">
      <c r="B16" s="3" t="s">
        <v>76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 t="str">
        <f t="shared" si="3"/>
        <v xml:space="preserve"> 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2088.4044308540001</v>
      </c>
      <c r="W16" s="32">
        <f>+'VZLA BFS'!W16/'VENEZUELA USD'!$AH$3</f>
        <v>463.70082300000001</v>
      </c>
      <c r="X16" s="32">
        <f>+'VZLA BFS'!X16/'VENEZUELA USD'!$AH$3</f>
        <v>0</v>
      </c>
      <c r="Y16" s="32">
        <f>+'VZLA BFS'!Y16/'VENEZUELA USD'!$AH$3</f>
        <v>14899.111219</v>
      </c>
      <c r="Z16" s="63">
        <f>+X16-Y16</f>
        <v>-14899.111219</v>
      </c>
      <c r="AA16" s="68" t="str">
        <f>IF(X16=0,"",(Y16-X16)/ABS(X16)+1)</f>
        <v/>
      </c>
      <c r="AB16" s="32">
        <f>+'VZLA BFS'!AB16/'VENEZUELA USD'!$AH$3</f>
        <v>4400.2866640000002</v>
      </c>
      <c r="AC16" s="68">
        <f>IF(AB16=0,"",(Y16-AB16)/ABS(AB16))</f>
        <v>2.3859410435447028</v>
      </c>
      <c r="AD16" s="68"/>
      <c r="AE16" s="68"/>
    </row>
    <row r="17" spans="2:35" x14ac:dyDescent="0.2">
      <c r="B17" s="3" t="s">
        <v>78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 t="str">
        <f t="shared" si="3"/>
        <v xml:space="preserve"> 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3322.088444474</v>
      </c>
      <c r="W17" s="32">
        <f>+'VZLA BFS'!W17/'VENEZUELA USD'!$AH$3</f>
        <v>773.90774499999998</v>
      </c>
      <c r="X17" s="32">
        <f>+'VZLA BFS'!X17/'VENEZUELA USD'!$AH$3</f>
        <v>0</v>
      </c>
      <c r="Y17" s="32">
        <f>+'VZLA BFS'!Y17/'VENEZUELA USD'!$AH$3</f>
        <v>23242.475616</v>
      </c>
      <c r="Z17" s="63">
        <f>+Y17-X17</f>
        <v>23242.475616</v>
      </c>
      <c r="AA17" s="68" t="str">
        <f>IF(X17=0,"",(Y17-X17)/ABS(X17)+1)</f>
        <v/>
      </c>
      <c r="AB17" s="32">
        <f>+'VZLA BFS'!AB17/'VENEZUELA USD'!$AH$3</f>
        <v>8062.28604</v>
      </c>
      <c r="AC17" s="68">
        <f>IF(AB17=0,"",(Y17-AB17)/ABS(AB17))</f>
        <v>1.8828641778132695</v>
      </c>
      <c r="AD17" s="68"/>
      <c r="AE17" s="68"/>
    </row>
    <row r="18" spans="2:35" x14ac:dyDescent="0.2">
      <c r="B18" s="3" t="s">
        <v>133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 t="str">
        <f t="shared" si="3"/>
        <v xml:space="preserve"> 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5" x14ac:dyDescent="0.2">
      <c r="B19" s="3" t="s">
        <v>82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 t="str">
        <f t="shared" si="3"/>
        <v xml:space="preserve"> 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894.24093647600012</v>
      </c>
      <c r="W19" s="32">
        <f>+'VZLA BFS'!W19/'VENEZUELA USD'!$AH$3</f>
        <v>153.71297999999999</v>
      </c>
      <c r="X19" s="32">
        <f>+'VZLA BFS'!X19/'VENEZUELA USD'!$AH$3</f>
        <v>0</v>
      </c>
      <c r="Y19" s="32">
        <f>Y11-Y17</f>
        <v>5068.1244050000023</v>
      </c>
      <c r="Z19" s="63">
        <f>+Y19-X19</f>
        <v>5068.1244050000023</v>
      </c>
      <c r="AA19" s="68" t="str">
        <f>IF(X19=0,"",(Y19-X19)/ABS(X19)+1)</f>
        <v/>
      </c>
      <c r="AB19" s="32">
        <f>+'VZLA BFS'!AB19/'VENEZUELA USD'!$AH$3</f>
        <v>1733.9655749999999</v>
      </c>
      <c r="AC19" s="68">
        <f>IF(AB19=0,"",(Y19-AB19)/ABS(AB19))</f>
        <v>1.9228518017146923</v>
      </c>
      <c r="AD19" s="68"/>
      <c r="AE19" s="68"/>
      <c r="AG19" s="55"/>
    </row>
    <row r="20" spans="2:35" x14ac:dyDescent="0.2">
      <c r="B20" s="3" t="s">
        <v>39</v>
      </c>
      <c r="C20" s="32">
        <f>'VZLA BFS'!C20/'VENEZUELA USD'!$AH$3</f>
        <v>0</v>
      </c>
      <c r="D20" s="34" t="str">
        <f t="shared" si="0"/>
        <v xml:space="preserve"> </v>
      </c>
      <c r="E20" s="32">
        <f>'VZLA BFS'!E20/'VENEZUELA USD'!$AH$3</f>
        <v>4120.9874967400001</v>
      </c>
      <c r="F20" s="34">
        <f t="shared" si="1"/>
        <v>1</v>
      </c>
      <c r="G20" s="34" t="str">
        <f t="shared" si="6"/>
        <v/>
      </c>
      <c r="H20" s="63">
        <f>+'VZLA BFS'!H20/'VENEZUELA USD'!$AH$4</f>
        <v>5342.8768699654775</v>
      </c>
      <c r="I20" s="34">
        <f t="shared" si="2"/>
        <v>1</v>
      </c>
      <c r="J20" s="34">
        <f t="shared" si="7"/>
        <v>-0.22869502759725258</v>
      </c>
      <c r="K20" s="32">
        <f>'VZLA BFS'!K20/'VENEZUELA USD'!$AH$3</f>
        <v>0</v>
      </c>
      <c r="L20" s="34" t="str">
        <f t="shared" si="3"/>
        <v xml:space="preserve"> </v>
      </c>
      <c r="M20" s="32">
        <f>'VZLA BFS'!M20/'VENEZUELA USD'!$AH$3</f>
        <v>27013.363514400004</v>
      </c>
      <c r="N20" s="34">
        <f>+M20/$M$20</f>
        <v>1</v>
      </c>
      <c r="O20" s="34" t="str">
        <f t="shared" si="8"/>
        <v/>
      </c>
      <c r="P20" s="63">
        <f>+'VZLA BFS'!P20/'VENEZUELA USD'!$AH$4</f>
        <v>52834.108170310697</v>
      </c>
      <c r="Q20" s="34">
        <f t="shared" si="5"/>
        <v>1</v>
      </c>
      <c r="R20" s="34">
        <f t="shared" si="9"/>
        <v>-0.48871355172074726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  <c r="AI20" s="109"/>
    </row>
    <row r="21" spans="2:35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 t="str">
        <f t="shared" si="3"/>
        <v xml:space="preserve"> 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0</v>
      </c>
      <c r="V21" s="32">
        <f>+V10+V19</f>
        <v>4073.8649719659998</v>
      </c>
      <c r="W21" s="32">
        <f>+'VZLA BFS'!W21/'VENEZUELA USD'!$AH$3</f>
        <v>977.61544700000002</v>
      </c>
      <c r="X21" s="32">
        <f>+'VZLA BFS'!X21/'VENEZUELA USD'!$AH$3</f>
        <v>1058.0710919999999</v>
      </c>
      <c r="Y21" s="32">
        <f>+Y10+Y19</f>
        <v>6136.0898200000029</v>
      </c>
      <c r="Z21" s="63">
        <f>+Y21-X21</f>
        <v>5078.0187280000027</v>
      </c>
      <c r="AA21" s="68">
        <f>IF(X21=0,"",(Y21-X21)/ABS(X21)+1)</f>
        <v>5.7993171407805582</v>
      </c>
      <c r="AB21" s="32">
        <f>+'VZLA BFS'!AB21/'VENEZUELA USD'!$AH$3</f>
        <v>2869.5056840000002</v>
      </c>
      <c r="AC21" s="68">
        <f>IF(AB21=0,"",(Y21-AB21)/ABS(AB21))</f>
        <v>1.1383786950533192</v>
      </c>
      <c r="AD21" s="68"/>
      <c r="AE21" s="68"/>
      <c r="AG21" s="55"/>
    </row>
    <row r="22" spans="2:35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 t="str">
        <f t="shared" si="3"/>
        <v xml:space="preserve"> </v>
      </c>
      <c r="M22" s="32">
        <f>'VZLA BFS'!M22/'VENEZUELA USD'!$AH$3</f>
        <v>2121.2814196600002</v>
      </c>
      <c r="N22" s="34">
        <f>+M22/$M$20</f>
        <v>7.8527111906268515E-2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e">
        <f t="shared" si="9"/>
        <v>#DIV/0!</v>
      </c>
      <c r="S22" s="68"/>
      <c r="U22" s="32">
        <f>+'VZLA BFS'!U22/'VENEZUELA USD'!$AH$3</f>
        <v>0</v>
      </c>
      <c r="AD22" s="68"/>
      <c r="AE22" s="68"/>
    </row>
    <row r="23" spans="2:35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5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4120.9874967400001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5342.8768699654775</v>
      </c>
      <c r="I24" s="34">
        <f>IF($H$20&lt;=0," ",H24/$H$20)</f>
        <v>1</v>
      </c>
      <c r="J24" s="34">
        <f>IF(E24=0,"",(E24-H24)/ABS(H24))</f>
        <v>-0.22869502759725258</v>
      </c>
      <c r="K24" s="32">
        <f>'VZLA BFS'!K22/'VENEZUELA USD'!$AH$3</f>
        <v>0</v>
      </c>
      <c r="L24" s="34" t="str">
        <f>IF($K$20&lt;=0," ",K24/$K$20)</f>
        <v xml:space="preserve"> </v>
      </c>
      <c r="M24" s="32">
        <f>'VZLA BFS'!M24/'VENEZUELA USD'!$AH$3</f>
        <v>24892.082094740003</v>
      </c>
      <c r="N24" s="34">
        <f>+M24/$M$20</f>
        <v>0.9214728880937314</v>
      </c>
      <c r="O24" s="34" t="str">
        <f>IF(K24=0,"",(M24-K24)/ABS(K24)+1)</f>
        <v/>
      </c>
      <c r="P24" s="63">
        <f>+'VZLA BFS'!P24/'VENEZUELA USD'!$AH$4</f>
        <v>52834.108170310697</v>
      </c>
      <c r="Q24" s="34">
        <f>IF($P$20&lt;=0," ",P24/$P$20)</f>
        <v>1</v>
      </c>
      <c r="R24" s="34">
        <f>IF(M24=0,"",(M24-P24)/ABS(P24))</f>
        <v>-0.52886339986093078</v>
      </c>
      <c r="S24" s="68"/>
      <c r="U24" s="32">
        <f>+'VZLA BFS'!U24/'VENEZUELA USD'!$AH$3</f>
        <v>0</v>
      </c>
      <c r="AD24" s="68"/>
      <c r="AE24" s="68"/>
    </row>
    <row r="25" spans="2:35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95.880595</v>
      </c>
      <c r="X25" s="32">
        <f>+'VZLA BFS'!X25/'VENEZUELA USD'!$AH$3</f>
        <v>0</v>
      </c>
      <c r="Y25" s="32">
        <f>+'VZLA BFS'!Y25/'VENEZUELA USD'!$AH$3</f>
        <v>2431.5891179999999</v>
      </c>
      <c r="Z25" s="63">
        <f>+Y25-X25</f>
        <v>2431.5891179999999</v>
      </c>
      <c r="AA25" s="68" t="str">
        <f>IF(X25=0,"",(Y25-X25)/ABS(X25)+1)</f>
        <v/>
      </c>
      <c r="AB25" s="32">
        <f>+'VZLA BFS'!AB25/'VENEZUELA USD'!$AH$3</f>
        <v>1886.7351739999999</v>
      </c>
      <c r="AC25" s="68">
        <f>IF(AB25=0,"",(Y25-AB25)/ABS(AB25))</f>
        <v>0.28878135708090635</v>
      </c>
    </row>
    <row r="26" spans="2:35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60.956004440000001</v>
      </c>
      <c r="F26" s="34">
        <f>+E26/$E$20</f>
        <v>1.4791601403357961E-2</v>
      </c>
      <c r="G26" s="34" t="str">
        <f>IF(C26=0,"",(E26-C26)/ABS(C26)+1)</f>
        <v/>
      </c>
      <c r="H26" s="63">
        <f>+'VZLA BFS'!H26/'VENEZUELA USD'!$AH$4</f>
        <v>100.04602991944763</v>
      </c>
      <c r="I26" s="34">
        <f>IF($H$20&lt;=0," ",H26/$H$20)</f>
        <v>1.8725123628030395E-2</v>
      </c>
      <c r="J26" s="34">
        <f>IF(E26=0,"",(E26-H26)/ABS(H26))</f>
        <v>-0.39072040650609613</v>
      </c>
      <c r="K26" s="32">
        <f>'VZLA BFS'!K23/'VENEZUELA USD'!$AH$3</f>
        <v>0</v>
      </c>
      <c r="L26" s="34" t="str">
        <f>IF($K$20&lt;=0," ",K26/$K$20)</f>
        <v xml:space="preserve"> </v>
      </c>
      <c r="M26" s="32">
        <f>'VZLA BFS'!M26/'VENEZUELA USD'!$AH$3</f>
        <v>378.34192172000002</v>
      </c>
      <c r="N26" s="34">
        <f>+M26/$M$20</f>
        <v>1.4005731700841972E-2</v>
      </c>
      <c r="O26" s="34" t="str">
        <f>IF(K26=0,"",(M26-K26)/ABS(K26)+1)</f>
        <v/>
      </c>
      <c r="P26" s="63">
        <f>+'VZLA BFS'!P26/'VENEZUELA USD'!$AH$4</f>
        <v>862.48561565017258</v>
      </c>
      <c r="Q26" s="34">
        <f>IF($P$20&lt;=0," ",P26/$P$20)</f>
        <v>1.632440946802681E-2</v>
      </c>
      <c r="R26" s="34">
        <f>IF(M26=0,"",(M26-P26)/ABS(P26))</f>
        <v>-0.56133538362284185</v>
      </c>
      <c r="S26" s="68"/>
      <c r="U26" s="32">
        <f>+'VZLA BFS'!U26/'VENEZUELA USD'!$AH$3</f>
        <v>0</v>
      </c>
    </row>
    <row r="27" spans="2:35" x14ac:dyDescent="0.2">
      <c r="B27" s="3" t="s">
        <v>46</v>
      </c>
      <c r="C27" s="32">
        <f>'VZLA BFS'!C24/'VENEZUELA USD'!$AH$3</f>
        <v>0</v>
      </c>
      <c r="D27" s="34" t="str">
        <f>IF(DD33&lt;=0," ",C27/$C$20)</f>
        <v xml:space="preserve"> </v>
      </c>
      <c r="E27" s="32">
        <f>'VZLA BFS'!E27/'VENEZUELA USD'!$AH$3</f>
        <v>912.17131862999986</v>
      </c>
      <c r="F27" s="34">
        <f>+E27/$E$20</f>
        <v>0.22134775205010779</v>
      </c>
      <c r="G27" s="34" t="str">
        <f>IF(C27=0,"",(E27-C27)/ABS(C27)+1)</f>
        <v/>
      </c>
      <c r="H27" s="63">
        <f>+'VZLA BFS'!H27/'VENEZUELA USD'!$AH$4</f>
        <v>1013.9930955120827</v>
      </c>
      <c r="I27" s="34">
        <f>IF($H$20&lt;=0," ",H27/$H$20)</f>
        <v>0.18978410324448194</v>
      </c>
      <c r="J27" s="34">
        <f>IF(E27=0,"",(E27-H27)/ABS(H27))</f>
        <v>-0.10041663728554409</v>
      </c>
      <c r="K27" s="32">
        <f>'VZLA BFS'!K24/'VENEZUELA USD'!$AH$3</f>
        <v>0</v>
      </c>
      <c r="L27" s="34" t="str">
        <f>IF($K$20&lt;=0," ",K27/$K$20)</f>
        <v xml:space="preserve"> </v>
      </c>
      <c r="M27" s="32">
        <f>'VZLA BFS'!M27/'VENEZUELA USD'!$AH$3</f>
        <v>5389.822735910001</v>
      </c>
      <c r="N27" s="34">
        <f>+M27/$M$20</f>
        <v>0.19952431073741891</v>
      </c>
      <c r="O27" s="34" t="str">
        <f>IF(K27=0,"",(M27-K27)/ABS(K27)+1)</f>
        <v/>
      </c>
      <c r="P27" s="63">
        <f>+'VZLA BFS'!P27/'VENEZUELA USD'!$AH$4</f>
        <v>7728.6536248561561</v>
      </c>
      <c r="Q27" s="34">
        <f>IF($P$20&lt;=0," ",P27/$P$20)</f>
        <v>0.14628151950521903</v>
      </c>
      <c r="R27" s="34">
        <f>IF(M27=0,"",(M27-P27)/ABS(P27))</f>
        <v>-0.30261815349367333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5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973.12732306999999</v>
      </c>
      <c r="F28" s="34">
        <f>+E28/$E$20</f>
        <v>0.23613935345346576</v>
      </c>
      <c r="G28" s="34" t="str">
        <f>IF(C28=0,"",(E28-C28)/ABS(C28)+1)</f>
        <v/>
      </c>
      <c r="H28" s="63">
        <f>+'VZLA BFS'!H28/'VENEZUELA USD'!$AH$4</f>
        <v>1114.0391254315305</v>
      </c>
      <c r="I28" s="34">
        <f>IF($H$20&lt;=0," ",H28/$H$20)</f>
        <v>0.20850922687251236</v>
      </c>
      <c r="J28" s="34">
        <f>IF(E28=0,"",(E28-H28)/ABS(H28))</f>
        <v>-0.12648730115914678</v>
      </c>
      <c r="K28" s="32">
        <f>'VZLA BFS'!K25/'VENEZUELA USD'!$AH$3</f>
        <v>0</v>
      </c>
      <c r="L28" s="34" t="str">
        <f>IF($K$20&lt;=0," ",K28/$K$20)</f>
        <v xml:space="preserve"> </v>
      </c>
      <c r="M28" s="32">
        <f>'VZLA BFS'!M28/'VENEZUELA USD'!$AH$3</f>
        <v>5768.1646576300009</v>
      </c>
      <c r="N28" s="34">
        <f>+M28/$M$20</f>
        <v>0.21353004243826088</v>
      </c>
      <c r="O28" s="34" t="str">
        <f>IF(K28=0,"",(M28-K28)/ABS(K28)+1)</f>
        <v/>
      </c>
      <c r="P28" s="63">
        <f>+'VZLA BFS'!P28/'VENEZUELA USD'!$AH$4</f>
        <v>8591.1392405063289</v>
      </c>
      <c r="Q28" s="34">
        <f>IF($P$20&lt;=0," ",P28/$P$20)</f>
        <v>0.16260592897324583</v>
      </c>
      <c r="R28" s="34">
        <f>IF(M28=0,"",(M28-P28)/ABS(P28))</f>
        <v>-0.32859141306502127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5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5" x14ac:dyDescent="0.2">
      <c r="B30" s="3" t="s">
        <v>50</v>
      </c>
      <c r="C30" s="32">
        <f>'VZLA BFS'!C26/'VENEZUELA USD'!$AH$3</f>
        <v>0</v>
      </c>
      <c r="D30" s="34" t="str">
        <f>IF(DD35&lt;=0," ",C30/$C$20)</f>
        <v xml:space="preserve"> </v>
      </c>
      <c r="E30" s="32">
        <f>'VZLA BFS'!E30/'VENEZUELA USD'!$AH$3</f>
        <v>1542.8742302199998</v>
      </c>
      <c r="F30" s="34">
        <f>+E30/$E$20</f>
        <v>0.37439430025947062</v>
      </c>
      <c r="G30" s="34" t="str">
        <f>IF(C30=0,"",(E30-C30)/ABS(C30)+1)</f>
        <v/>
      </c>
      <c r="H30" s="63">
        <f>+'VZLA BFS'!H30/'VENEZUELA USD'!$AH$4</f>
        <v>3139.6317606444186</v>
      </c>
      <c r="I30" s="34">
        <f>IF($H$20&lt;=0," ",H30/$H$20)</f>
        <v>0.5876294432861795</v>
      </c>
      <c r="J30" s="34">
        <f>IF(E30=0,"",(E30-H30)/ABS(H30))</f>
        <v>-0.50858114968765622</v>
      </c>
      <c r="K30" s="32">
        <f>'VZLA BFS'!K26/'VENEZUELA USD'!$AH$3</f>
        <v>0</v>
      </c>
      <c r="L30" s="34" t="str">
        <f>IF($K$20&lt;=0," ",K30/$K$20)</f>
        <v xml:space="preserve"> </v>
      </c>
      <c r="M30" s="32">
        <f>'VZLA BFS'!M30/'VENEZUELA USD'!$AH$3</f>
        <v>11463.422372529998</v>
      </c>
      <c r="N30" s="34">
        <f>+M30/$M$20</f>
        <v>0.42436116355592651</v>
      </c>
      <c r="O30" s="34" t="str">
        <f>IF(K30=0,"",(M30-K30)/ABS(K30)+1)</f>
        <v/>
      </c>
      <c r="P30" s="63">
        <f>+'VZLA BFS'!P30/'VENEZUELA USD'!$AH$4</f>
        <v>32809.965477560414</v>
      </c>
      <c r="Q30" s="34">
        <f>IF($P$20&lt;=0," ",P30/$P$20)</f>
        <v>0.62099970291535012</v>
      </c>
      <c r="R30" s="34">
        <f>IF(M30=0,"",(M30-P30)/ABS(P30))</f>
        <v>-0.65061156859887193</v>
      </c>
      <c r="S30" s="68"/>
      <c r="T30" s="3" t="s">
        <v>51</v>
      </c>
      <c r="U30" s="32">
        <f>+'VZLA BFS'!U30/'VENEZUELA USD'!$AH$3</f>
        <v>0</v>
      </c>
      <c r="V30" s="32">
        <f>+V21-V25-V23+V27</f>
        <v>2337.7749719659996</v>
      </c>
      <c r="W30" s="32">
        <f>+W21-W25-W23+W27</f>
        <v>881.73485200000005</v>
      </c>
      <c r="X30" s="32">
        <f>+X21-X25-X23-X27</f>
        <v>1058.0710919999999</v>
      </c>
      <c r="Y30" s="32">
        <f>+Y21-Y25-Y23+Y27</f>
        <v>3704.500702000003</v>
      </c>
      <c r="Z30" s="63">
        <f>+Y30-X30</f>
        <v>2646.4296100000029</v>
      </c>
      <c r="AA30" s="68" t="str">
        <f>IF(U30=0,"",(V30-U30)/ABS(U30)+1)</f>
        <v/>
      </c>
      <c r="AB30" s="32">
        <f>+AB21-AB25-AB23-AB27</f>
        <v>982.77051000000029</v>
      </c>
      <c r="AC30" s="68">
        <f>IF(AB30=0,"",(Y30-AB30)/ABS(AB30))</f>
        <v>2.769446340020929</v>
      </c>
    </row>
    <row r="31" spans="2:35" x14ac:dyDescent="0.2">
      <c r="B31" s="3" t="s">
        <v>52</v>
      </c>
      <c r="C31" s="32">
        <f>'VZLA BFS'!C27/'VENEZUELA USD'!$AH$3</f>
        <v>0</v>
      </c>
      <c r="D31" s="34" t="str">
        <f>IF(DD36&lt;=0," ",C31/$C$20)</f>
        <v xml:space="preserve"> </v>
      </c>
      <c r="E31" s="32">
        <f>'VZLA BFS'!E31/'VENEZUELA USD'!$AH$3</f>
        <v>1140.1290092700001</v>
      </c>
      <c r="F31" s="34">
        <f>+E31/$E$20</f>
        <v>0.27666403020439273</v>
      </c>
      <c r="G31" s="34" t="str">
        <f>IF(C31=0,"",(E31-C31)/ABS(C31)+1)</f>
        <v/>
      </c>
      <c r="H31" s="63">
        <f>+'VZLA BFS'!H31/'VENEZUELA USD'!$AH$4</f>
        <v>1126.5132336018412</v>
      </c>
      <c r="I31" s="34">
        <f>IF($H$20&lt;=0," ",H31/$H$20)</f>
        <v>0.21084394438030912</v>
      </c>
      <c r="J31" s="34">
        <f>IF(E31=0,"",(E31-H31)/ABS(H31))</f>
        <v>1.2086653988630649E-2</v>
      </c>
      <c r="K31" s="32">
        <f>'VZLA BFS'!K27/'VENEZUELA USD'!$AH$3</f>
        <v>0</v>
      </c>
      <c r="L31" s="34" t="str">
        <f>IF($K$20&lt;=0," ",K31/$K$20)</f>
        <v xml:space="preserve"> </v>
      </c>
      <c r="M31" s="32">
        <f>'VZLA BFS'!M31/'VENEZUELA USD'!$AH$3</f>
        <v>6301.585315719999</v>
      </c>
      <c r="N31" s="34">
        <f>+M31/$M$20</f>
        <v>0.23327658965388798</v>
      </c>
      <c r="O31" s="34" t="str">
        <f>IF(K31=0,"",(M31-K31)/ABS(K31)+1)</f>
        <v/>
      </c>
      <c r="P31" s="63">
        <f>+'VZLA BFS'!P31/'VENEZUELA USD'!$AH$4</f>
        <v>9666.2370540851553</v>
      </c>
      <c r="Q31" s="34">
        <f>IF($P$20&lt;=0," ",P31/$P$20)</f>
        <v>0.18295448506343762</v>
      </c>
      <c r="R31" s="34">
        <f>IF(M31=0,"",(M31-P31)/ABS(P31))</f>
        <v>-0.34808289094701889</v>
      </c>
      <c r="S31" s="68"/>
      <c r="T31" s="68"/>
      <c r="U31" s="58"/>
    </row>
    <row r="32" spans="2:35" x14ac:dyDescent="0.2">
      <c r="B32" s="3" t="s">
        <v>53</v>
      </c>
      <c r="C32" s="32">
        <f>'VZLA BFS'!C28/'VENEZUELA USD'!$AH$3</f>
        <v>0</v>
      </c>
      <c r="D32" s="34" t="str">
        <f>IF(DD37&lt;=0," ",C32/$C$20)</f>
        <v xml:space="preserve"> </v>
      </c>
      <c r="E32" s="32">
        <f>'VZLA BFS'!E32/'VENEZUELA USD'!$AH$3</f>
        <v>2683.0032394899999</v>
      </c>
      <c r="F32" s="34">
        <f>+E32/$E$20</f>
        <v>0.6510583304638633</v>
      </c>
      <c r="G32" s="34" t="str">
        <f>IF(C32=0,"",(E32-C32)/ABS(C32)+1)</f>
        <v/>
      </c>
      <c r="H32" s="63">
        <f>+'VZLA BFS'!H32/'VENEZUELA USD'!$AH$4</f>
        <v>4266.1449942462596</v>
      </c>
      <c r="I32" s="34">
        <f>IF($H$20&lt;=0," ",H32/$H$20)</f>
        <v>0.79847338766648857</v>
      </c>
      <c r="J32" s="34">
        <f>IF(E32=0,"",(E32-H32)/ABS(H32))</f>
        <v>-0.37109422133833692</v>
      </c>
      <c r="K32" s="32">
        <f>'VZLA BFS'!K28/'VENEZUELA USD'!$AH$3</f>
        <v>0</v>
      </c>
      <c r="L32" s="34" t="str">
        <f>IF($K$20&lt;=0," ",K32/$K$20)</f>
        <v xml:space="preserve"> </v>
      </c>
      <c r="M32" s="32">
        <f>'VZLA BFS'!M32/'VENEZUELA USD'!$AH$3</f>
        <v>17765.00768825</v>
      </c>
      <c r="N32" s="34">
        <f>+M32/$M$20</f>
        <v>0.65763775320981466</v>
      </c>
      <c r="O32" s="34" t="str">
        <f>IF(K32=0,"",(M32-K32)/ABS(K32)+1)</f>
        <v/>
      </c>
      <c r="P32" s="63">
        <f>+'VZLA BFS'!P32/'VENEZUELA USD'!$AH$4</f>
        <v>42476.202531645569</v>
      </c>
      <c r="Q32" s="34">
        <f>IF($P$20&lt;=0," ",P32/$P$20)</f>
        <v>0.8039541879787877</v>
      </c>
      <c r="R32" s="34">
        <f>IF(M32=0,"",(M32-P32)/ABS(P32))</f>
        <v>-0.58176563276778959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3656.1305625599994</v>
      </c>
      <c r="F34" s="34">
        <f>+E34/$E$20</f>
        <v>0.88719768391732901</v>
      </c>
      <c r="G34" s="34" t="str">
        <f>IF(C34=0,"",(E34-C34)/ABS(C34)+1)</f>
        <v/>
      </c>
      <c r="H34" s="63">
        <f>+'VZLA BFS'!H34/'VENEZUELA USD'!$AH$4</f>
        <v>5380.1841196777905</v>
      </c>
      <c r="I34" s="34">
        <f>IF($H$20&lt;=0," ",H34/$H$20)</f>
        <v>1.0069826145390011</v>
      </c>
      <c r="J34" s="34">
        <f>IF(E34=0,"",(E34-H34)/ABS(H34))</f>
        <v>-0.32044508492044721</v>
      </c>
      <c r="K34" s="32">
        <f>'VZLA BFS'!K29/'VENEZUELA USD'!$AH$3</f>
        <v>0</v>
      </c>
      <c r="L34" s="34" t="str">
        <f>IF($K$20&lt;=0," ",K34/$K$20)</f>
        <v xml:space="preserve"> </v>
      </c>
      <c r="M34" s="32">
        <f>'VZLA BFS'!M34/'VENEZUELA USD'!$AH$3</f>
        <v>23533.172345879997</v>
      </c>
      <c r="N34" s="34">
        <f>+M34/$M$20</f>
        <v>0.87116779564807534</v>
      </c>
      <c r="O34" s="34" t="str">
        <f>IF(K34=0,"",(M34-K34)/ABS(K34)+1)</f>
        <v/>
      </c>
      <c r="P34" s="63">
        <f>+'VZLA BFS'!P34/'VENEZUELA USD'!$AH$4</f>
        <v>51067.341772151893</v>
      </c>
      <c r="Q34" s="34">
        <f>IF($P$20&lt;=0," ",P34/$P$20)</f>
        <v>0.96656011695203348</v>
      </c>
      <c r="R34" s="34">
        <f>IF(M34=0,"",(M34-P34)/ABS(P34))</f>
        <v>-0.53917373551812453</v>
      </c>
      <c r="S34" s="68"/>
      <c r="AL34" s="79" t="s">
        <v>139</v>
      </c>
      <c r="AT34" s="79" t="s">
        <v>140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10" t="s">
        <v>6</v>
      </c>
      <c r="AM35" s="111">
        <v>1788641</v>
      </c>
      <c r="AN35"/>
      <c r="AO35"/>
      <c r="AP35"/>
      <c r="AQ35"/>
      <c r="AT35" s="110" t="s">
        <v>6</v>
      </c>
      <c r="AU35" s="111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0</v>
      </c>
      <c r="D36" s="34" t="str">
        <f>IF(DD39&lt;=0," ",C36/$C$20)</f>
        <v xml:space="preserve"> </v>
      </c>
      <c r="E36" s="32">
        <f>'VZLA BFS'!E36/'VENEZUELA USD'!$AH$3</f>
        <v>464.85693418000034</v>
      </c>
      <c r="F36" s="34">
        <f>+E36/$E$20</f>
        <v>0.11280231608267093</v>
      </c>
      <c r="G36" s="34" t="str">
        <f>IF(C36=0,"",(E36-C36)/ABS(C36)+1)</f>
        <v/>
      </c>
      <c r="H36" s="63">
        <f>+'VZLA BFS'!H36/'VENEZUELA USD'!$AH$4</f>
        <v>-37.307249712313002</v>
      </c>
      <c r="I36" s="34">
        <f>IF($H$20&lt;=0," ",H36/$H$20)</f>
        <v>-6.9826145390009817E-3</v>
      </c>
      <c r="J36" s="34">
        <f>IF(E36=0,"",(E36-H36)/ABS(H36))</f>
        <v>13.460230592301675</v>
      </c>
      <c r="K36" s="32">
        <f>'VZLA BFS'!K30/'VENEZUELA USD'!$AH$3</f>
        <v>0</v>
      </c>
      <c r="L36" s="34" t="str">
        <f>IF($K$20&lt;=0," ",K36/$K$20)</f>
        <v xml:space="preserve"> </v>
      </c>
      <c r="M36" s="32">
        <f>'VZLA BFS'!M36/'VENEZUELA USD'!$AH$3</f>
        <v>1358.9097488600048</v>
      </c>
      <c r="N36" s="34">
        <f>+M36/$M$20</f>
        <v>5.0305092445656063E-2</v>
      </c>
      <c r="O36" s="34" t="str">
        <f>IF(K36=0,"",(M36-K36)/ABS(K36)+1)</f>
        <v/>
      </c>
      <c r="P36" s="63">
        <f>+'VZLA BFS'!P36/'VENEZUELA USD'!$AH$4</f>
        <v>1766.7663981588032</v>
      </c>
      <c r="Q36" s="34">
        <f>IF($P$20&lt;=0," ",P36/$P$20)</f>
        <v>3.3439883047966544E-2</v>
      </c>
      <c r="R36" s="34">
        <f>IF(M36=0,"",(M36-P36)/ABS(P36))</f>
        <v>-0.23084922246870737</v>
      </c>
      <c r="AL36" s="110" t="s">
        <v>9</v>
      </c>
      <c r="AM36" s="111">
        <v>1899023</v>
      </c>
      <c r="AN36"/>
      <c r="AO36"/>
      <c r="AP36"/>
      <c r="AQ36"/>
      <c r="AT36" s="110" t="s">
        <v>9</v>
      </c>
      <c r="AU36" s="111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10" t="s">
        <v>10</v>
      </c>
      <c r="AM37" s="111">
        <v>2115582</v>
      </c>
      <c r="AN37"/>
      <c r="AO37"/>
      <c r="AP37"/>
      <c r="AQ37"/>
      <c r="AT37" s="110" t="s">
        <v>10</v>
      </c>
      <c r="AU37" s="111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0</v>
      </c>
      <c r="D38" s="34" t="str">
        <f>IF(DD40&lt;=0," ",C38/$C$20)</f>
        <v xml:space="preserve"> </v>
      </c>
      <c r="E38" s="32">
        <f>'VZLA BFS'!E38/'VENEZUELA USD'!$AH$3</f>
        <v>4156.5221105399996</v>
      </c>
      <c r="F38" s="34">
        <f>+E38/$E$20</f>
        <v>1.0086228395082757</v>
      </c>
      <c r="G38" s="34" t="str">
        <f>IF(C38=0,"",(E38-C38)/ABS(C38)+1)</f>
        <v/>
      </c>
      <c r="H38" s="63">
        <f>+'VZLA BFS'!H38/'VENEZUELA USD'!$AH$4</f>
        <v>2114.0391254315305</v>
      </c>
      <c r="I38" s="34">
        <f>IF($H$20&lt;=0," ",H38/$H$20)</f>
        <v>0.39567431121525926</v>
      </c>
      <c r="J38" s="34">
        <f>IF(E38=0,"",(E38-H38)/ABS(H38))</f>
        <v>0.96615193188136728</v>
      </c>
      <c r="K38" s="32">
        <f>'VZLA BFS'!K31/'VENEZUELA USD'!$AH$3</f>
        <v>0</v>
      </c>
      <c r="L38" s="34" t="str">
        <f>IF($K$20&lt;=0," ",K38/$K$20)</f>
        <v xml:space="preserve"> </v>
      </c>
      <c r="M38" s="32">
        <f>'VZLA BFS'!M38/'VENEZUELA USD'!$AH$3</f>
        <v>13903.398594720002</v>
      </c>
      <c r="N38" s="34">
        <f>+M38/$M$20</f>
        <v>0.51468594746850105</v>
      </c>
      <c r="O38" s="34" t="str">
        <f>IF(K38=0,"",(M38-K38)/ABS(K38)+1)</f>
        <v/>
      </c>
      <c r="P38" s="63">
        <f>+'VZLA BFS'!P38/'VENEZUELA USD'!$AH$4</f>
        <v>1969.2520138089758</v>
      </c>
      <c r="Q38" s="34">
        <f>IF($P$20&lt;=0," ",P38/$P$20)</f>
        <v>3.7272362154029244E-2</v>
      </c>
      <c r="R38" s="34">
        <f>IF(M38=0,"",(M38-P38)/ABS(P38))</f>
        <v>6.0602434311227169</v>
      </c>
      <c r="AL38" s="110" t="s">
        <v>11</v>
      </c>
      <c r="AM38" s="111">
        <v>2900823</v>
      </c>
      <c r="AN38"/>
      <c r="AO38"/>
      <c r="AP38"/>
      <c r="AQ38"/>
      <c r="AT38" s="110" t="s">
        <v>11</v>
      </c>
      <c r="AU38" s="111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0</v>
      </c>
      <c r="D39" s="34" t="str">
        <f>IF(DD41&lt;=0," ",C39/$C$20)</f>
        <v xml:space="preserve"> </v>
      </c>
      <c r="E39" s="32">
        <f>'VZLA BFS'!E39/'VENEZUELA USD'!$AH$3</f>
        <v>2.8719468500000001</v>
      </c>
      <c r="F39" s="34">
        <f>+E39/$E$20</f>
        <v>6.9690744081895867E-4</v>
      </c>
      <c r="G39" s="34" t="str">
        <f>IF(C39=0,"",(E39-C39)/ABS(C39)+1)</f>
        <v/>
      </c>
      <c r="H39" s="63">
        <f>+'VZLA BFS'!H39/'VENEZUELA USD'!$AH$4</f>
        <v>3.6593785960874565</v>
      </c>
      <c r="I39" s="34">
        <f>IF($H$20&lt;=0," ",H39/$H$20)</f>
        <v>6.8490790357875143E-4</v>
      </c>
      <c r="J39" s="34">
        <f>IF(E39=0,"",(E39-H39)/ABS(H39))</f>
        <v>-0.21518181992138358</v>
      </c>
      <c r="K39" s="32">
        <f>'VZLA BFS'!K32/'VENEZUELA USD'!$AH$3</f>
        <v>0</v>
      </c>
      <c r="L39" s="34" t="str">
        <f>IF($K$20&lt;=0," ",K39/$K$20)</f>
        <v xml:space="preserve"> </v>
      </c>
      <c r="M39" s="32">
        <f>'VZLA BFS'!M39/'VENEZUELA USD'!$AH$3</f>
        <v>207.94808781999998</v>
      </c>
      <c r="N39" s="34">
        <f>+M39/$M$20</f>
        <v>7.6979709583054759E-3</v>
      </c>
      <c r="O39" s="34" t="str">
        <f>IF(K39=0,"",(M39-K39)/ABS(K39)+1)</f>
        <v/>
      </c>
      <c r="P39" s="63">
        <f>+'VZLA BFS'!P39/'VENEZUELA USD'!$AH$4</f>
        <v>740.73647871116225</v>
      </c>
      <c r="Q39" s="34">
        <f>IF($P$20&lt;=0," ",P39/$P$20)</f>
        <v>1.4020043194888403E-2</v>
      </c>
      <c r="R39" s="34">
        <f>IF(M39=0,"",(M39-P39)/ABS(P39))</f>
        <v>-0.7192684661867641</v>
      </c>
      <c r="AL39" s="110" t="s">
        <v>12</v>
      </c>
      <c r="AM39" s="111">
        <v>3143738</v>
      </c>
      <c r="AN39"/>
      <c r="AO39"/>
      <c r="AP39"/>
      <c r="AQ39"/>
      <c r="AT39" s="110" t="s">
        <v>12</v>
      </c>
      <c r="AU39" s="111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10" t="s">
        <v>13</v>
      </c>
      <c r="AM40" s="111">
        <v>3267940</v>
      </c>
      <c r="AN40"/>
      <c r="AO40"/>
      <c r="AP40"/>
      <c r="AQ40"/>
      <c r="AT40" s="110" t="s">
        <v>13</v>
      </c>
      <c r="AU40" s="111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4618.5070978700005</v>
      </c>
      <c r="F41" s="34">
        <f>+E41/$E$20</f>
        <v>1.1207282481501277</v>
      </c>
      <c r="G41" s="34" t="str">
        <f>IF(C41=0,"",(E41-C41)/ABS(C41)+1)</f>
        <v/>
      </c>
      <c r="H41" s="63">
        <f>+'VZLA BFS'!H41/'VENEZUELA USD'!$AH$4</f>
        <v>2073.0724971231298</v>
      </c>
      <c r="I41" s="34">
        <f>IF($H$20&lt;=0," ",H41/$H$20)</f>
        <v>0.38800678877267947</v>
      </c>
      <c r="J41" s="34">
        <f>IF(E41=0,"",(E41-H41)/ABS(H41))</f>
        <v>1.2278560466550268</v>
      </c>
      <c r="K41" s="32">
        <f>'VZLA BFS'!K33/'VENEZUELA USD'!$AH$3</f>
        <v>0</v>
      </c>
      <c r="L41" s="34" t="str">
        <f>IF($K$20&lt;=0," ",K41/$K$20)</f>
        <v xml:space="preserve"> </v>
      </c>
      <c r="M41" s="32">
        <f>'VZLA BFS'!M41/'VENEZUELA USD'!$AH$3</f>
        <v>15054.360255760006</v>
      </c>
      <c r="N41" s="34">
        <f>+M41/$M$20</f>
        <v>0.55729306895585162</v>
      </c>
      <c r="O41" s="34" t="str">
        <f>IF(K41=0,"",(M41-K41)/ABS(K41)+1)</f>
        <v/>
      </c>
      <c r="P41" s="63">
        <f>+'VZLA BFS'!P41/'VENEZUELA USD'!$AH$4</f>
        <v>2995.2819332566164</v>
      </c>
      <c r="Q41" s="34">
        <f>IF($P$20&lt;=0," ",P41/$P$20)</f>
        <v>5.6692202007107374E-2</v>
      </c>
      <c r="R41" s="34">
        <f>IF(M41=0,"",(M41-P41)/ABS(P41))</f>
        <v>4.0260244582025617</v>
      </c>
      <c r="AL41" s="110" t="s">
        <v>14</v>
      </c>
      <c r="AM41" s="111">
        <v>4139112</v>
      </c>
      <c r="AN41"/>
      <c r="AO41"/>
      <c r="AP41"/>
      <c r="AQ41"/>
      <c r="AT41" s="110" t="s">
        <v>14</v>
      </c>
      <c r="AU41" s="111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0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 t="str">
        <f>IF(C42=0,"",(E42-C42)/ABS(C42)+1)</f>
        <v/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0</v>
      </c>
      <c r="L42" s="34" t="str">
        <f>IF($K$20&lt;=0," ",K42/$K$20)</f>
        <v xml:space="preserve"> </v>
      </c>
      <c r="M42" s="32">
        <f>'VZLA BFS'!M42/'VENEZUELA USD'!$AH$3</f>
        <v>0</v>
      </c>
      <c r="N42" s="34">
        <f>+M42/$M$20</f>
        <v>0</v>
      </c>
      <c r="O42" s="34" t="str">
        <f>IF(K42=0,"",(M42-K42)/ABS(K42)+1)</f>
        <v/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10" t="s">
        <v>15</v>
      </c>
      <c r="AM42" s="111">
        <v>4148043</v>
      </c>
      <c r="AN42"/>
      <c r="AO42"/>
      <c r="AP42"/>
      <c r="AQ42"/>
      <c r="AT42" s="110" t="s">
        <v>15</v>
      </c>
      <c r="AU42" s="111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4618.5070978700005</v>
      </c>
      <c r="F43" s="34">
        <f>+E43/$E$20</f>
        <v>1.1207282481501277</v>
      </c>
      <c r="G43" s="34" t="str">
        <f>IF(C43=0,"",(E43-C43)/ABS(C43)+1)</f>
        <v/>
      </c>
      <c r="H43" s="63">
        <f>+'VZLA BFS'!H43/'VENEZUELA USD'!$AH$4</f>
        <v>2073.0724971231298</v>
      </c>
      <c r="I43" s="34">
        <f>IF($H$20&lt;=0," ",H43/$H$20)</f>
        <v>0.38800678877267947</v>
      </c>
      <c r="J43" s="34">
        <f>IF(E43=0,"",(E43-H43)/ABS(H43))</f>
        <v>1.2278560466550268</v>
      </c>
      <c r="K43" s="32">
        <f>'VZLA BFS'!K35/'VENEZUELA USD'!$AH$3</f>
        <v>0</v>
      </c>
      <c r="L43" s="34" t="str">
        <f>IF($K$20&lt;=0," ",K43/$K$20)</f>
        <v xml:space="preserve"> </v>
      </c>
      <c r="M43" s="32">
        <f>'VZLA BFS'!M43/'VENEZUELA USD'!$AH$3</f>
        <v>15054.360255760006</v>
      </c>
      <c r="N43" s="34">
        <f>+M43/$M$20</f>
        <v>0.55729306895585162</v>
      </c>
      <c r="O43" s="34" t="str">
        <f>IF(K43=0,"",(M43-K43)/ABS(K43)+1)</f>
        <v/>
      </c>
      <c r="P43" s="63">
        <f>+'VZLA BFS'!P43/'VENEZUELA USD'!$AH$4</f>
        <v>2995.2819332566164</v>
      </c>
      <c r="Q43" s="34">
        <f>IF($P$20&lt;=0," ",P43/$P$20)</f>
        <v>5.6692202007107374E-2</v>
      </c>
      <c r="R43" s="34">
        <f>IF(M43=0,"",(M43-P43)/ABS(P43))</f>
        <v>4.0260244582025617</v>
      </c>
      <c r="AL43" s="110" t="s">
        <v>16</v>
      </c>
      <c r="AM43" s="111">
        <v>4549688</v>
      </c>
      <c r="AN43"/>
      <c r="AO43"/>
      <c r="AP43"/>
      <c r="AQ43"/>
      <c r="AT43" s="110" t="s">
        <v>16</v>
      </c>
      <c r="AU43" s="111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10" t="s">
        <v>7</v>
      </c>
      <c r="AM44" s="111">
        <v>4.5599999999999996</v>
      </c>
      <c r="AN44"/>
      <c r="AO44"/>
      <c r="AP44"/>
      <c r="AQ44"/>
      <c r="AT44" s="110" t="s">
        <v>7</v>
      </c>
      <c r="AU44" s="111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0</v>
      </c>
      <c r="D45" s="34" t="str">
        <f>IF(DD45&lt;=0," ",C45/$C$20)</f>
        <v xml:space="preserve"> </v>
      </c>
      <c r="E45" s="32">
        <f>'VZLA BFS'!E45/'VENEZUELA USD'!$AH$3</f>
        <v>4620.5546817400009</v>
      </c>
      <c r="F45" s="34">
        <f>+E45/$E$20</f>
        <v>1.1212251154353645</v>
      </c>
      <c r="G45" s="34" t="str">
        <f>IF(C45=0,"",(E45-C45)/ABS(C45)+1)</f>
        <v/>
      </c>
      <c r="H45" s="63">
        <f>+'VZLA BFS'!H45/'VENEZUELA USD'!$AH$4</f>
        <v>-665.70011507479887</v>
      </c>
      <c r="I45" s="34">
        <f>IF($H$20&lt;=0," ",H45/$H$20)</f>
        <v>-0.12459581818495102</v>
      </c>
      <c r="J45" s="34">
        <f>IF(E45=0,"",(E45-H45)/ABS(H45))</f>
        <v>7.9408951224543953</v>
      </c>
      <c r="K45" s="32">
        <f>'VZLA BFS'!K36/'VENEZUELA USD'!$AH$3</f>
        <v>0</v>
      </c>
      <c r="L45" s="34" t="str">
        <f>IF($K$20&lt;=0," ",K45/$K$20)</f>
        <v xml:space="preserve"> </v>
      </c>
      <c r="M45" s="32">
        <f>'VZLA BFS'!M45/'VENEZUELA USD'!$AH$3</f>
        <v>15074.852860710009</v>
      </c>
      <c r="N45" s="34">
        <f>+M45/$M$20</f>
        <v>0.55805167885421092</v>
      </c>
      <c r="O45" s="34" t="str">
        <f>IF(K45=0,"",(M45-K45)/ABS(K45)+1)</f>
        <v/>
      </c>
      <c r="P45" s="63">
        <f>+'VZLA BFS'!P45/'VENEZUELA USD'!$AH$4</f>
        <v>3100.7364787111619</v>
      </c>
      <c r="Q45" s="34">
        <f>IF($P$20&lt;=0," ",P45/$P$20)</f>
        <v>5.8688157822517621E-2</v>
      </c>
      <c r="R45" s="34">
        <f>IF(M45=0,"",(M45-P45)/ABS(P45))</f>
        <v>3.8617007489059354</v>
      </c>
      <c r="AL45" s="110" t="s">
        <v>17</v>
      </c>
      <c r="AM45" s="111">
        <v>4.99</v>
      </c>
      <c r="AN45"/>
      <c r="AO45"/>
      <c r="AP45" s="112" t="s">
        <v>141</v>
      </c>
      <c r="AQ45" t="s">
        <v>142</v>
      </c>
      <c r="AT45" s="110" t="s">
        <v>17</v>
      </c>
      <c r="AU45" s="111">
        <v>13.1</v>
      </c>
      <c r="AV45"/>
      <c r="AW45"/>
      <c r="AX45" s="112" t="s">
        <v>141</v>
      </c>
      <c r="AY45" t="s">
        <v>142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670.64266755999995</v>
      </c>
      <c r="F46" s="34">
        <f>+E46/$E$20</f>
        <v>0.16273834077160557</v>
      </c>
      <c r="G46" s="34" t="str">
        <f>IF(C46=0,"",(E46-C46)/ABS(C46)+1)</f>
        <v/>
      </c>
      <c r="H46" s="63">
        <f>+'VZLA BFS'!H46/'VENEZUELA USD'!$AH$4</f>
        <v>2010.3797468354428</v>
      </c>
      <c r="I46" s="34">
        <f>IF($H$20&lt;=0," ",H46/$H$20)</f>
        <v>0.37627289487740578</v>
      </c>
      <c r="J46" s="34">
        <f>IF(E46=0,"",(E46-H46)/ABS(H46))</f>
        <v>-0.6664099563201108</v>
      </c>
      <c r="K46" s="32">
        <f>'VZLA BFS'!K37/'VENEZUELA USD'!$AH$3</f>
        <v>0</v>
      </c>
      <c r="L46" s="34" t="str">
        <f>IF($K$20&lt;=0," ",K46/$K$20)</f>
        <v xml:space="preserve"> </v>
      </c>
      <c r="M46" s="32">
        <f>'VZLA BFS'!M46/'VENEZUELA USD'!$AH$3</f>
        <v>6062.0124141800006</v>
      </c>
      <c r="N46" s="34">
        <f>+M46/$M$20</f>
        <v>0.22440790873556068</v>
      </c>
      <c r="O46" s="34" t="str">
        <f>IF(K46=0,"",(M46-K46)/ABS(K46)+1)</f>
        <v/>
      </c>
      <c r="P46" s="63">
        <f>+'VZLA BFS'!P46/'VENEZUELA USD'!$AH$4</f>
        <v>21297.008055235903</v>
      </c>
      <c r="Q46" s="34">
        <f>IF($P$20&lt;=0," ",P46/$P$20)</f>
        <v>0.40309203264272048</v>
      </c>
      <c r="R46" s="34">
        <f>IF(M46=0,"",(M46-P46)/ABS(P46))</f>
        <v>-0.71535849550051489</v>
      </c>
      <c r="AL46" s="110" t="s">
        <v>18</v>
      </c>
      <c r="AM46" s="111">
        <v>4.6900000000000004</v>
      </c>
      <c r="AN46" s="113">
        <f>1/AM46</f>
        <v>0.21321961620469082</v>
      </c>
      <c r="AO46" t="s">
        <v>143</v>
      </c>
      <c r="AP46">
        <v>11272</v>
      </c>
      <c r="AQ46" s="114">
        <f>+AP46*AN46</f>
        <v>2403.4115138592751</v>
      </c>
      <c r="AT46" s="110" t="s">
        <v>18</v>
      </c>
      <c r="AU46" s="111">
        <v>18.600000000000001</v>
      </c>
      <c r="AV46" s="113">
        <f>1/AU46</f>
        <v>5.3763440860215048E-2</v>
      </c>
      <c r="AW46" t="s">
        <v>143</v>
      </c>
      <c r="AX46" s="115">
        <v>11272</v>
      </c>
      <c r="AY46" s="114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t="s">
        <v>144</v>
      </c>
      <c r="AM47" s="116">
        <f>AVERAGE(AM35:AM46)</f>
        <v>2329383.6866666665</v>
      </c>
      <c r="AN47" s="113">
        <f>1/AM47</f>
        <v>4.2929810392507461E-7</v>
      </c>
      <c r="AO47" t="s">
        <v>145</v>
      </c>
      <c r="AP47" s="117">
        <v>11272</v>
      </c>
      <c r="AQ47" s="118">
        <f>+AP47*AN47</f>
        <v>4.8390482274434411E-3</v>
      </c>
      <c r="AT47" t="s">
        <v>144</v>
      </c>
      <c r="AU47" s="116">
        <f>AVERAGE(AU35:AU46)</f>
        <v>7.725833333333334</v>
      </c>
      <c r="AV47" s="113">
        <f>1/AU47</f>
        <v>0.12943587531010678</v>
      </c>
      <c r="AW47" t="s">
        <v>145</v>
      </c>
      <c r="AX47" s="117">
        <v>11272</v>
      </c>
      <c r="AY47" s="118">
        <f>+AX47*AV47</f>
        <v>1459.0011864955236</v>
      </c>
    </row>
    <row r="51" spans="35:43" x14ac:dyDescent="0.2">
      <c r="AL51" s="79" t="s">
        <v>146</v>
      </c>
    </row>
    <row r="52" spans="35:43" ht="15" x14ac:dyDescent="0.25">
      <c r="AL52" s="110" t="s">
        <v>6</v>
      </c>
      <c r="AM52" s="111">
        <v>23.11</v>
      </c>
      <c r="AN52"/>
      <c r="AO52"/>
      <c r="AP52"/>
      <c r="AQ52"/>
    </row>
    <row r="53" spans="35:43" ht="15" x14ac:dyDescent="0.25">
      <c r="AL53" s="110" t="s">
        <v>9</v>
      </c>
      <c r="AM53" s="111">
        <v>25.1</v>
      </c>
      <c r="AN53"/>
      <c r="AO53"/>
      <c r="AP53"/>
      <c r="AQ53"/>
    </row>
    <row r="54" spans="35:43" ht="15" x14ac:dyDescent="0.25">
      <c r="AL54" s="110" t="s">
        <v>10</v>
      </c>
      <c r="AM54" s="111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10" t="s">
        <v>11</v>
      </c>
      <c r="AM55" s="111">
        <v>28.23</v>
      </c>
      <c r="AN55"/>
      <c r="AO55"/>
      <c r="AP55"/>
      <c r="AQ55"/>
    </row>
    <row r="56" spans="35:43" ht="15" x14ac:dyDescent="0.25">
      <c r="AL56" s="110" t="s">
        <v>12</v>
      </c>
      <c r="AM56" s="111">
        <v>28.23</v>
      </c>
      <c r="AN56"/>
      <c r="AO56"/>
      <c r="AP56"/>
      <c r="AQ56"/>
    </row>
    <row r="57" spans="35:43" ht="15" x14ac:dyDescent="0.25">
      <c r="AL57" s="110" t="s">
        <v>13</v>
      </c>
      <c r="AM57" s="111">
        <v>28.35</v>
      </c>
      <c r="AN57"/>
      <c r="AO57"/>
      <c r="AP57"/>
      <c r="AQ57"/>
    </row>
    <row r="58" spans="35:43" ht="15" x14ac:dyDescent="0.25">
      <c r="AL58" s="110" t="s">
        <v>14</v>
      </c>
      <c r="AM58" s="111">
        <v>33.93</v>
      </c>
      <c r="AN58"/>
      <c r="AO58"/>
      <c r="AP58"/>
      <c r="AQ58"/>
    </row>
    <row r="59" spans="35:43" ht="15" x14ac:dyDescent="0.25">
      <c r="AL59" s="110" t="s">
        <v>15</v>
      </c>
      <c r="AM59" s="111">
        <v>34.659999999999997</v>
      </c>
      <c r="AN59"/>
      <c r="AO59"/>
      <c r="AP59"/>
      <c r="AQ59"/>
    </row>
    <row r="60" spans="35:43" ht="15" x14ac:dyDescent="0.25">
      <c r="AL60" s="110" t="s">
        <v>16</v>
      </c>
      <c r="AM60" s="111">
        <v>35.74</v>
      </c>
      <c r="AN60"/>
      <c r="AO60"/>
      <c r="AP60"/>
      <c r="AQ60"/>
    </row>
    <row r="61" spans="35:43" ht="15" x14ac:dyDescent="0.25">
      <c r="AL61" s="110" t="s">
        <v>7</v>
      </c>
      <c r="AM61" s="111">
        <v>37.29</v>
      </c>
      <c r="AN61"/>
      <c r="AO61"/>
      <c r="AP61"/>
      <c r="AQ61"/>
    </row>
    <row r="62" spans="35:43" ht="23.25" x14ac:dyDescent="0.25">
      <c r="AL62" s="110" t="s">
        <v>17</v>
      </c>
      <c r="AM62" s="111">
        <v>37.950000000000003</v>
      </c>
      <c r="AN62"/>
      <c r="AO62"/>
      <c r="AP62" s="112" t="s">
        <v>141</v>
      </c>
      <c r="AQ62" t="s">
        <v>142</v>
      </c>
    </row>
    <row r="63" spans="35:43" ht="15" x14ac:dyDescent="0.25">
      <c r="AL63" s="110" t="s">
        <v>18</v>
      </c>
      <c r="AM63" s="111">
        <v>39.08</v>
      </c>
      <c r="AN63" s="113">
        <f>1/AM63</f>
        <v>2.5588536335721598E-2</v>
      </c>
      <c r="AO63" t="s">
        <v>143</v>
      </c>
      <c r="AP63" s="115">
        <v>394358</v>
      </c>
      <c r="AQ63" s="114">
        <f>+AP63*AN63</f>
        <v>10091.044012282498</v>
      </c>
    </row>
    <row r="64" spans="35:43" ht="15" x14ac:dyDescent="0.25">
      <c r="AL64" t="s">
        <v>144</v>
      </c>
      <c r="AM64" s="116">
        <f>AVERAGE(AM52:AM63)</f>
        <v>31.385000000000002</v>
      </c>
      <c r="AN64" s="113">
        <f>1/AM64</f>
        <v>3.186235462800701E-2</v>
      </c>
      <c r="AO64" t="s">
        <v>145</v>
      </c>
      <c r="AP64" s="115">
        <v>394358</v>
      </c>
      <c r="AQ64" s="118">
        <f>+AP64*AN64</f>
        <v>12565.174446391589</v>
      </c>
    </row>
    <row r="69" spans="38:43" x14ac:dyDescent="0.2">
      <c r="AL69" s="79" t="s">
        <v>147</v>
      </c>
    </row>
    <row r="70" spans="38:43" ht="15" x14ac:dyDescent="0.25">
      <c r="AL70" s="110" t="s">
        <v>6</v>
      </c>
      <c r="AM70" s="111">
        <v>38.53</v>
      </c>
      <c r="AN70"/>
      <c r="AO70"/>
      <c r="AP70"/>
      <c r="AQ70"/>
    </row>
    <row r="71" spans="38:43" ht="15" x14ac:dyDescent="0.25">
      <c r="AL71" s="110" t="s">
        <v>9</v>
      </c>
      <c r="AM71" s="111">
        <v>38.92</v>
      </c>
      <c r="AN71"/>
      <c r="AO71"/>
      <c r="AP71"/>
      <c r="AQ71"/>
    </row>
    <row r="72" spans="38:43" ht="15" x14ac:dyDescent="0.25">
      <c r="AL72" s="110" t="s">
        <v>10</v>
      </c>
      <c r="AM72" s="111">
        <v>39.119999999999997</v>
      </c>
      <c r="AN72"/>
      <c r="AO72"/>
      <c r="AP72"/>
      <c r="AQ72"/>
    </row>
    <row r="73" spans="38:43" ht="15" x14ac:dyDescent="0.25">
      <c r="AL73" s="110" t="s">
        <v>11</v>
      </c>
      <c r="AM73" s="111">
        <v>40.86</v>
      </c>
      <c r="AN73"/>
      <c r="AO73"/>
      <c r="AP73"/>
      <c r="AQ73"/>
    </row>
    <row r="74" spans="38:43" ht="15" x14ac:dyDescent="0.25">
      <c r="AL74" s="110" t="s">
        <v>12</v>
      </c>
      <c r="AM74" s="111">
        <v>36.46</v>
      </c>
      <c r="AN74"/>
      <c r="AO74"/>
      <c r="AP74"/>
      <c r="AQ74"/>
    </row>
    <row r="75" spans="38:43" ht="15" x14ac:dyDescent="0.25">
      <c r="AL75" s="110" t="s">
        <v>13</v>
      </c>
      <c r="AM75" s="111">
        <v>40.46</v>
      </c>
      <c r="AN75"/>
      <c r="AO75"/>
      <c r="AP75"/>
      <c r="AQ75"/>
    </row>
    <row r="76" spans="38:43" ht="15" x14ac:dyDescent="0.25">
      <c r="AL76" s="110" t="s">
        <v>14</v>
      </c>
      <c r="AM76" s="111">
        <v>45.57</v>
      </c>
      <c r="AN76"/>
      <c r="AO76"/>
      <c r="AP76"/>
      <c r="AQ76"/>
    </row>
    <row r="77" spans="38:43" ht="15" x14ac:dyDescent="0.25">
      <c r="AL77" s="110" t="s">
        <v>15</v>
      </c>
      <c r="AM77" s="111">
        <v>43.18</v>
      </c>
      <c r="AN77"/>
      <c r="AO77"/>
      <c r="AP77"/>
      <c r="AQ77"/>
    </row>
    <row r="78" spans="38:43" ht="15" x14ac:dyDescent="0.25">
      <c r="AL78" s="110" t="s">
        <v>16</v>
      </c>
      <c r="AM78" s="111">
        <v>43.1</v>
      </c>
      <c r="AN78"/>
      <c r="AO78"/>
      <c r="AP78"/>
      <c r="AQ78"/>
    </row>
    <row r="79" spans="38:43" ht="15" x14ac:dyDescent="0.25">
      <c r="AL79" s="110" t="s">
        <v>7</v>
      </c>
      <c r="AM79" s="111">
        <v>43.45</v>
      </c>
      <c r="AN79"/>
      <c r="AO79"/>
      <c r="AP79"/>
      <c r="AQ79"/>
    </row>
    <row r="80" spans="38:43" ht="23.25" x14ac:dyDescent="0.25">
      <c r="AL80" s="110" t="s">
        <v>17</v>
      </c>
      <c r="AM80" s="111">
        <v>43.45</v>
      </c>
      <c r="AN80"/>
      <c r="AO80"/>
      <c r="AP80" s="112" t="s">
        <v>141</v>
      </c>
      <c r="AQ80" t="s">
        <v>142</v>
      </c>
    </row>
    <row r="81" spans="32:43" ht="15" x14ac:dyDescent="0.25">
      <c r="AL81" s="110" t="s">
        <v>18</v>
      </c>
      <c r="AM81" s="111">
        <v>53.85</v>
      </c>
      <c r="AN81" s="113">
        <f>1/AM81</f>
        <v>1.8570102135561744E-2</v>
      </c>
      <c r="AO81" t="s">
        <v>143</v>
      </c>
      <c r="AP81" s="115"/>
      <c r="AQ81" s="114">
        <f>+AP81*AN81</f>
        <v>0</v>
      </c>
    </row>
    <row r="82" spans="32:43" ht="15" x14ac:dyDescent="0.25">
      <c r="AL82" t="s">
        <v>144</v>
      </c>
      <c r="AM82" s="116">
        <f>AVERAGE(AM70:AM81)</f>
        <v>42.245833333333337</v>
      </c>
      <c r="AN82" s="113">
        <f>1/AM82</f>
        <v>2.3670973468783902E-2</v>
      </c>
      <c r="AO82" t="s">
        <v>145</v>
      </c>
      <c r="AP82" s="115"/>
      <c r="AQ82" s="118">
        <f>+AP82*AN82</f>
        <v>0</v>
      </c>
    </row>
    <row r="93" spans="32:43" x14ac:dyDescent="0.2">
      <c r="AL93" s="79" t="s">
        <v>148</v>
      </c>
    </row>
    <row r="94" spans="32:43" ht="15" x14ac:dyDescent="0.25">
      <c r="AL94" s="110" t="s">
        <v>6</v>
      </c>
      <c r="AM94" s="111">
        <v>64.319999999999993</v>
      </c>
      <c r="AN94"/>
      <c r="AO94"/>
    </row>
    <row r="95" spans="32:43" ht="15" x14ac:dyDescent="0.25">
      <c r="AL95" s="110" t="s">
        <v>9</v>
      </c>
      <c r="AM95" s="111">
        <v>68.3</v>
      </c>
      <c r="AN95"/>
      <c r="AO95"/>
    </row>
    <row r="96" spans="32:43" ht="15" x14ac:dyDescent="0.25">
      <c r="AF96" s="2">
        <f>1/0.0044548</f>
        <v>224.47696866301516</v>
      </c>
      <c r="AL96" s="110" t="s">
        <v>10</v>
      </c>
      <c r="AM96" s="111">
        <v>68.52</v>
      </c>
      <c r="AN96"/>
      <c r="AO96"/>
    </row>
    <row r="97" spans="38:41" ht="15" x14ac:dyDescent="0.25">
      <c r="AL97" s="110" t="s">
        <v>11</v>
      </c>
      <c r="AM97" s="111">
        <v>69.83</v>
      </c>
      <c r="AN97"/>
      <c r="AO97"/>
    </row>
    <row r="98" spans="38:41" ht="15" x14ac:dyDescent="0.25">
      <c r="AL98" s="110" t="s">
        <v>12</v>
      </c>
      <c r="AM98" s="111">
        <v>97.191000000000003</v>
      </c>
      <c r="AN98"/>
      <c r="AO98"/>
    </row>
    <row r="99" spans="38:41" ht="15" x14ac:dyDescent="0.25">
      <c r="AL99" s="110" t="s">
        <v>13</v>
      </c>
      <c r="AM99" s="111">
        <v>125.26</v>
      </c>
      <c r="AN99"/>
      <c r="AO99"/>
    </row>
    <row r="100" spans="38:41" ht="15" x14ac:dyDescent="0.25">
      <c r="AL100" s="110" t="s">
        <v>14</v>
      </c>
      <c r="AM100" s="111">
        <v>141.6</v>
      </c>
      <c r="AN100"/>
      <c r="AO100"/>
    </row>
    <row r="101" spans="38:41" ht="15" x14ac:dyDescent="0.25">
      <c r="AL101" s="110" t="s">
        <v>15</v>
      </c>
      <c r="AM101" s="111">
        <v>147.08250000000001</v>
      </c>
      <c r="AN101"/>
      <c r="AO101"/>
    </row>
    <row r="102" spans="38:41" ht="15" x14ac:dyDescent="0.25">
      <c r="AL102" s="110" t="s">
        <v>16</v>
      </c>
      <c r="AM102" s="111">
        <v>177.614</v>
      </c>
      <c r="AN102"/>
      <c r="AO102"/>
    </row>
    <row r="103" spans="38:41" ht="15" x14ac:dyDescent="0.25">
      <c r="AL103" s="110" t="s">
        <v>7</v>
      </c>
      <c r="AM103" s="111">
        <f>1/0.004471</f>
        <v>223.66360993066428</v>
      </c>
      <c r="AN103"/>
      <c r="AO103"/>
    </row>
    <row r="104" spans="38:41" ht="15" x14ac:dyDescent="0.25">
      <c r="AL104" s="110" t="s">
        <v>17</v>
      </c>
      <c r="AM104" s="111">
        <f>1/0.004113</f>
        <v>243.13153415998053</v>
      </c>
      <c r="AN104"/>
      <c r="AO104"/>
    </row>
    <row r="105" spans="38:41" ht="15" x14ac:dyDescent="0.25">
      <c r="AL105" s="110" t="s">
        <v>18</v>
      </c>
      <c r="AM105" s="111"/>
      <c r="AN105" s="113" t="e">
        <f>1/AM105</f>
        <v>#DIV/0!</v>
      </c>
      <c r="AO105" t="s">
        <v>143</v>
      </c>
    </row>
    <row r="106" spans="38:41" ht="15" x14ac:dyDescent="0.25">
      <c r="AL106" t="s">
        <v>144</v>
      </c>
      <c r="AM106" s="116">
        <f>AVERAGE(AM94:AM105)</f>
        <v>129.68296764460408</v>
      </c>
      <c r="AN106" s="113">
        <f>1/AM106</f>
        <v>7.7111128636452716E-3</v>
      </c>
      <c r="AO106" t="s">
        <v>145</v>
      </c>
    </row>
    <row r="108" spans="38:41" x14ac:dyDescent="0.2">
      <c r="AN108" s="2">
        <v>5000</v>
      </c>
    </row>
    <row r="109" spans="38:41" x14ac:dyDescent="0.2">
      <c r="AN109" s="119">
        <f>+AN108*AN106</f>
        <v>38.555564318226359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48BC-17BA-48C8-93C8-10EC5D158C7F}">
  <sheetPr>
    <tabColor theme="2" tint="-0.249977111117893"/>
  </sheetPr>
  <dimension ref="A1:AH48"/>
  <sheetViews>
    <sheetView showGridLines="0" topLeftCell="S1" zoomScale="93" zoomScaleNormal="93" workbookViewId="0">
      <selection activeCell="AH37" sqref="AH37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149</v>
      </c>
      <c r="T3" s="18" t="s">
        <v>149</v>
      </c>
    </row>
    <row r="4" spans="1:34" ht="14.25" customHeight="1" x14ac:dyDescent="0.2">
      <c r="A4" s="78" t="str">
        <f>+Paramet!A3</f>
        <v>202401</v>
      </c>
      <c r="B4" s="2" t="s">
        <v>20</v>
      </c>
      <c r="K4" s="120"/>
      <c r="L4" s="120"/>
      <c r="M4" s="120"/>
      <c r="N4" s="120"/>
      <c r="O4" s="120"/>
      <c r="P4" s="120"/>
      <c r="Q4" s="120"/>
      <c r="R4" s="120"/>
      <c r="S4" s="120"/>
      <c r="T4" s="3" t="s">
        <v>21</v>
      </c>
    </row>
    <row r="5" spans="1:34" ht="14.25" customHeight="1" x14ac:dyDescent="0.2">
      <c r="A5" s="78" t="str">
        <f>+Paramet!A4</f>
        <v>202410</v>
      </c>
      <c r="B5" s="3" t="s">
        <v>150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150</v>
      </c>
    </row>
    <row r="6" spans="1:34" ht="14.25" customHeight="1" thickBot="1" x14ac:dyDescent="0.25">
      <c r="A6" s="78" t="str">
        <f>+Paramet!B3</f>
        <v>202501</v>
      </c>
      <c r="B6" s="20" t="str">
        <f>+'COLOMB$ '!B6</f>
        <v>OCTUBRE de 2025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OCTUBRE de 2025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202510</v>
      </c>
      <c r="B7" s="61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T7" s="54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121" t="str">
        <f>+K7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7873.1</v>
      </c>
      <c r="Y10" s="32">
        <v>7873.1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-0.20270709554329766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72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73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75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76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78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80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82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7873.1</v>
      </c>
      <c r="Y21" s="32">
        <f>+Y10+Y19</f>
        <v>7873.1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-0.85110762004236562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151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7873.1</v>
      </c>
      <c r="Y30" s="69">
        <f>Y21-Y23-Y25-Y27-Y28</f>
        <v>7873.1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152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2350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2250</v>
      </c>
      <c r="Q31" s="34" t="e">
        <f>+P31/$P$20</f>
        <v>#DIV/0!</v>
      </c>
      <c r="R31" s="34">
        <f t="shared" si="9"/>
        <v>4.4444444444444446E-2</v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2350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2250</v>
      </c>
      <c r="Q32" s="34" t="e">
        <f>+P32/$P$20</f>
        <v>#DIV/0!</v>
      </c>
      <c r="R32" s="34">
        <f t="shared" si="9"/>
        <v>4.4444444444444446E-2</v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2350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2250</v>
      </c>
      <c r="Q34" s="34" t="e">
        <f>+P34/$P$20</f>
        <v>#DIV/0!</v>
      </c>
      <c r="R34" s="34">
        <f t="shared" si="9"/>
        <v>4.4444444444444446E-2</v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-2350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-2250</v>
      </c>
      <c r="Q36" s="45" t="e">
        <f>+P36/$P$20</f>
        <v>#DIV/0!</v>
      </c>
      <c r="R36" s="45">
        <f t="shared" si="9"/>
        <v>-4.4444444444444446E-2</v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157.9</v>
      </c>
      <c r="I39" s="34" t="str">
        <f t="shared" si="6"/>
        <v/>
      </c>
      <c r="J39" s="34">
        <f>IF(H39=0,"",(E39-H39)/ABS(H39))</f>
        <v>-1</v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157.9</v>
      </c>
      <c r="Q39" s="34" t="e">
        <f>+P39/$P$20</f>
        <v>#DIV/0!</v>
      </c>
      <c r="R39" s="34">
        <f t="shared" si="9"/>
        <v>-1</v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-157.9</v>
      </c>
      <c r="I41" s="34" t="str">
        <f t="shared" si="6"/>
        <v/>
      </c>
      <c r="J41" s="34">
        <f>IF(H41=0,"",(E41-H41)/ABS(H41))</f>
        <v>1</v>
      </c>
      <c r="K41" s="32">
        <f>+K36</f>
        <v>0</v>
      </c>
      <c r="L41" s="34" t="str">
        <f>IF($K$20&lt;=0," ",K41/$K$20)</f>
        <v xml:space="preserve"> </v>
      </c>
      <c r="M41" s="32">
        <f>+M36-M39+M38</f>
        <v>-2350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-2407.9</v>
      </c>
      <c r="Q41" s="34" t="e">
        <f>+P41/$P$20</f>
        <v>#DIV/0!</v>
      </c>
      <c r="R41" s="34">
        <f t="shared" si="9"/>
        <v>2.4045849080111339E-2</v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-157.9</v>
      </c>
      <c r="I43" s="34" t="str">
        <f t="shared" si="6"/>
        <v/>
      </c>
      <c r="J43" s="45">
        <f>IF(H43=0,"",(E43-H43)/ABS(H43))</f>
        <v>1</v>
      </c>
      <c r="K43" s="69">
        <f>+K39</f>
        <v>0</v>
      </c>
      <c r="L43" s="45" t="str">
        <f>IF($K$20&lt;=0," ",K43/$K$20)</f>
        <v xml:space="preserve"> </v>
      </c>
      <c r="M43" s="69">
        <f>M41-M42</f>
        <v>-2350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-2407.9</v>
      </c>
      <c r="Q43" s="45" t="e">
        <f>+P43/$P$20</f>
        <v>#DIV/0!</v>
      </c>
      <c r="R43" s="45">
        <f t="shared" si="9"/>
        <v>2.4045849080111339E-2</v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-2350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-2250</v>
      </c>
      <c r="Q45" s="34" t="e">
        <f>+P45/$P$20</f>
        <v>#DIV/0!</v>
      </c>
      <c r="R45" s="34">
        <f t="shared" si="9"/>
        <v>-4.4444444444444446E-2</v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2025-11-25T16:07:25Z</dcterms:created>
  <dcterms:modified xsi:type="dcterms:W3CDTF">2025-11-25T16:09:56Z</dcterms:modified>
</cp:coreProperties>
</file>