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6/Consolidados/"/>
    </mc:Choice>
  </mc:AlternateContent>
  <xr:revisionPtr revIDLastSave="0" documentId="8_{B8C09EAE-7BA3-431B-889C-6C2552C00721}" xr6:coauthVersionLast="47" xr6:coauthVersionMax="47" xr10:uidLastSave="{00000000-0000-0000-0000-000000000000}"/>
  <bookViews>
    <workbookView xWindow="-120" yWindow="-120" windowWidth="20730" windowHeight="11040" activeTab="1" xr2:uid="{389287FD-D101-45B0-B0CA-05206579E5B4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[1]!Consulta(4,"Presupuesto por flujo de efectivo","Zoom","Periodo","R",Paramet!$B$3,Paramet!$B$4,"Cpto Flujo de Efectivo","IN",ctas!$A$544:$A$552)</definedName>
    <definedName name="b2w">'COLOMB$ '!$H$2</definedName>
  </definedNames>
  <calcPr calcId="191029"/>
  <pivotCaches>
    <pivotCache cacheId="23" r:id="rId13"/>
    <pivotCache cacheId="22" r:id="rId14"/>
    <pivotCache cacheId="21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37" i="12" l="1"/>
  <c r="C436" i="12"/>
  <c r="C435" i="12"/>
  <c r="C434" i="12"/>
  <c r="C433" i="12"/>
  <c r="C432" i="12"/>
  <c r="C431" i="12"/>
  <c r="C430" i="12"/>
  <c r="C429" i="12"/>
  <c r="C428" i="12"/>
  <c r="C438" i="12" s="1"/>
  <c r="AK25" i="11"/>
  <c r="AK17" i="11"/>
  <c r="AE17" i="11"/>
  <c r="V7" i="11"/>
  <c r="P7" i="11"/>
  <c r="N7" i="11"/>
  <c r="L7" i="11"/>
  <c r="AB6" i="11"/>
  <c r="AA6" i="11"/>
  <c r="Y6" i="11"/>
  <c r="X6" i="1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R29" i="10"/>
  <c r="I29" i="10"/>
  <c r="G29" i="10"/>
  <c r="P28" i="10"/>
  <c r="R28" i="10" s="1"/>
  <c r="I28" i="10"/>
  <c r="H28" i="10"/>
  <c r="J28" i="10" s="1"/>
  <c r="E28" i="10"/>
  <c r="AC27" i="10"/>
  <c r="AA27" i="10"/>
  <c r="Z27" i="10"/>
  <c r="Y27" i="10"/>
  <c r="X27" i="10"/>
  <c r="R27" i="10"/>
  <c r="K27" i="10"/>
  <c r="O27" i="10" s="1"/>
  <c r="J27" i="10"/>
  <c r="I27" i="10"/>
  <c r="G27" i="10"/>
  <c r="C27" i="10"/>
  <c r="C28" i="10" s="1"/>
  <c r="R26" i="10"/>
  <c r="J26" i="10"/>
  <c r="I26" i="10"/>
  <c r="G26" i="10"/>
  <c r="C26" i="10"/>
  <c r="AC25" i="10"/>
  <c r="Y25" i="10"/>
  <c r="Z25" i="10" s="1"/>
  <c r="X25" i="10"/>
  <c r="AA25" i="10" s="1"/>
  <c r="R25" i="10"/>
  <c r="I25" i="10"/>
  <c r="G25" i="10"/>
  <c r="AC23" i="10"/>
  <c r="Y23" i="10"/>
  <c r="X23" i="10"/>
  <c r="AA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K13" i="10"/>
  <c r="O13" i="10" s="1"/>
  <c r="J13" i="10"/>
  <c r="I13" i="10"/>
  <c r="G13" i="10"/>
  <c r="R12" i="10"/>
  <c r="K12" i="10"/>
  <c r="O12" i="10" s="1"/>
  <c r="J12" i="10"/>
  <c r="I12" i="10"/>
  <c r="G12" i="10"/>
  <c r="R11" i="10"/>
  <c r="K11" i="10"/>
  <c r="O11" i="10" s="1"/>
  <c r="J11" i="10"/>
  <c r="I11" i="10"/>
  <c r="G11" i="10"/>
  <c r="J10" i="10"/>
  <c r="AM129" i="9"/>
  <c r="AN129" i="9" s="1"/>
  <c r="AN128" i="9"/>
  <c r="AN105" i="9"/>
  <c r="AM104" i="9"/>
  <c r="AM106" i="9" s="1"/>
  <c r="AN106" i="9" s="1"/>
  <c r="AN109" i="9" s="1"/>
  <c r="AM103" i="9"/>
  <c r="AF96" i="9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Y46" i="9"/>
  <c r="AV46" i="9"/>
  <c r="AQ46" i="9"/>
  <c r="AN46" i="9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D15" i="9"/>
  <c r="D14" i="9"/>
  <c r="D13" i="9"/>
  <c r="C13" i="9"/>
  <c r="G13" i="9" s="1"/>
  <c r="U12" i="9"/>
  <c r="M12" i="9"/>
  <c r="G12" i="9"/>
  <c r="E12" i="9"/>
  <c r="D12" i="9"/>
  <c r="C12" i="9"/>
  <c r="AB11" i="9"/>
  <c r="Y11" i="9"/>
  <c r="W11" i="9"/>
  <c r="V11" i="9"/>
  <c r="U11" i="9"/>
  <c r="M11" i="9"/>
  <c r="D11" i="9"/>
  <c r="C11" i="9"/>
  <c r="G11" i="9" s="1"/>
  <c r="AB10" i="9"/>
  <c r="X10" i="9"/>
  <c r="W10" i="9"/>
  <c r="V10" i="9"/>
  <c r="O10" i="9"/>
  <c r="K10" i="9"/>
  <c r="G10" i="9"/>
  <c r="E10" i="9"/>
  <c r="D10" i="9"/>
  <c r="C10" i="9"/>
  <c r="O7" i="9"/>
  <c r="G7" i="9"/>
  <c r="AH4" i="9"/>
  <c r="P12" i="9" s="1"/>
  <c r="AH3" i="9"/>
  <c r="K12" i="9" s="1"/>
  <c r="O12" i="9" s="1"/>
  <c r="R45" i="8"/>
  <c r="Q45" i="8"/>
  <c r="N45" i="8"/>
  <c r="G45" i="8"/>
  <c r="R43" i="8"/>
  <c r="Q43" i="8"/>
  <c r="N43" i="8"/>
  <c r="R42" i="8"/>
  <c r="Q42" i="8"/>
  <c r="O42" i="8"/>
  <c r="N42" i="8"/>
  <c r="J42" i="8"/>
  <c r="G42" i="8"/>
  <c r="R41" i="8"/>
  <c r="Q41" i="8"/>
  <c r="N41" i="8"/>
  <c r="R39" i="8"/>
  <c r="Q39" i="8"/>
  <c r="O39" i="8"/>
  <c r="N39" i="8"/>
  <c r="J39" i="8"/>
  <c r="I39" i="8"/>
  <c r="G39" i="8"/>
  <c r="E39" i="8"/>
  <c r="R38" i="8"/>
  <c r="Q38" i="8"/>
  <c r="N38" i="8"/>
  <c r="K38" i="8"/>
  <c r="O38" i="8" s="1"/>
  <c r="J38" i="8"/>
  <c r="G38" i="8"/>
  <c r="R36" i="8"/>
  <c r="Q36" i="8"/>
  <c r="N36" i="8"/>
  <c r="R34" i="8"/>
  <c r="Q34" i="8"/>
  <c r="O34" i="8"/>
  <c r="N34" i="8"/>
  <c r="K34" i="8"/>
  <c r="K42" i="9" s="1"/>
  <c r="O42" i="9" s="1"/>
  <c r="G34" i="8"/>
  <c r="C34" i="8"/>
  <c r="C42" i="9" s="1"/>
  <c r="G42" i="9" s="1"/>
  <c r="R32" i="8"/>
  <c r="Q32" i="8"/>
  <c r="N32" i="8"/>
  <c r="L32" i="8"/>
  <c r="K32" i="8"/>
  <c r="H32" i="8"/>
  <c r="E32" i="8"/>
  <c r="D32" i="8"/>
  <c r="C32" i="8"/>
  <c r="R31" i="8"/>
  <c r="Q31" i="8"/>
  <c r="O31" i="8"/>
  <c r="N31" i="8"/>
  <c r="J31" i="8"/>
  <c r="I31" i="8"/>
  <c r="G31" i="8"/>
  <c r="R30" i="8"/>
  <c r="Q30" i="8"/>
  <c r="O30" i="8"/>
  <c r="N30" i="8"/>
  <c r="J30" i="8"/>
  <c r="G30" i="8"/>
  <c r="D30" i="8"/>
  <c r="AC28" i="8"/>
  <c r="AA28" i="8"/>
  <c r="Z28" i="8"/>
  <c r="R28" i="8"/>
  <c r="Q28" i="8"/>
  <c r="O28" i="8"/>
  <c r="N28" i="8"/>
  <c r="K28" i="8"/>
  <c r="H28" i="8"/>
  <c r="G28" i="8"/>
  <c r="E28" i="8"/>
  <c r="C28" i="8"/>
  <c r="C32" i="9" s="1"/>
  <c r="G32" i="9" s="1"/>
  <c r="AC27" i="8"/>
  <c r="AA27" i="8"/>
  <c r="X27" i="8"/>
  <c r="X27" i="9" s="1"/>
  <c r="AA27" i="9" s="1"/>
  <c r="R27" i="8"/>
  <c r="Q27" i="8"/>
  <c r="O27" i="8"/>
  <c r="N27" i="8"/>
  <c r="J27" i="8"/>
  <c r="I27" i="8"/>
  <c r="G27" i="8"/>
  <c r="R26" i="8"/>
  <c r="Q26" i="8"/>
  <c r="O26" i="8"/>
  <c r="N26" i="8"/>
  <c r="J26" i="8"/>
  <c r="G26" i="8"/>
  <c r="AC25" i="8"/>
  <c r="AA25" i="8"/>
  <c r="Z25" i="8"/>
  <c r="X25" i="8"/>
  <c r="X25" i="9" s="1"/>
  <c r="AA25" i="9" s="1"/>
  <c r="R24" i="8"/>
  <c r="Q24" i="8"/>
  <c r="N24" i="8"/>
  <c r="AC23" i="8"/>
  <c r="AA23" i="8"/>
  <c r="Z23" i="8"/>
  <c r="R22" i="8"/>
  <c r="Q22" i="8"/>
  <c r="N22" i="8"/>
  <c r="K22" i="8"/>
  <c r="J22" i="8"/>
  <c r="G22" i="8"/>
  <c r="AC20" i="8"/>
  <c r="R20" i="8"/>
  <c r="Q20" i="8"/>
  <c r="N20" i="8"/>
  <c r="K20" i="8"/>
  <c r="H20" i="8"/>
  <c r="I38" i="8" s="1"/>
  <c r="E20" i="8"/>
  <c r="F14" i="8" s="1"/>
  <c r="C20" i="8"/>
  <c r="D18" i="8" s="1"/>
  <c r="D19" i="8"/>
  <c r="B19" i="8"/>
  <c r="Y17" i="8"/>
  <c r="V17" i="8"/>
  <c r="U17" i="8"/>
  <c r="D17" i="8"/>
  <c r="B17" i="8"/>
  <c r="AC16" i="8"/>
  <c r="X16" i="8"/>
  <c r="X16" i="9" s="1"/>
  <c r="AA16" i="9" s="1"/>
  <c r="D16" i="8"/>
  <c r="B16" i="8"/>
  <c r="AC15" i="8"/>
  <c r="X15" i="8"/>
  <c r="R15" i="8"/>
  <c r="Q15" i="8"/>
  <c r="N15" i="8"/>
  <c r="L15" i="8"/>
  <c r="J15" i="8"/>
  <c r="I15" i="8"/>
  <c r="G15" i="8"/>
  <c r="B15" i="8"/>
  <c r="AC14" i="8"/>
  <c r="AA14" i="8"/>
  <c r="Z14" i="8"/>
  <c r="X14" i="8"/>
  <c r="X14" i="9" s="1"/>
  <c r="R14" i="8"/>
  <c r="Q14" i="8"/>
  <c r="O14" i="8"/>
  <c r="N14" i="8"/>
  <c r="J14" i="8"/>
  <c r="I14" i="8"/>
  <c r="G14" i="8"/>
  <c r="D14" i="8"/>
  <c r="B14" i="8"/>
  <c r="AC13" i="8"/>
  <c r="X13" i="8"/>
  <c r="X13" i="9" s="1"/>
  <c r="AA13" i="9" s="1"/>
  <c r="R13" i="8"/>
  <c r="Q13" i="8"/>
  <c r="O13" i="8"/>
  <c r="N13" i="8"/>
  <c r="J13" i="8"/>
  <c r="I13" i="8"/>
  <c r="G13" i="8"/>
  <c r="F13" i="8"/>
  <c r="D13" i="8"/>
  <c r="B13" i="8"/>
  <c r="R12" i="8"/>
  <c r="Q12" i="8"/>
  <c r="O12" i="8"/>
  <c r="N12" i="8"/>
  <c r="J12" i="8"/>
  <c r="I12" i="8"/>
  <c r="G12" i="8"/>
  <c r="B12" i="8"/>
  <c r="AC11" i="8"/>
  <c r="X11" i="8"/>
  <c r="AA11" i="8" s="1"/>
  <c r="R11" i="8"/>
  <c r="Q11" i="8"/>
  <c r="O11" i="8"/>
  <c r="N11" i="8"/>
  <c r="J11" i="8"/>
  <c r="I11" i="8"/>
  <c r="G11" i="8"/>
  <c r="D11" i="8"/>
  <c r="B11" i="8"/>
  <c r="AC10" i="8"/>
  <c r="AA10" i="8"/>
  <c r="Z10" i="8"/>
  <c r="R10" i="8"/>
  <c r="Q10" i="8"/>
  <c r="O10" i="8"/>
  <c r="N10" i="8"/>
  <c r="L10" i="8"/>
  <c r="J10" i="8"/>
  <c r="I10" i="8"/>
  <c r="G10" i="8"/>
  <c r="D10" i="8"/>
  <c r="B10" i="8"/>
  <c r="W39" i="7"/>
  <c r="V39" i="7"/>
  <c r="AD28" i="7"/>
  <c r="Z28" i="7"/>
  <c r="Y28" i="7"/>
  <c r="AB28" i="7" s="1"/>
  <c r="AD27" i="7"/>
  <c r="Z27" i="7"/>
  <c r="Y27" i="7"/>
  <c r="AB27" i="7" s="1"/>
  <c r="AD25" i="7"/>
  <c r="Y25" i="7"/>
  <c r="AB25" i="7" s="1"/>
  <c r="AD23" i="7"/>
  <c r="Y23" i="7"/>
  <c r="AB23" i="7" s="1"/>
  <c r="B19" i="7"/>
  <c r="W17" i="7"/>
  <c r="W19" i="7" s="1"/>
  <c r="W21" i="7" s="1"/>
  <c r="W30" i="7" s="1"/>
  <c r="W38" i="7" s="1"/>
  <c r="V17" i="7"/>
  <c r="V19" i="7" s="1"/>
  <c r="V21" i="7" s="1"/>
  <c r="V30" i="7" s="1"/>
  <c r="R17" i="7"/>
  <c r="K17" i="7"/>
  <c r="O17" i="7" s="1"/>
  <c r="J17" i="7"/>
  <c r="G17" i="7"/>
  <c r="B17" i="7"/>
  <c r="AD16" i="7"/>
  <c r="Y16" i="7"/>
  <c r="AB16" i="7" s="1"/>
  <c r="R16" i="7"/>
  <c r="K16" i="7"/>
  <c r="B16" i="7"/>
  <c r="AD15" i="7"/>
  <c r="Y15" i="7"/>
  <c r="AB15" i="7" s="1"/>
  <c r="B15" i="7"/>
  <c r="AD14" i="7"/>
  <c r="Z14" i="7"/>
  <c r="Y14" i="7"/>
  <c r="AB14" i="7" s="1"/>
  <c r="R14" i="7"/>
  <c r="B14" i="7"/>
  <c r="Z13" i="7"/>
  <c r="Y13" i="7"/>
  <c r="AB13" i="7" s="1"/>
  <c r="B13" i="7"/>
  <c r="B12" i="7"/>
  <c r="AD11" i="7"/>
  <c r="Y11" i="7"/>
  <c r="B11" i="7"/>
  <c r="AD10" i="7"/>
  <c r="AB10" i="7"/>
  <c r="B10" i="7"/>
  <c r="C7" i="7"/>
  <c r="V7" i="7" s="1"/>
  <c r="Y7" i="7" s="1"/>
  <c r="U3" i="7"/>
  <c r="AE20" i="6"/>
  <c r="B19" i="6"/>
  <c r="B17" i="6"/>
  <c r="H16" i="6"/>
  <c r="E16" i="6"/>
  <c r="B16" i="6"/>
  <c r="B15" i="6"/>
  <c r="P14" i="6"/>
  <c r="M14" i="6"/>
  <c r="B14" i="6"/>
  <c r="B13" i="6"/>
  <c r="B12" i="6"/>
  <c r="B11" i="6"/>
  <c r="AD10" i="6"/>
  <c r="AA10" i="6"/>
  <c r="Z10" i="6"/>
  <c r="Y10" i="6"/>
  <c r="X10" i="6"/>
  <c r="B10" i="6"/>
  <c r="B6" i="6"/>
  <c r="V6" i="6" s="1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C7" i="5"/>
  <c r="K7" i="5" s="1"/>
  <c r="AC20" i="4"/>
  <c r="X12" i="4"/>
  <c r="U12" i="4"/>
  <c r="AC10" i="4"/>
  <c r="AA10" i="4"/>
  <c r="Z10" i="4"/>
  <c r="U10" i="4"/>
  <c r="U10" i="3" s="1"/>
  <c r="W10" i="6" s="1"/>
  <c r="L7" i="4"/>
  <c r="I7" i="4"/>
  <c r="F7" i="4"/>
  <c r="D7" i="4"/>
  <c r="C7" i="10" s="1"/>
  <c r="B6" i="4"/>
  <c r="T3" i="4"/>
  <c r="AC20" i="3"/>
  <c r="B19" i="3"/>
  <c r="B18" i="3"/>
  <c r="B18" i="6" s="1"/>
  <c r="B17" i="3"/>
  <c r="J16" i="3"/>
  <c r="B16" i="3"/>
  <c r="B15" i="3"/>
  <c r="R14" i="3"/>
  <c r="B14" i="3"/>
  <c r="B13" i="3"/>
  <c r="B12" i="3"/>
  <c r="B11" i="3"/>
  <c r="AB10" i="3"/>
  <c r="AA10" i="3"/>
  <c r="Y10" i="3"/>
  <c r="X10" i="3"/>
  <c r="W10" i="3"/>
  <c r="AC10" i="3" s="1"/>
  <c r="V10" i="3"/>
  <c r="B10" i="3"/>
  <c r="K7" i="3"/>
  <c r="H7" i="3"/>
  <c r="P7" i="3" s="1"/>
  <c r="C7" i="3"/>
  <c r="C7" i="8" s="1"/>
  <c r="B6" i="3"/>
  <c r="B6" i="11" s="1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A3" i="2" s="1"/>
  <c r="D22" i="2"/>
  <c r="E4" i="2"/>
  <c r="A4" i="2" s="1"/>
  <c r="D4" i="2"/>
  <c r="B4" i="2"/>
  <c r="B3" i="2"/>
  <c r="A6" i="10" s="1"/>
  <c r="C16" i="6" l="1"/>
  <c r="M10" i="6"/>
  <c r="E11" i="6"/>
  <c r="K14" i="6"/>
  <c r="H17" i="6"/>
  <c r="M32" i="6"/>
  <c r="M38" i="6"/>
  <c r="H19" i="6"/>
  <c r="E10" i="6"/>
  <c r="P11" i="6"/>
  <c r="P12" i="6"/>
  <c r="H13" i="6"/>
  <c r="H15" i="6"/>
  <c r="C18" i="6"/>
  <c r="K26" i="6"/>
  <c r="K27" i="6"/>
  <c r="P30" i="6"/>
  <c r="P32" i="6"/>
  <c r="R32" i="6" s="1"/>
  <c r="P38" i="6"/>
  <c r="H11" i="6"/>
  <c r="M27" i="6"/>
  <c r="E39" i="6"/>
  <c r="E42" i="6"/>
  <c r="K15" i="6"/>
  <c r="K17" i="6"/>
  <c r="P18" i="6"/>
  <c r="M22" i="6"/>
  <c r="P26" i="6"/>
  <c r="P27" i="6"/>
  <c r="H39" i="6"/>
  <c r="H42" i="6"/>
  <c r="C14" i="6"/>
  <c r="E14" i="6"/>
  <c r="M17" i="6"/>
  <c r="C30" i="6"/>
  <c r="M39" i="6"/>
  <c r="M42" i="6"/>
  <c r="H12" i="6"/>
  <c r="K11" i="6"/>
  <c r="K12" i="6"/>
  <c r="M13" i="6"/>
  <c r="C15" i="6"/>
  <c r="M15" i="6"/>
  <c r="C17" i="6"/>
  <c r="H18" i="6"/>
  <c r="C26" i="6"/>
  <c r="C27" i="6"/>
  <c r="P39" i="6"/>
  <c r="P42" i="6"/>
  <c r="M26" i="6"/>
  <c r="K10" i="6"/>
  <c r="C11" i="6"/>
  <c r="C12" i="6"/>
  <c r="C12" i="11" s="1"/>
  <c r="M12" i="6"/>
  <c r="M12" i="11" s="1"/>
  <c r="E13" i="6"/>
  <c r="H14" i="6"/>
  <c r="K16" i="6"/>
  <c r="E17" i="6"/>
  <c r="P17" i="6"/>
  <c r="E26" i="6"/>
  <c r="E27" i="6"/>
  <c r="H30" i="6"/>
  <c r="E32" i="6"/>
  <c r="E38" i="6"/>
  <c r="E46" i="6"/>
  <c r="C10" i="6"/>
  <c r="M11" i="6"/>
  <c r="M11" i="11" s="1"/>
  <c r="E12" i="6"/>
  <c r="E12" i="11" s="1"/>
  <c r="E15" i="6"/>
  <c r="P15" i="6"/>
  <c r="K18" i="6"/>
  <c r="E22" i="6"/>
  <c r="H26" i="6"/>
  <c r="H27" i="6"/>
  <c r="H32" i="6"/>
  <c r="J32" i="6" s="1"/>
  <c r="H38" i="6"/>
  <c r="H46" i="6"/>
  <c r="K39" i="6"/>
  <c r="C42" i="6"/>
  <c r="K42" i="6"/>
  <c r="C46" i="6"/>
  <c r="K46" i="6"/>
  <c r="H22" i="6"/>
  <c r="P22" i="6"/>
  <c r="C32" i="6"/>
  <c r="G32" i="6" s="1"/>
  <c r="K32" i="6"/>
  <c r="O32" i="6" s="1"/>
  <c r="C38" i="6"/>
  <c r="K38" i="6"/>
  <c r="C39" i="6"/>
  <c r="H10" i="6"/>
  <c r="P10" i="6"/>
  <c r="C13" i="6"/>
  <c r="K13" i="6"/>
  <c r="E18" i="6"/>
  <c r="M18" i="6"/>
  <c r="E30" i="6"/>
  <c r="M30" i="6"/>
  <c r="M46" i="6"/>
  <c r="C22" i="6"/>
  <c r="K22" i="6"/>
  <c r="P46" i="6"/>
  <c r="P13" i="6"/>
  <c r="K30" i="6"/>
  <c r="X25" i="6"/>
  <c r="V25" i="3"/>
  <c r="W11" i="3"/>
  <c r="Y11" i="6"/>
  <c r="AB13" i="3"/>
  <c r="AD13" i="6"/>
  <c r="P16" i="3"/>
  <c r="P16" i="6" s="1"/>
  <c r="Y23" i="6"/>
  <c r="W23" i="3"/>
  <c r="W13" i="3"/>
  <c r="Y13" i="6"/>
  <c r="X14" i="6"/>
  <c r="V14" i="3"/>
  <c r="AA25" i="6"/>
  <c r="Y25" i="3"/>
  <c r="Y28" i="6"/>
  <c r="W28" i="3"/>
  <c r="Y14" i="6"/>
  <c r="W14" i="3"/>
  <c r="X15" i="6"/>
  <c r="V15" i="3"/>
  <c r="X16" i="6"/>
  <c r="V16" i="3"/>
  <c r="AA27" i="6"/>
  <c r="Y27" i="3"/>
  <c r="X28" i="3"/>
  <c r="AA28" i="3" s="1"/>
  <c r="Z28" i="6"/>
  <c r="AD11" i="6"/>
  <c r="AB11" i="3"/>
  <c r="Y13" i="3"/>
  <c r="AA13" i="6"/>
  <c r="Y15" i="6"/>
  <c r="W15" i="3"/>
  <c r="Y16" i="6"/>
  <c r="W16" i="3"/>
  <c r="AD23" i="6"/>
  <c r="AB23" i="3"/>
  <c r="AC23" i="3" s="1"/>
  <c r="AA28" i="6"/>
  <c r="Y28" i="3"/>
  <c r="AA14" i="6"/>
  <c r="Y14" i="3"/>
  <c r="AB25" i="3"/>
  <c r="AC25" i="3" s="1"/>
  <c r="AD25" i="6"/>
  <c r="X11" i="6"/>
  <c r="V11" i="3"/>
  <c r="Y15" i="3"/>
  <c r="AA15" i="6"/>
  <c r="Y16" i="3"/>
  <c r="AA16" i="6"/>
  <c r="X23" i="6"/>
  <c r="V23" i="3"/>
  <c r="AB27" i="3"/>
  <c r="AD27" i="6"/>
  <c r="AD28" i="6"/>
  <c r="AB28" i="3"/>
  <c r="AC28" i="3" s="1"/>
  <c r="Y25" i="6"/>
  <c r="W25" i="3"/>
  <c r="X27" i="6"/>
  <c r="V27" i="3"/>
  <c r="U28" i="3"/>
  <c r="W28" i="6"/>
  <c r="AB14" i="3"/>
  <c r="AD14" i="6"/>
  <c r="AA11" i="6"/>
  <c r="Y11" i="3"/>
  <c r="X13" i="6"/>
  <c r="V13" i="3"/>
  <c r="AD15" i="6"/>
  <c r="AB15" i="3"/>
  <c r="AB16" i="3"/>
  <c r="AD16" i="6"/>
  <c r="AA23" i="6"/>
  <c r="Y23" i="3"/>
  <c r="W27" i="3"/>
  <c r="Y27" i="6"/>
  <c r="X28" i="6"/>
  <c r="V28" i="3"/>
  <c r="A4" i="10"/>
  <c r="A5" i="5"/>
  <c r="A5" i="10"/>
  <c r="A6" i="5"/>
  <c r="U7" i="8"/>
  <c r="X7" i="8" s="1"/>
  <c r="C7" i="9"/>
  <c r="B5" i="2"/>
  <c r="C59" i="12"/>
  <c r="A7" i="10"/>
  <c r="A8" i="5"/>
  <c r="T6" i="4"/>
  <c r="B6" i="10"/>
  <c r="T6" i="10" s="1"/>
  <c r="U7" i="3"/>
  <c r="X7" i="3" s="1"/>
  <c r="U7" i="10"/>
  <c r="K7" i="10"/>
  <c r="X7" i="10" s="1"/>
  <c r="A7" i="5"/>
  <c r="Z17" i="7"/>
  <c r="Y17" i="7"/>
  <c r="B6" i="8"/>
  <c r="J20" i="8"/>
  <c r="F26" i="8"/>
  <c r="Z27" i="8"/>
  <c r="K32" i="9"/>
  <c r="O32" i="9" s="1"/>
  <c r="G32" i="8"/>
  <c r="C39" i="9"/>
  <c r="G39" i="9" s="1"/>
  <c r="M10" i="9"/>
  <c r="Y10" i="9"/>
  <c r="AA10" i="9" s="1"/>
  <c r="K11" i="9"/>
  <c r="O11" i="9" s="1"/>
  <c r="X11" i="9"/>
  <c r="AA11" i="9" s="1"/>
  <c r="P13" i="9"/>
  <c r="N7" i="4"/>
  <c r="V7" i="4" s="1"/>
  <c r="Y7" i="4" s="1"/>
  <c r="E7" i="10"/>
  <c r="M7" i="10" s="1"/>
  <c r="V7" i="10" s="1"/>
  <c r="Y7" i="10" s="1"/>
  <c r="F10" i="8"/>
  <c r="F15" i="8"/>
  <c r="AA15" i="8"/>
  <c r="X15" i="9"/>
  <c r="AA15" i="9" s="1"/>
  <c r="L30" i="8"/>
  <c r="K20" i="9"/>
  <c r="L45" i="9" s="1"/>
  <c r="L28" i="8"/>
  <c r="Z11" i="9"/>
  <c r="W7" i="3"/>
  <c r="AB7" i="3" s="1"/>
  <c r="W7" i="4"/>
  <c r="AB7" i="4" s="1"/>
  <c r="H7" i="10"/>
  <c r="P7" i="10" s="1"/>
  <c r="E7" i="5"/>
  <c r="M7" i="5" s="1"/>
  <c r="R14" i="6"/>
  <c r="P14" i="11"/>
  <c r="E7" i="7"/>
  <c r="M7" i="7" s="1"/>
  <c r="W7" i="7" s="1"/>
  <c r="Z7" i="7" s="1"/>
  <c r="B18" i="7"/>
  <c r="O22" i="8"/>
  <c r="K24" i="9"/>
  <c r="O24" i="9" s="1"/>
  <c r="F30" i="8"/>
  <c r="F32" i="8"/>
  <c r="E32" i="9"/>
  <c r="N12" i="9"/>
  <c r="AE10" i="6"/>
  <c r="X8" i="11"/>
  <c r="AG8" i="11"/>
  <c r="H7" i="7"/>
  <c r="AB11" i="7"/>
  <c r="L11" i="8"/>
  <c r="F12" i="8"/>
  <c r="L17" i="8"/>
  <c r="L19" i="8"/>
  <c r="O20" i="8"/>
  <c r="L26" i="8"/>
  <c r="J32" i="8"/>
  <c r="H32" i="9"/>
  <c r="J32" i="9" s="1"/>
  <c r="F39" i="8"/>
  <c r="E39" i="9"/>
  <c r="J10" i="9"/>
  <c r="P10" i="9"/>
  <c r="T6" i="3"/>
  <c r="H7" i="5"/>
  <c r="P7" i="5" s="1"/>
  <c r="E7" i="3"/>
  <c r="U7" i="4"/>
  <c r="X7" i="4" s="1"/>
  <c r="C7" i="6"/>
  <c r="K7" i="6" s="1"/>
  <c r="AC10" i="6"/>
  <c r="Z8" i="11"/>
  <c r="K7" i="7"/>
  <c r="H7" i="8"/>
  <c r="AA14" i="9"/>
  <c r="U19" i="8"/>
  <c r="U17" i="9"/>
  <c r="D38" i="8"/>
  <c r="C20" i="9"/>
  <c r="G20" i="9" s="1"/>
  <c r="D28" i="8"/>
  <c r="O32" i="8"/>
  <c r="K39" i="9"/>
  <c r="O39" i="9" s="1"/>
  <c r="AI2" i="9"/>
  <c r="C46" i="9"/>
  <c r="G46" i="9" s="1"/>
  <c r="M43" i="9"/>
  <c r="C36" i="9"/>
  <c r="M34" i="9"/>
  <c r="E26" i="9"/>
  <c r="W25" i="9"/>
  <c r="M24" i="9"/>
  <c r="N24" i="9" s="1"/>
  <c r="C22" i="9"/>
  <c r="G22" i="9" s="1"/>
  <c r="E19" i="9"/>
  <c r="K18" i="9"/>
  <c r="O18" i="9" s="1"/>
  <c r="AB17" i="9"/>
  <c r="AC17" i="9" s="1"/>
  <c r="E17" i="9"/>
  <c r="V16" i="9"/>
  <c r="Y15" i="9"/>
  <c r="Z15" i="9" s="1"/>
  <c r="E15" i="9"/>
  <c r="W13" i="9"/>
  <c r="E13" i="9"/>
  <c r="K43" i="9"/>
  <c r="O43" i="9" s="1"/>
  <c r="E37" i="9"/>
  <c r="K34" i="9"/>
  <c r="O34" i="9" s="1"/>
  <c r="M33" i="9"/>
  <c r="C31" i="9"/>
  <c r="G31" i="9" s="1"/>
  <c r="C30" i="9"/>
  <c r="G30" i="9" s="1"/>
  <c r="Y28" i="9"/>
  <c r="Z28" i="9" s="1"/>
  <c r="Y27" i="9"/>
  <c r="Z27" i="9" s="1"/>
  <c r="U25" i="9"/>
  <c r="AB21" i="9"/>
  <c r="AB30" i="9" s="1"/>
  <c r="M20" i="9"/>
  <c r="U16" i="9"/>
  <c r="M15" i="9"/>
  <c r="W14" i="9"/>
  <c r="E14" i="9"/>
  <c r="F14" i="9" s="1"/>
  <c r="V13" i="9"/>
  <c r="M46" i="9"/>
  <c r="R46" i="9" s="1"/>
  <c r="E42" i="9"/>
  <c r="M35" i="9"/>
  <c r="U29" i="9"/>
  <c r="U28" i="9"/>
  <c r="C26" i="9"/>
  <c r="G26" i="9" s="1"/>
  <c r="U23" i="9"/>
  <c r="M22" i="9"/>
  <c r="N22" i="9" s="1"/>
  <c r="E21" i="9"/>
  <c r="AB19" i="9"/>
  <c r="M19" i="9"/>
  <c r="C19" i="9"/>
  <c r="M17" i="9"/>
  <c r="R17" i="9" s="1"/>
  <c r="C17" i="9"/>
  <c r="G17" i="9" s="1"/>
  <c r="W15" i="9"/>
  <c r="C15" i="9"/>
  <c r="G15" i="9" s="1"/>
  <c r="V14" i="9"/>
  <c r="U13" i="9"/>
  <c r="K46" i="9"/>
  <c r="O46" i="9" s="1"/>
  <c r="C41" i="9"/>
  <c r="G41" i="9" s="1"/>
  <c r="M39" i="9"/>
  <c r="E38" i="9"/>
  <c r="M36" i="9"/>
  <c r="N36" i="9" s="1"/>
  <c r="E33" i="9"/>
  <c r="U27" i="9"/>
  <c r="M26" i="9"/>
  <c r="AB25" i="9"/>
  <c r="M25" i="9"/>
  <c r="K22" i="9"/>
  <c r="O22" i="9" s="1"/>
  <c r="W21" i="9"/>
  <c r="K19" i="9"/>
  <c r="U18" i="9"/>
  <c r="K17" i="9"/>
  <c r="O17" i="9" s="1"/>
  <c r="AB16" i="9"/>
  <c r="AC16" i="9" s="1"/>
  <c r="E16" i="9"/>
  <c r="E16" i="11" s="1"/>
  <c r="V15" i="9"/>
  <c r="K15" i="9"/>
  <c r="O15" i="9" s="1"/>
  <c r="U14" i="9"/>
  <c r="C14" i="9"/>
  <c r="G14" i="9" s="1"/>
  <c r="M45" i="9"/>
  <c r="M44" i="9"/>
  <c r="K36" i="9"/>
  <c r="E35" i="9"/>
  <c r="M31" i="9"/>
  <c r="N31" i="9" s="1"/>
  <c r="M30" i="9"/>
  <c r="N30" i="9" s="1"/>
  <c r="M29" i="9"/>
  <c r="E27" i="9"/>
  <c r="K26" i="9"/>
  <c r="O26" i="9" s="1"/>
  <c r="M23" i="9"/>
  <c r="U20" i="9"/>
  <c r="W17" i="9"/>
  <c r="U15" i="9"/>
  <c r="AB14" i="9"/>
  <c r="AC14" i="9" s="1"/>
  <c r="M13" i="9"/>
  <c r="N13" i="9" s="1"/>
  <c r="C43" i="9"/>
  <c r="M40" i="9"/>
  <c r="C38" i="9"/>
  <c r="G38" i="9" s="1"/>
  <c r="M32" i="9"/>
  <c r="K31" i="9"/>
  <c r="O31" i="9" s="1"/>
  <c r="K30" i="9"/>
  <c r="O30" i="9" s="1"/>
  <c r="C28" i="9"/>
  <c r="G28" i="9" s="1"/>
  <c r="E25" i="9"/>
  <c r="W19" i="9"/>
  <c r="E18" i="9"/>
  <c r="Y16" i="9"/>
  <c r="Z16" i="9" s="1"/>
  <c r="M16" i="9"/>
  <c r="R16" i="9" s="1"/>
  <c r="C16" i="9"/>
  <c r="G16" i="9" s="1"/>
  <c r="M14" i="9"/>
  <c r="N14" i="9" s="1"/>
  <c r="AB13" i="9"/>
  <c r="AC13" i="9" s="1"/>
  <c r="E46" i="9"/>
  <c r="J46" i="9" s="1"/>
  <c r="E44" i="9"/>
  <c r="M41" i="9"/>
  <c r="N41" i="9" s="1"/>
  <c r="M38" i="9"/>
  <c r="E29" i="9"/>
  <c r="M28" i="9"/>
  <c r="AB27" i="9"/>
  <c r="Y25" i="9"/>
  <c r="Z25" i="9" s="1"/>
  <c r="U24" i="9"/>
  <c r="C24" i="9"/>
  <c r="G24" i="9" s="1"/>
  <c r="E23" i="9"/>
  <c r="E22" i="9"/>
  <c r="K16" i="9"/>
  <c r="O16" i="9" s="1"/>
  <c r="AB15" i="9"/>
  <c r="Y13" i="9"/>
  <c r="K13" i="9"/>
  <c r="O13" i="9" s="1"/>
  <c r="M42" i="9"/>
  <c r="N42" i="9" s="1"/>
  <c r="K41" i="9"/>
  <c r="O41" i="9" s="1"/>
  <c r="E40" i="9"/>
  <c r="K38" i="9"/>
  <c r="O38" i="9" s="1"/>
  <c r="M37" i="9"/>
  <c r="C34" i="9"/>
  <c r="G34" i="9" s="1"/>
  <c r="E31" i="9"/>
  <c r="E30" i="9"/>
  <c r="AB28" i="9"/>
  <c r="AC28" i="9" s="1"/>
  <c r="K28" i="9"/>
  <c r="O28" i="9" s="1"/>
  <c r="M27" i="9"/>
  <c r="U26" i="9"/>
  <c r="U22" i="9"/>
  <c r="M21" i="9"/>
  <c r="R21" i="9" s="1"/>
  <c r="M18" i="9"/>
  <c r="R18" i="9" s="1"/>
  <c r="C18" i="9"/>
  <c r="G18" i="9" s="1"/>
  <c r="W16" i="9"/>
  <c r="Y14" i="9"/>
  <c r="Z14" i="9" s="1"/>
  <c r="K14" i="9"/>
  <c r="O14" i="9" s="1"/>
  <c r="U10" i="9"/>
  <c r="E11" i="9"/>
  <c r="P11" i="9"/>
  <c r="R11" i="9" s="1"/>
  <c r="E7" i="6"/>
  <c r="M7" i="6" s="1"/>
  <c r="X7" i="6" s="1"/>
  <c r="AA7" i="6" s="1"/>
  <c r="AK8" i="11"/>
  <c r="AB8" i="11"/>
  <c r="V19" i="8"/>
  <c r="V21" i="8" s="1"/>
  <c r="V30" i="8" s="1"/>
  <c r="V17" i="9"/>
  <c r="V19" i="9" s="1"/>
  <c r="F42" i="8"/>
  <c r="E20" i="9"/>
  <c r="F10" i="9" s="1"/>
  <c r="E34" i="8"/>
  <c r="E28" i="9"/>
  <c r="AH9" i="9"/>
  <c r="P46" i="9"/>
  <c r="P39" i="9"/>
  <c r="Q39" i="9" s="1"/>
  <c r="H38" i="9"/>
  <c r="H37" i="9"/>
  <c r="P33" i="9"/>
  <c r="P26" i="9"/>
  <c r="P22" i="9"/>
  <c r="Q22" i="9" s="1"/>
  <c r="H21" i="9"/>
  <c r="H14" i="9"/>
  <c r="P45" i="9"/>
  <c r="Q45" i="9" s="1"/>
  <c r="H42" i="9"/>
  <c r="P35" i="9"/>
  <c r="H27" i="9"/>
  <c r="P19" i="9"/>
  <c r="P17" i="9"/>
  <c r="H16" i="9"/>
  <c r="P36" i="9"/>
  <c r="H33" i="9"/>
  <c r="P25" i="9"/>
  <c r="P47" i="9"/>
  <c r="P44" i="9"/>
  <c r="P38" i="9"/>
  <c r="H35" i="9"/>
  <c r="P31" i="9"/>
  <c r="P30" i="9"/>
  <c r="P29" i="9"/>
  <c r="P28" i="9"/>
  <c r="P23" i="9"/>
  <c r="H18" i="9"/>
  <c r="H46" i="9"/>
  <c r="P40" i="9"/>
  <c r="P32" i="9"/>
  <c r="P27" i="9"/>
  <c r="H25" i="9"/>
  <c r="H22" i="9"/>
  <c r="P16" i="9"/>
  <c r="P14" i="9"/>
  <c r="H44" i="9"/>
  <c r="P41" i="9"/>
  <c r="Q41" i="9" s="1"/>
  <c r="H39" i="9"/>
  <c r="P34" i="9"/>
  <c r="H29" i="9"/>
  <c r="H26" i="9"/>
  <c r="H23" i="9"/>
  <c r="P21" i="9"/>
  <c r="P42" i="9"/>
  <c r="H40" i="9"/>
  <c r="P37" i="9"/>
  <c r="H31" i="9"/>
  <c r="H30" i="9"/>
  <c r="J30" i="9" s="1"/>
  <c r="H19" i="9"/>
  <c r="P18" i="9"/>
  <c r="H17" i="9"/>
  <c r="H15" i="9"/>
  <c r="P43" i="9"/>
  <c r="Q43" i="9" s="1"/>
  <c r="P24" i="9"/>
  <c r="P20" i="9"/>
  <c r="P15" i="9"/>
  <c r="H13" i="9"/>
  <c r="H7" i="6"/>
  <c r="Y7" i="6" s="1"/>
  <c r="AD7" i="6" s="1"/>
  <c r="AB10" i="6"/>
  <c r="Z13" i="8"/>
  <c r="Z16" i="8"/>
  <c r="Y19" i="8"/>
  <c r="Y17" i="9"/>
  <c r="F20" i="8"/>
  <c r="H10" i="9"/>
  <c r="AC10" i="9"/>
  <c r="B6" i="5"/>
  <c r="AJ8" i="11"/>
  <c r="AA8" i="11"/>
  <c r="J16" i="6"/>
  <c r="H16" i="11"/>
  <c r="B6" i="7"/>
  <c r="U6" i="7" s="1"/>
  <c r="F11" i="8"/>
  <c r="AA13" i="8"/>
  <c r="L14" i="8"/>
  <c r="AA16" i="8"/>
  <c r="AC17" i="8"/>
  <c r="I30" i="8"/>
  <c r="H20" i="9"/>
  <c r="F22" i="8"/>
  <c r="I28" i="8"/>
  <c r="H28" i="9"/>
  <c r="I42" i="8"/>
  <c r="H11" i="9"/>
  <c r="H12" i="9"/>
  <c r="Z23" i="10"/>
  <c r="G12" i="11"/>
  <c r="AC10" i="10"/>
  <c r="X10" i="10"/>
  <c r="AI8" i="11" s="1"/>
  <c r="G28" i="10"/>
  <c r="W7" i="10"/>
  <c r="AB7" i="10" s="1"/>
  <c r="G30" i="10"/>
  <c r="K31" i="10"/>
  <c r="V21" i="9"/>
  <c r="V30" i="9" s="1"/>
  <c r="Q12" i="9"/>
  <c r="Z13" i="9"/>
  <c r="AC11" i="9"/>
  <c r="J12" i="9"/>
  <c r="R12" i="9"/>
  <c r="I13" i="9"/>
  <c r="Q13" i="9"/>
  <c r="J22" i="9"/>
  <c r="R22" i="9"/>
  <c r="I24" i="9"/>
  <c r="Q24" i="9"/>
  <c r="L28" i="9"/>
  <c r="Q30" i="9"/>
  <c r="L34" i="9"/>
  <c r="L39" i="9"/>
  <c r="J13" i="9"/>
  <c r="R13" i="9"/>
  <c r="Q14" i="9"/>
  <c r="R24" i="9"/>
  <c r="R30" i="9"/>
  <c r="Q31" i="9"/>
  <c r="Q32" i="9"/>
  <c r="Q36" i="9"/>
  <c r="Q42" i="9"/>
  <c r="J14" i="9"/>
  <c r="R14" i="9"/>
  <c r="L22" i="9"/>
  <c r="J31" i="9"/>
  <c r="R31" i="9"/>
  <c r="R42" i="9"/>
  <c r="AI7" i="9"/>
  <c r="AI8" i="9" s="1"/>
  <c r="Z10" i="9"/>
  <c r="L31" i="9"/>
  <c r="L41" i="9"/>
  <c r="L43" i="9"/>
  <c r="Q26" i="9"/>
  <c r="Q28" i="9"/>
  <c r="I34" i="9"/>
  <c r="Q34" i="9"/>
  <c r="Q38" i="9"/>
  <c r="I46" i="9"/>
  <c r="Q46" i="9"/>
  <c r="Q11" i="9"/>
  <c r="L16" i="9"/>
  <c r="L17" i="9"/>
  <c r="Q21" i="9"/>
  <c r="Y21" i="8"/>
  <c r="AC19" i="8"/>
  <c r="D12" i="8"/>
  <c r="L13" i="8"/>
  <c r="L16" i="8"/>
  <c r="L18" i="8"/>
  <c r="D24" i="8"/>
  <c r="L24" i="8"/>
  <c r="L27" i="8"/>
  <c r="J28" i="8"/>
  <c r="L31" i="8"/>
  <c r="H34" i="8"/>
  <c r="H34" i="9" s="1"/>
  <c r="F38" i="8"/>
  <c r="L39" i="8"/>
  <c r="L42" i="8"/>
  <c r="K7" i="8"/>
  <c r="D15" i="8"/>
  <c r="I20" i="8"/>
  <c r="D22" i="8"/>
  <c r="E24" i="8"/>
  <c r="E24" i="9" s="1"/>
  <c r="F24" i="9" s="1"/>
  <c r="D26" i="8"/>
  <c r="X17" i="8"/>
  <c r="X17" i="9" s="1"/>
  <c r="AA17" i="9" s="1"/>
  <c r="D36" i="8"/>
  <c r="L36" i="8"/>
  <c r="D39" i="8"/>
  <c r="Z15" i="8"/>
  <c r="D27" i="8"/>
  <c r="D31" i="8"/>
  <c r="I32" i="8"/>
  <c r="D42" i="8"/>
  <c r="D45" i="8"/>
  <c r="L45" i="8"/>
  <c r="Z11" i="8"/>
  <c r="D20" i="8"/>
  <c r="L20" i="8"/>
  <c r="I22" i="8"/>
  <c r="H24" i="8"/>
  <c r="H24" i="9" s="1"/>
  <c r="I26" i="8"/>
  <c r="F27" i="8"/>
  <c r="F28" i="8"/>
  <c r="F31" i="8"/>
  <c r="D34" i="8"/>
  <c r="L34" i="8"/>
  <c r="L12" i="8"/>
  <c r="L38" i="8"/>
  <c r="D41" i="8"/>
  <c r="L41" i="8"/>
  <c r="D43" i="8"/>
  <c r="L43" i="8"/>
  <c r="G20" i="8"/>
  <c r="L22" i="8"/>
  <c r="C24" i="8"/>
  <c r="C27" i="9" s="1"/>
  <c r="G27" i="9" s="1"/>
  <c r="K24" i="8"/>
  <c r="K27" i="9" s="1"/>
  <c r="O27" i="9" s="1"/>
  <c r="O15" i="7"/>
  <c r="G27" i="7"/>
  <c r="G12" i="7"/>
  <c r="O12" i="7"/>
  <c r="G39" i="7"/>
  <c r="O39" i="7"/>
  <c r="F42" i="7"/>
  <c r="O13" i="7"/>
  <c r="G10" i="7"/>
  <c r="C20" i="7"/>
  <c r="O10" i="7"/>
  <c r="K20" i="7"/>
  <c r="L10" i="7" s="1"/>
  <c r="J11" i="7"/>
  <c r="R11" i="7"/>
  <c r="G13" i="7"/>
  <c r="G15" i="7"/>
  <c r="G22" i="7"/>
  <c r="O22" i="7"/>
  <c r="E28" i="7"/>
  <c r="M28" i="7"/>
  <c r="E32" i="7"/>
  <c r="F32" i="7" s="1"/>
  <c r="M32" i="7"/>
  <c r="G46" i="7"/>
  <c r="O46" i="7"/>
  <c r="L46" i="7"/>
  <c r="K32" i="7"/>
  <c r="O30" i="7"/>
  <c r="L30" i="7"/>
  <c r="R15" i="7"/>
  <c r="J31" i="7"/>
  <c r="R31" i="7"/>
  <c r="J38" i="7"/>
  <c r="R38" i="7"/>
  <c r="F39" i="7"/>
  <c r="K28" i="7"/>
  <c r="O26" i="7"/>
  <c r="L26" i="7"/>
  <c r="E20" i="7"/>
  <c r="F31" i="7" s="1"/>
  <c r="F10" i="7"/>
  <c r="M20" i="7"/>
  <c r="N11" i="7" s="1"/>
  <c r="F22" i="7"/>
  <c r="J42" i="7"/>
  <c r="R42" i="7"/>
  <c r="F46" i="7"/>
  <c r="O27" i="7"/>
  <c r="L27" i="7"/>
  <c r="F38" i="7"/>
  <c r="G11" i="7"/>
  <c r="L11" i="7"/>
  <c r="O11" i="7"/>
  <c r="R13" i="7"/>
  <c r="J26" i="7"/>
  <c r="H28" i="7"/>
  <c r="R26" i="7"/>
  <c r="P28" i="7"/>
  <c r="J27" i="7"/>
  <c r="R27" i="7"/>
  <c r="J30" i="7"/>
  <c r="H32" i="7"/>
  <c r="R30" i="7"/>
  <c r="Q30" i="7"/>
  <c r="P32" i="7"/>
  <c r="C28" i="7"/>
  <c r="G26" i="7"/>
  <c r="J12" i="7"/>
  <c r="R12" i="7"/>
  <c r="J13" i="7"/>
  <c r="J15" i="7"/>
  <c r="G31" i="7"/>
  <c r="L31" i="7"/>
  <c r="O31" i="7"/>
  <c r="G38" i="7"/>
  <c r="L38" i="7"/>
  <c r="O38" i="7"/>
  <c r="J39" i="7"/>
  <c r="R39" i="7"/>
  <c r="C32" i="7"/>
  <c r="G30" i="7"/>
  <c r="H20" i="7"/>
  <c r="I38" i="7" s="1"/>
  <c r="J10" i="7"/>
  <c r="P20" i="7"/>
  <c r="Q11" i="7" s="1"/>
  <c r="R10" i="7"/>
  <c r="F11" i="7"/>
  <c r="J22" i="7"/>
  <c r="R22" i="7"/>
  <c r="G42" i="7"/>
  <c r="L42" i="7"/>
  <c r="O42" i="7"/>
  <c r="J46" i="7"/>
  <c r="Q46" i="7"/>
  <c r="R46" i="7"/>
  <c r="V38" i="7"/>
  <c r="X38" i="7" s="1"/>
  <c r="AB30" i="7"/>
  <c r="Z19" i="7"/>
  <c r="AD17" i="7"/>
  <c r="AD13" i="7"/>
  <c r="Q10" i="6"/>
  <c r="P7" i="6"/>
  <c r="Q14" i="6"/>
  <c r="P20" i="6"/>
  <c r="Q11" i="6" s="1"/>
  <c r="C28" i="6"/>
  <c r="K28" i="6"/>
  <c r="W7" i="6"/>
  <c r="Z7" i="6" s="1"/>
  <c r="G12" i="6"/>
  <c r="O16" i="6"/>
  <c r="G26" i="6"/>
  <c r="O26" i="6"/>
  <c r="M33" i="6"/>
  <c r="T29" i="6"/>
  <c r="R30" i="6"/>
  <c r="G10" i="6"/>
  <c r="O10" i="6"/>
  <c r="Q17" i="6"/>
  <c r="Q27" i="6"/>
  <c r="Q32" i="6"/>
  <c r="H33" i="6"/>
  <c r="P33" i="6"/>
  <c r="R27" i="6"/>
  <c r="C20" i="5"/>
  <c r="D10" i="5" s="1"/>
  <c r="G10" i="5"/>
  <c r="H20" i="5"/>
  <c r="O42" i="5"/>
  <c r="L42" i="5"/>
  <c r="I20" i="5"/>
  <c r="E28" i="5"/>
  <c r="E34" i="5" s="1"/>
  <c r="D13" i="5"/>
  <c r="G13" i="5"/>
  <c r="K20" i="5"/>
  <c r="O13" i="5"/>
  <c r="E32" i="5"/>
  <c r="D18" i="5"/>
  <c r="G22" i="5"/>
  <c r="D22" i="5"/>
  <c r="O22" i="5"/>
  <c r="L22" i="5"/>
  <c r="D32" i="5"/>
  <c r="L32" i="5"/>
  <c r="G32" i="5"/>
  <c r="O32" i="5"/>
  <c r="N11" i="4"/>
  <c r="J12" i="4"/>
  <c r="J15" i="4"/>
  <c r="C28" i="4"/>
  <c r="G26" i="4"/>
  <c r="E20" i="4"/>
  <c r="F14" i="4" s="1"/>
  <c r="R15" i="4"/>
  <c r="R12" i="4"/>
  <c r="AC13" i="4"/>
  <c r="AB17" i="4"/>
  <c r="J16" i="4"/>
  <c r="N22" i="4"/>
  <c r="R16" i="4"/>
  <c r="M20" i="4"/>
  <c r="N38" i="4" s="1"/>
  <c r="J11" i="4"/>
  <c r="R11" i="4"/>
  <c r="F13" i="4"/>
  <c r="W17" i="4"/>
  <c r="Y17" i="6" s="1"/>
  <c r="AG14" i="11" s="1"/>
  <c r="G15" i="4"/>
  <c r="O15" i="4"/>
  <c r="O16" i="4"/>
  <c r="I20" i="4"/>
  <c r="J22" i="4"/>
  <c r="R22" i="4"/>
  <c r="G31" i="4"/>
  <c r="O31" i="4"/>
  <c r="G38" i="4"/>
  <c r="O38" i="4"/>
  <c r="G39" i="4"/>
  <c r="O39" i="4"/>
  <c r="G42" i="4"/>
  <c r="O42" i="4"/>
  <c r="G46" i="4"/>
  <c r="O46" i="4"/>
  <c r="G16" i="4"/>
  <c r="G17" i="4"/>
  <c r="O17" i="4"/>
  <c r="O19" i="4"/>
  <c r="X27" i="4"/>
  <c r="AA28" i="4"/>
  <c r="E32" i="4"/>
  <c r="F32" i="4" s="1"/>
  <c r="M32" i="4"/>
  <c r="N32" i="4" s="1"/>
  <c r="AC11" i="4"/>
  <c r="Y17" i="4"/>
  <c r="AA17" i="6" s="1"/>
  <c r="F15" i="4"/>
  <c r="G18" i="4"/>
  <c r="O18" i="4"/>
  <c r="G19" i="4"/>
  <c r="AC23" i="4"/>
  <c r="J26" i="4"/>
  <c r="H28" i="4"/>
  <c r="R26" i="4"/>
  <c r="P28" i="4"/>
  <c r="J27" i="4"/>
  <c r="R27" i="4"/>
  <c r="Z28" i="4"/>
  <c r="N31" i="4"/>
  <c r="F38" i="4"/>
  <c r="N39" i="4"/>
  <c r="F42" i="4"/>
  <c r="N42" i="4"/>
  <c r="N46" i="4"/>
  <c r="J13" i="4"/>
  <c r="F17" i="4"/>
  <c r="N19" i="4"/>
  <c r="G22" i="4"/>
  <c r="D22" i="4"/>
  <c r="O22" i="4"/>
  <c r="AC25" i="4"/>
  <c r="G11" i="4"/>
  <c r="D11" i="4"/>
  <c r="O11" i="4"/>
  <c r="Q13" i="4"/>
  <c r="R13" i="4"/>
  <c r="H20" i="4"/>
  <c r="I42" i="4" s="1"/>
  <c r="J10" i="4"/>
  <c r="P20" i="4"/>
  <c r="Q10" i="4"/>
  <c r="R10" i="4"/>
  <c r="G12" i="4"/>
  <c r="O12" i="4"/>
  <c r="L12" i="4"/>
  <c r="J14" i="4"/>
  <c r="R14" i="4"/>
  <c r="Q14" i="4"/>
  <c r="F18" i="4"/>
  <c r="N18" i="4"/>
  <c r="F19" i="4"/>
  <c r="AC27" i="4"/>
  <c r="J30" i="4"/>
  <c r="H32" i="4"/>
  <c r="R30" i="4"/>
  <c r="P32" i="4"/>
  <c r="Q30" i="4"/>
  <c r="K28" i="4"/>
  <c r="L26" i="4"/>
  <c r="O26" i="4"/>
  <c r="G27" i="4"/>
  <c r="O27" i="4"/>
  <c r="AC28" i="4"/>
  <c r="J31" i="4"/>
  <c r="R31" i="4"/>
  <c r="J38" i="4"/>
  <c r="R38" i="4"/>
  <c r="Q38" i="4"/>
  <c r="J39" i="4"/>
  <c r="I39" i="4"/>
  <c r="R39" i="4"/>
  <c r="J42" i="4"/>
  <c r="R42" i="4"/>
  <c r="Q42" i="4"/>
  <c r="J46" i="4"/>
  <c r="R46" i="4"/>
  <c r="J17" i="4"/>
  <c r="Q17" i="4"/>
  <c r="R17" i="4"/>
  <c r="G13" i="4"/>
  <c r="O13" i="4"/>
  <c r="AC14" i="4"/>
  <c r="G10" i="4"/>
  <c r="C20" i="4"/>
  <c r="D10" i="4" s="1"/>
  <c r="O10" i="4"/>
  <c r="K20" i="4"/>
  <c r="L13" i="4" s="1"/>
  <c r="Y19" i="4"/>
  <c r="V17" i="4"/>
  <c r="G14" i="4"/>
  <c r="D14" i="4"/>
  <c r="O14" i="4"/>
  <c r="AC15" i="4"/>
  <c r="AC16" i="4"/>
  <c r="J18" i="4"/>
  <c r="R18" i="4"/>
  <c r="J19" i="4"/>
  <c r="E28" i="4"/>
  <c r="M28" i="4"/>
  <c r="N26" i="4"/>
  <c r="N27" i="4"/>
  <c r="G30" i="4"/>
  <c r="C32" i="4"/>
  <c r="D30" i="4"/>
  <c r="O30" i="4"/>
  <c r="K32" i="4"/>
  <c r="P7" i="4"/>
  <c r="G16" i="3"/>
  <c r="O14" i="3"/>
  <c r="L14" i="3"/>
  <c r="J17" i="3"/>
  <c r="R19" i="3"/>
  <c r="J19" i="3"/>
  <c r="E20" i="3"/>
  <c r="F42" i="3" s="1"/>
  <c r="R11" i="3"/>
  <c r="R12" i="3"/>
  <c r="J13" i="3"/>
  <c r="J15" i="3"/>
  <c r="G18" i="3"/>
  <c r="K28" i="3"/>
  <c r="L26" i="3"/>
  <c r="O26" i="3"/>
  <c r="L27" i="3"/>
  <c r="O27" i="3"/>
  <c r="R30" i="3"/>
  <c r="P32" i="3"/>
  <c r="R31" i="3"/>
  <c r="R38" i="3"/>
  <c r="J11" i="3"/>
  <c r="O15" i="3"/>
  <c r="L17" i="3"/>
  <c r="O17" i="3"/>
  <c r="R18" i="3"/>
  <c r="P28" i="3"/>
  <c r="R26" i="3"/>
  <c r="R27" i="3"/>
  <c r="J39" i="3"/>
  <c r="J42" i="3"/>
  <c r="G14" i="3"/>
  <c r="L19" i="3"/>
  <c r="O19" i="3"/>
  <c r="G30" i="3"/>
  <c r="C32" i="3"/>
  <c r="J12" i="3"/>
  <c r="O11" i="3"/>
  <c r="O12" i="3"/>
  <c r="G15" i="3"/>
  <c r="G17" i="3"/>
  <c r="J18" i="3"/>
  <c r="C28" i="3"/>
  <c r="D26" i="3"/>
  <c r="G26" i="3"/>
  <c r="G27" i="3"/>
  <c r="R39" i="3"/>
  <c r="R42" i="3"/>
  <c r="M28" i="3"/>
  <c r="K20" i="3"/>
  <c r="L10" i="3" s="1"/>
  <c r="O10" i="3"/>
  <c r="G11" i="3"/>
  <c r="G12" i="3"/>
  <c r="J14" i="3"/>
  <c r="L16" i="3"/>
  <c r="R17" i="3"/>
  <c r="G19" i="3"/>
  <c r="E28" i="3"/>
  <c r="J30" i="3"/>
  <c r="H32" i="3"/>
  <c r="C20" i="3"/>
  <c r="D14" i="3" s="1"/>
  <c r="G10" i="3"/>
  <c r="R15" i="3"/>
  <c r="O18" i="3"/>
  <c r="L18" i="3"/>
  <c r="H28" i="3"/>
  <c r="H28" i="6" s="1"/>
  <c r="J26" i="3"/>
  <c r="J27" i="3"/>
  <c r="J31" i="3"/>
  <c r="J38" i="3"/>
  <c r="I38" i="3"/>
  <c r="J46" i="3"/>
  <c r="O39" i="3"/>
  <c r="L39" i="3"/>
  <c r="G42" i="3"/>
  <c r="O42" i="3"/>
  <c r="G46" i="3"/>
  <c r="O46" i="3"/>
  <c r="L46" i="3"/>
  <c r="I20" i="3"/>
  <c r="J22" i="3"/>
  <c r="R22" i="3"/>
  <c r="G31" i="3"/>
  <c r="O31" i="3"/>
  <c r="L31" i="3"/>
  <c r="G38" i="3"/>
  <c r="D38" i="3"/>
  <c r="O38" i="3"/>
  <c r="G39" i="3"/>
  <c r="H20" i="3"/>
  <c r="J10" i="3"/>
  <c r="I10" i="3"/>
  <c r="P20" i="3"/>
  <c r="Q16" i="3" s="1"/>
  <c r="R10" i="3"/>
  <c r="G13" i="3"/>
  <c r="O13" i="3"/>
  <c r="L13" i="3"/>
  <c r="E32" i="3"/>
  <c r="M32" i="3"/>
  <c r="G22" i="3"/>
  <c r="O22" i="3"/>
  <c r="R46" i="3"/>
  <c r="R13" i="3"/>
  <c r="O30" i="3"/>
  <c r="K32" i="3"/>
  <c r="L30" i="3"/>
  <c r="Y19" i="3"/>
  <c r="AC15" i="3"/>
  <c r="Y21" i="3"/>
  <c r="AA21" i="6" s="1"/>
  <c r="Z10" i="3"/>
  <c r="V17" i="3"/>
  <c r="V19" i="3" s="1"/>
  <c r="V21" i="3" s="1"/>
  <c r="V30" i="3" s="1"/>
  <c r="AC14" i="3"/>
  <c r="R16" i="3"/>
  <c r="Y17" i="3"/>
  <c r="Z23" i="6" l="1"/>
  <c r="X23" i="3"/>
  <c r="AA23" i="3" s="1"/>
  <c r="Z16" i="6"/>
  <c r="X16" i="3"/>
  <c r="Z16" i="3" s="1"/>
  <c r="Z14" i="6"/>
  <c r="X14" i="3"/>
  <c r="W14" i="6"/>
  <c r="W11" i="11" s="1"/>
  <c r="U14" i="3"/>
  <c r="X15" i="3"/>
  <c r="Z15" i="3" s="1"/>
  <c r="Z15" i="6"/>
  <c r="U25" i="3"/>
  <c r="W25" i="6"/>
  <c r="W20" i="11" s="1"/>
  <c r="U27" i="3"/>
  <c r="W27" i="6"/>
  <c r="W21" i="11" s="1"/>
  <c r="W11" i="6"/>
  <c r="U11" i="3"/>
  <c r="W13" i="6"/>
  <c r="W10" i="11" s="1"/>
  <c r="U13" i="3"/>
  <c r="W23" i="6"/>
  <c r="W19" i="11" s="1"/>
  <c r="U23" i="3"/>
  <c r="X13" i="3"/>
  <c r="Z13" i="6"/>
  <c r="W16" i="6"/>
  <c r="U16" i="3"/>
  <c r="Z25" i="6"/>
  <c r="X25" i="3"/>
  <c r="AA25" i="3" s="1"/>
  <c r="Z11" i="6"/>
  <c r="X11" i="3"/>
  <c r="AA11" i="3" s="1"/>
  <c r="W15" i="6"/>
  <c r="W12" i="11" s="1"/>
  <c r="U15" i="3"/>
  <c r="E20" i="5"/>
  <c r="J13" i="5"/>
  <c r="M20" i="5"/>
  <c r="G42" i="5"/>
  <c r="D42" i="5"/>
  <c r="M16" i="3"/>
  <c r="D46" i="5"/>
  <c r="G46" i="5"/>
  <c r="M28" i="5"/>
  <c r="M32" i="5"/>
  <c r="O46" i="5"/>
  <c r="O27" i="5"/>
  <c r="G27" i="5"/>
  <c r="D27" i="5"/>
  <c r="K28" i="5"/>
  <c r="O26" i="5"/>
  <c r="D26" i="5"/>
  <c r="C28" i="5"/>
  <c r="G26" i="5"/>
  <c r="J22" i="5"/>
  <c r="R27" i="5"/>
  <c r="J27" i="5"/>
  <c r="I27" i="5"/>
  <c r="P28" i="5"/>
  <c r="R26" i="5"/>
  <c r="H28" i="5"/>
  <c r="J26" i="5"/>
  <c r="I26" i="5"/>
  <c r="P32" i="5"/>
  <c r="R30" i="5"/>
  <c r="J38" i="5"/>
  <c r="R38" i="5"/>
  <c r="J31" i="5"/>
  <c r="R22" i="5"/>
  <c r="J39" i="5"/>
  <c r="R31" i="5"/>
  <c r="R13" i="5"/>
  <c r="P20" i="5"/>
  <c r="R39" i="5"/>
  <c r="H32" i="5"/>
  <c r="J30" i="5"/>
  <c r="U28" i="10"/>
  <c r="U10" i="10"/>
  <c r="W8" i="11" s="1"/>
  <c r="Y8" i="11"/>
  <c r="AH8" i="11"/>
  <c r="AC16" i="10"/>
  <c r="X16" i="10"/>
  <c r="Y17" i="10"/>
  <c r="C39" i="10"/>
  <c r="G39" i="10" s="1"/>
  <c r="I39" i="10"/>
  <c r="M32" i="10"/>
  <c r="M34" i="10" s="1"/>
  <c r="E32" i="10"/>
  <c r="I32" i="10" s="1"/>
  <c r="C31" i="10"/>
  <c r="I31" i="10"/>
  <c r="U16" i="10"/>
  <c r="U17" i="10" s="1"/>
  <c r="V17" i="10"/>
  <c r="AC11" i="10"/>
  <c r="Z11" i="10"/>
  <c r="X11" i="10"/>
  <c r="Y19" i="10"/>
  <c r="Y21" i="10" s="1"/>
  <c r="AC28" i="10"/>
  <c r="Z28" i="10"/>
  <c r="X28" i="10"/>
  <c r="AA28" i="10" s="1"/>
  <c r="I19" i="10"/>
  <c r="E24" i="10"/>
  <c r="C19" i="10"/>
  <c r="V19" i="10"/>
  <c r="V21" i="10" s="1"/>
  <c r="V30" i="10" s="1"/>
  <c r="U11" i="10"/>
  <c r="U19" i="10" s="1"/>
  <c r="M24" i="10"/>
  <c r="K19" i="10"/>
  <c r="K24" i="10" s="1"/>
  <c r="K10" i="10"/>
  <c r="M20" i="10"/>
  <c r="E20" i="10"/>
  <c r="C10" i="10"/>
  <c r="I10" i="10"/>
  <c r="H24" i="10"/>
  <c r="P20" i="10"/>
  <c r="R10" i="10"/>
  <c r="P24" i="10"/>
  <c r="R19" i="10"/>
  <c r="R39" i="10"/>
  <c r="J39" i="10"/>
  <c r="R38" i="10"/>
  <c r="J38" i="10"/>
  <c r="R31" i="10"/>
  <c r="P32" i="10"/>
  <c r="P31" i="11"/>
  <c r="J31" i="10"/>
  <c r="H32" i="10"/>
  <c r="E30" i="11"/>
  <c r="T21" i="6"/>
  <c r="J30" i="6"/>
  <c r="O38" i="6"/>
  <c r="O42" i="6"/>
  <c r="E22" i="11"/>
  <c r="T11" i="6"/>
  <c r="E38" i="11"/>
  <c r="G38" i="6"/>
  <c r="J14" i="6"/>
  <c r="H14" i="11"/>
  <c r="R39" i="6"/>
  <c r="P39" i="11"/>
  <c r="K12" i="11"/>
  <c r="G14" i="6"/>
  <c r="C14" i="11"/>
  <c r="O15" i="6"/>
  <c r="K15" i="11"/>
  <c r="K27" i="11"/>
  <c r="O27" i="6"/>
  <c r="H19" i="11"/>
  <c r="J19" i="11" s="1"/>
  <c r="L42" i="3"/>
  <c r="L10" i="4"/>
  <c r="I46" i="4"/>
  <c r="N17" i="4"/>
  <c r="D42" i="4"/>
  <c r="R10" i="9"/>
  <c r="N10" i="9"/>
  <c r="AB17" i="7"/>
  <c r="Y19" i="7"/>
  <c r="AB23" i="6"/>
  <c r="AI19" i="11" s="1"/>
  <c r="AB19" i="11"/>
  <c r="AK19" i="11"/>
  <c r="AA19" i="6"/>
  <c r="AB9" i="11"/>
  <c r="AK9" i="11"/>
  <c r="AE11" i="6"/>
  <c r="AA16" i="3"/>
  <c r="AK11" i="11"/>
  <c r="AB11" i="11"/>
  <c r="AA27" i="4"/>
  <c r="Z27" i="6"/>
  <c r="X27" i="3"/>
  <c r="AA27" i="3" s="1"/>
  <c r="Z27" i="4"/>
  <c r="L42" i="4"/>
  <c r="L19" i="4"/>
  <c r="L38" i="4"/>
  <c r="L39" i="4"/>
  <c r="L16" i="4"/>
  <c r="L31" i="4"/>
  <c r="I26" i="4"/>
  <c r="O12" i="6"/>
  <c r="D27" i="7"/>
  <c r="D31" i="7"/>
  <c r="D22" i="7"/>
  <c r="D26" i="7"/>
  <c r="D38" i="7"/>
  <c r="D30" i="7"/>
  <c r="D42" i="7"/>
  <c r="D42" i="3"/>
  <c r="D10" i="3"/>
  <c r="L30" i="4"/>
  <c r="L14" i="4"/>
  <c r="D13" i="4"/>
  <c r="L27" i="4"/>
  <c r="I30" i="4"/>
  <c r="Q12" i="4"/>
  <c r="Q16" i="4"/>
  <c r="Q22" i="4"/>
  <c r="N14" i="4"/>
  <c r="N30" i="4"/>
  <c r="N13" i="4"/>
  <c r="N10" i="4"/>
  <c r="N15" i="4"/>
  <c r="N12" i="4"/>
  <c r="N16" i="4"/>
  <c r="I27" i="9"/>
  <c r="I16" i="9"/>
  <c r="I18" i="9"/>
  <c r="I20" i="9"/>
  <c r="I19" i="9"/>
  <c r="I17" i="9"/>
  <c r="I15" i="9"/>
  <c r="I30" i="9"/>
  <c r="I22" i="9"/>
  <c r="I38" i="9"/>
  <c r="I11" i="9"/>
  <c r="I26" i="9"/>
  <c r="I14" i="9"/>
  <c r="I31" i="9"/>
  <c r="I42" i="9"/>
  <c r="I39" i="9"/>
  <c r="I32" i="9"/>
  <c r="I12" i="9"/>
  <c r="J16" i="11"/>
  <c r="Z17" i="9"/>
  <c r="Y19" i="9"/>
  <c r="AC19" i="9" s="1"/>
  <c r="H31" i="11"/>
  <c r="I14" i="3"/>
  <c r="H20" i="6"/>
  <c r="L22" i="3"/>
  <c r="L38" i="3"/>
  <c r="I15" i="3"/>
  <c r="I38" i="4"/>
  <c r="I14" i="4"/>
  <c r="I10" i="4"/>
  <c r="I13" i="4"/>
  <c r="D13" i="7"/>
  <c r="I28" i="9"/>
  <c r="I28" i="6"/>
  <c r="H34" i="6"/>
  <c r="D31" i="4"/>
  <c r="D38" i="4"/>
  <c r="D18" i="4"/>
  <c r="D17" i="4"/>
  <c r="L46" i="4"/>
  <c r="E33" i="6"/>
  <c r="E31" i="11"/>
  <c r="AD8" i="11"/>
  <c r="R14" i="11"/>
  <c r="F22" i="3"/>
  <c r="I15" i="4"/>
  <c r="I12" i="4"/>
  <c r="I22" i="4"/>
  <c r="I16" i="4"/>
  <c r="I11" i="4"/>
  <c r="I27" i="4"/>
  <c r="I30" i="3"/>
  <c r="I18" i="4"/>
  <c r="V19" i="4"/>
  <c r="V21" i="4" s="1"/>
  <c r="V30" i="4" s="1"/>
  <c r="X17" i="6"/>
  <c r="AH14" i="11" s="1"/>
  <c r="I17" i="4"/>
  <c r="I31" i="4"/>
  <c r="L18" i="4"/>
  <c r="AD17" i="6"/>
  <c r="AB17" i="3"/>
  <c r="AB19" i="4"/>
  <c r="N32" i="9"/>
  <c r="R32" i="9"/>
  <c r="O36" i="9"/>
  <c r="R58" i="7" s="1"/>
  <c r="N58" i="7"/>
  <c r="R26" i="9"/>
  <c r="N26" i="9"/>
  <c r="F42" i="9"/>
  <c r="J42" i="9"/>
  <c r="G36" i="9"/>
  <c r="C58" i="7"/>
  <c r="F27" i="7"/>
  <c r="L19" i="9"/>
  <c r="L36" i="9"/>
  <c r="R43" i="9"/>
  <c r="J24" i="9"/>
  <c r="L46" i="9"/>
  <c r="L26" i="9"/>
  <c r="Q27" i="9"/>
  <c r="Q19" i="9"/>
  <c r="Q17" i="9"/>
  <c r="Q16" i="9"/>
  <c r="Q18" i="9"/>
  <c r="Q20" i="9"/>
  <c r="Q15" i="9"/>
  <c r="F22" i="9"/>
  <c r="R38" i="9"/>
  <c r="N38" i="9"/>
  <c r="N43" i="9"/>
  <c r="J39" i="9"/>
  <c r="F39" i="9"/>
  <c r="F32" i="9"/>
  <c r="M14" i="11"/>
  <c r="AA13" i="11"/>
  <c r="AE13" i="11" s="1"/>
  <c r="AE16" i="6"/>
  <c r="AA11" i="11"/>
  <c r="AE11" i="11" s="1"/>
  <c r="AE14" i="6"/>
  <c r="AB12" i="11"/>
  <c r="AK12" i="11"/>
  <c r="Z28" i="3"/>
  <c r="AG12" i="11"/>
  <c r="X12" i="11"/>
  <c r="AC27" i="6"/>
  <c r="AK21" i="11"/>
  <c r="AB21" i="11"/>
  <c r="AG22" i="11"/>
  <c r="X22" i="11"/>
  <c r="AG19" i="11"/>
  <c r="X19" i="11"/>
  <c r="O30" i="6"/>
  <c r="K33" i="6"/>
  <c r="L33" i="6" s="1"/>
  <c r="M18" i="11"/>
  <c r="T26" i="6"/>
  <c r="C38" i="11"/>
  <c r="G42" i="6"/>
  <c r="C42" i="11"/>
  <c r="O18" i="6"/>
  <c r="K18" i="11"/>
  <c r="T22" i="6"/>
  <c r="E13" i="11"/>
  <c r="C27" i="11"/>
  <c r="G27" i="6"/>
  <c r="O11" i="6"/>
  <c r="K11" i="11"/>
  <c r="J42" i="6"/>
  <c r="H42" i="11"/>
  <c r="I42" i="6"/>
  <c r="E42" i="11"/>
  <c r="M38" i="11"/>
  <c r="Q12" i="7"/>
  <c r="L18" i="9"/>
  <c r="L32" i="9"/>
  <c r="O20" i="9"/>
  <c r="R27" i="9"/>
  <c r="N27" i="9"/>
  <c r="J18" i="9"/>
  <c r="F18" i="9"/>
  <c r="R45" i="9"/>
  <c r="N45" i="9"/>
  <c r="F13" i="9"/>
  <c r="E19" i="11"/>
  <c r="J19" i="9"/>
  <c r="F19" i="9"/>
  <c r="U21" i="8"/>
  <c r="U19" i="9"/>
  <c r="AC16" i="3"/>
  <c r="AA22" i="11"/>
  <c r="AE22" i="11" s="1"/>
  <c r="AE28" i="6"/>
  <c r="AA15" i="3"/>
  <c r="AB28" i="6"/>
  <c r="AI22" i="11" s="1"/>
  <c r="AB22" i="11"/>
  <c r="AK22" i="11"/>
  <c r="AB10" i="11"/>
  <c r="AK10" i="11"/>
  <c r="Z25" i="3"/>
  <c r="R16" i="6"/>
  <c r="P16" i="11"/>
  <c r="R13" i="6"/>
  <c r="P13" i="11"/>
  <c r="E18" i="11"/>
  <c r="O39" i="6"/>
  <c r="P15" i="11"/>
  <c r="R15" i="6"/>
  <c r="H30" i="11"/>
  <c r="C26" i="11"/>
  <c r="J12" i="6"/>
  <c r="H12" i="11"/>
  <c r="I12" i="6"/>
  <c r="J39" i="6"/>
  <c r="H39" i="11"/>
  <c r="I39" i="6"/>
  <c r="T27" i="6"/>
  <c r="E39" i="11"/>
  <c r="C18" i="11"/>
  <c r="G18" i="6"/>
  <c r="J28" i="9"/>
  <c r="F28" i="9"/>
  <c r="AC8" i="11"/>
  <c r="G43" i="9"/>
  <c r="C64" i="7"/>
  <c r="J27" i="9"/>
  <c r="F27" i="9"/>
  <c r="O19" i="9"/>
  <c r="K19" i="11"/>
  <c r="L20" i="9"/>
  <c r="L24" i="9"/>
  <c r="L15" i="9"/>
  <c r="L13" i="9"/>
  <c r="L14" i="9"/>
  <c r="L12" i="9"/>
  <c r="W22" i="11"/>
  <c r="AA21" i="11"/>
  <c r="AE21" i="11" s="1"/>
  <c r="AE27" i="6"/>
  <c r="Y13" i="11"/>
  <c r="AH13" i="11"/>
  <c r="AB20" i="11"/>
  <c r="AK20" i="11"/>
  <c r="AE13" i="6"/>
  <c r="AA10" i="11"/>
  <c r="AE10" i="11" s="1"/>
  <c r="R46" i="6"/>
  <c r="P46" i="11"/>
  <c r="O13" i="6"/>
  <c r="K13" i="11"/>
  <c r="J46" i="6"/>
  <c r="H46" i="11"/>
  <c r="E15" i="11"/>
  <c r="E27" i="11"/>
  <c r="T19" i="6"/>
  <c r="J18" i="6"/>
  <c r="H18" i="11"/>
  <c r="I18" i="6"/>
  <c r="M42" i="11"/>
  <c r="P28" i="6"/>
  <c r="P27" i="11"/>
  <c r="M27" i="11"/>
  <c r="H15" i="11"/>
  <c r="I15" i="6"/>
  <c r="J15" i="6"/>
  <c r="J17" i="6"/>
  <c r="H17" i="11"/>
  <c r="AB14" i="11"/>
  <c r="AK14" i="11"/>
  <c r="I11" i="7"/>
  <c r="L38" i="9"/>
  <c r="L10" i="9"/>
  <c r="Z10" i="10"/>
  <c r="P19" i="11"/>
  <c r="F34" i="8"/>
  <c r="E34" i="9"/>
  <c r="W30" i="9"/>
  <c r="J38" i="9"/>
  <c r="F38" i="9"/>
  <c r="J15" i="9"/>
  <c r="F15" i="9"/>
  <c r="M7" i="3"/>
  <c r="V7" i="3" s="1"/>
  <c r="Y7" i="3" s="1"/>
  <c r="E7" i="8"/>
  <c r="X7" i="7"/>
  <c r="AC7" i="7" s="1"/>
  <c r="P7" i="7"/>
  <c r="AH22" i="11"/>
  <c r="Y22" i="11"/>
  <c r="AE15" i="6"/>
  <c r="AA12" i="11"/>
  <c r="AE12" i="11" s="1"/>
  <c r="AC27" i="3"/>
  <c r="X19" i="6"/>
  <c r="AH9" i="11"/>
  <c r="Y9" i="11"/>
  <c r="AA19" i="11"/>
  <c r="AE19" i="11" s="1"/>
  <c r="AE23" i="6"/>
  <c r="AB19" i="3"/>
  <c r="AC19" i="3" s="1"/>
  <c r="AC11" i="3"/>
  <c r="AC13" i="3"/>
  <c r="O22" i="6"/>
  <c r="K22" i="11"/>
  <c r="G13" i="6"/>
  <c r="C13" i="11"/>
  <c r="R22" i="6"/>
  <c r="P22" i="11"/>
  <c r="J38" i="6"/>
  <c r="H38" i="11"/>
  <c r="I38" i="6"/>
  <c r="E28" i="6"/>
  <c r="T20" i="6" s="1"/>
  <c r="E26" i="11"/>
  <c r="T13" i="6"/>
  <c r="G11" i="6"/>
  <c r="C11" i="11"/>
  <c r="G17" i="6"/>
  <c r="C17" i="11"/>
  <c r="M39" i="11"/>
  <c r="R26" i="6"/>
  <c r="P26" i="11"/>
  <c r="J11" i="6"/>
  <c r="H11" i="11"/>
  <c r="J13" i="6"/>
  <c r="H13" i="11"/>
  <c r="I13" i="6"/>
  <c r="O14" i="6"/>
  <c r="K14" i="11"/>
  <c r="R41" i="9"/>
  <c r="F46" i="9"/>
  <c r="J20" i="9"/>
  <c r="F20" i="9"/>
  <c r="F30" i="9"/>
  <c r="R39" i="9"/>
  <c r="N39" i="9"/>
  <c r="N15" i="9"/>
  <c r="R15" i="9"/>
  <c r="P7" i="8"/>
  <c r="W7" i="8"/>
  <c r="AB7" i="8" s="1"/>
  <c r="H7" i="9"/>
  <c r="K31" i="11"/>
  <c r="X21" i="11"/>
  <c r="AG21" i="11"/>
  <c r="AE25" i="6"/>
  <c r="AD19" i="6"/>
  <c r="AE19" i="6" s="1"/>
  <c r="AA9" i="11"/>
  <c r="AH12" i="11"/>
  <c r="Y12" i="11"/>
  <c r="Y11" i="11"/>
  <c r="AH11" i="11"/>
  <c r="Y19" i="6"/>
  <c r="AG15" i="11" s="1"/>
  <c r="AG9" i="11"/>
  <c r="X9" i="11"/>
  <c r="G22" i="6"/>
  <c r="C22" i="11"/>
  <c r="P10" i="11"/>
  <c r="R10" i="6"/>
  <c r="J22" i="6"/>
  <c r="H22" i="11"/>
  <c r="I22" i="6"/>
  <c r="R17" i="6"/>
  <c r="P17" i="11"/>
  <c r="K20" i="6"/>
  <c r="L15" i="6" s="1"/>
  <c r="K10" i="11"/>
  <c r="M15" i="11"/>
  <c r="C30" i="11"/>
  <c r="C33" i="6"/>
  <c r="G30" i="6"/>
  <c r="M22" i="11"/>
  <c r="R38" i="6"/>
  <c r="P38" i="11"/>
  <c r="R12" i="6"/>
  <c r="P12" i="11"/>
  <c r="E11" i="11"/>
  <c r="W19" i="4"/>
  <c r="W21" i="4" s="1"/>
  <c r="P34" i="6"/>
  <c r="L21" i="9"/>
  <c r="I10" i="9"/>
  <c r="F12" i="9"/>
  <c r="F31" i="9"/>
  <c r="AC27" i="9"/>
  <c r="AK26" i="11"/>
  <c r="G19" i="9"/>
  <c r="C19" i="11"/>
  <c r="J26" i="9"/>
  <c r="F26" i="9"/>
  <c r="AE8" i="11"/>
  <c r="U7" i="9"/>
  <c r="X7" i="9" s="1"/>
  <c r="K7" i="9"/>
  <c r="C31" i="11"/>
  <c r="AH10" i="11"/>
  <c r="Y10" i="11"/>
  <c r="Y14" i="11" s="1"/>
  <c r="Y21" i="11"/>
  <c r="AH21" i="11"/>
  <c r="AH19" i="11"/>
  <c r="Y19" i="11"/>
  <c r="X13" i="11"/>
  <c r="AG13" i="11"/>
  <c r="Z22" i="11"/>
  <c r="AD22" i="11" s="1"/>
  <c r="AC28" i="6"/>
  <c r="AG10" i="11"/>
  <c r="X10" i="11"/>
  <c r="X14" i="11" s="1"/>
  <c r="W19" i="3"/>
  <c r="M46" i="11"/>
  <c r="I10" i="6"/>
  <c r="H10" i="11"/>
  <c r="J10" i="6"/>
  <c r="O46" i="6"/>
  <c r="J27" i="6"/>
  <c r="H27" i="11"/>
  <c r="C20" i="6"/>
  <c r="C10" i="11"/>
  <c r="E17" i="11"/>
  <c r="M28" i="6"/>
  <c r="M26" i="11"/>
  <c r="G15" i="6"/>
  <c r="C15" i="11"/>
  <c r="M17" i="11"/>
  <c r="R18" i="6"/>
  <c r="P18" i="11"/>
  <c r="R11" i="6"/>
  <c r="P11" i="11"/>
  <c r="M10" i="11"/>
  <c r="F11" i="4"/>
  <c r="F22" i="4"/>
  <c r="L42" i="9"/>
  <c r="L30" i="9"/>
  <c r="R36" i="9"/>
  <c r="L27" i="9"/>
  <c r="L11" i="9"/>
  <c r="J11" i="9"/>
  <c r="F11" i="9"/>
  <c r="AC15" i="9"/>
  <c r="R28" i="9"/>
  <c r="N28" i="9"/>
  <c r="F16" i="9"/>
  <c r="J16" i="9"/>
  <c r="AC25" i="9"/>
  <c r="AK24" i="11"/>
  <c r="M19" i="11"/>
  <c r="R19" i="9"/>
  <c r="N46" i="9"/>
  <c r="N20" i="9"/>
  <c r="R20" i="9"/>
  <c r="N11" i="9"/>
  <c r="J17" i="9"/>
  <c r="F17" i="9"/>
  <c r="R34" i="9"/>
  <c r="N34" i="9"/>
  <c r="Q10" i="9"/>
  <c r="B6" i="9"/>
  <c r="T6" i="8"/>
  <c r="M31" i="11"/>
  <c r="Z23" i="3"/>
  <c r="Z11" i="3"/>
  <c r="AB13" i="11"/>
  <c r="AK13" i="11"/>
  <c r="X11" i="11"/>
  <c r="AG11" i="11"/>
  <c r="W17" i="3"/>
  <c r="M30" i="11"/>
  <c r="M32" i="11" s="1"/>
  <c r="G39" i="6"/>
  <c r="C39" i="11"/>
  <c r="G46" i="6"/>
  <c r="C46" i="11"/>
  <c r="J26" i="6"/>
  <c r="H26" i="11"/>
  <c r="I26" i="6"/>
  <c r="T32" i="6"/>
  <c r="E46" i="11"/>
  <c r="K16" i="11"/>
  <c r="R42" i="6"/>
  <c r="P42" i="11"/>
  <c r="M13" i="11"/>
  <c r="E14" i="11"/>
  <c r="K17" i="11"/>
  <c r="O17" i="6"/>
  <c r="P30" i="11"/>
  <c r="E20" i="6"/>
  <c r="E10" i="11"/>
  <c r="E20" i="11" s="1"/>
  <c r="F12" i="11" s="1"/>
  <c r="C16" i="11"/>
  <c r="G16" i="11" s="1"/>
  <c r="G16" i="6"/>
  <c r="F20" i="11"/>
  <c r="F17" i="11"/>
  <c r="F46" i="11"/>
  <c r="F42" i="11"/>
  <c r="F39" i="11"/>
  <c r="F38" i="11"/>
  <c r="F31" i="11"/>
  <c r="F19" i="11"/>
  <c r="F26" i="11"/>
  <c r="E24" i="11"/>
  <c r="F15" i="11"/>
  <c r="Y30" i="10"/>
  <c r="AC21" i="10"/>
  <c r="O31" i="10"/>
  <c r="K36" i="10"/>
  <c r="N59" i="7" s="1"/>
  <c r="X19" i="10"/>
  <c r="AA19" i="10" s="1"/>
  <c r="AA11" i="10"/>
  <c r="R24" i="10"/>
  <c r="Q24" i="10"/>
  <c r="M36" i="10"/>
  <c r="R59" i="7" s="1"/>
  <c r="AA10" i="10"/>
  <c r="K28" i="10"/>
  <c r="O24" i="10"/>
  <c r="U21" i="10"/>
  <c r="U30" i="10" s="1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Q22" i="10"/>
  <c r="Q15" i="10"/>
  <c r="Q46" i="10"/>
  <c r="Q11" i="10"/>
  <c r="Q28" i="10"/>
  <c r="Q26" i="10"/>
  <c r="Q13" i="10"/>
  <c r="Q30" i="10"/>
  <c r="R20" i="10"/>
  <c r="Q20" i="10"/>
  <c r="Q14" i="10"/>
  <c r="Q27" i="10"/>
  <c r="Q12" i="10"/>
  <c r="P34" i="10"/>
  <c r="P36" i="10" s="1"/>
  <c r="R32" i="10"/>
  <c r="Q32" i="10"/>
  <c r="K20" i="10"/>
  <c r="O10" i="10"/>
  <c r="AC19" i="10"/>
  <c r="E34" i="10"/>
  <c r="I34" i="10" s="1"/>
  <c r="AC17" i="10"/>
  <c r="J24" i="10"/>
  <c r="Q10" i="10"/>
  <c r="I24" i="10"/>
  <c r="Q31" i="10"/>
  <c r="Z16" i="10"/>
  <c r="X17" i="10"/>
  <c r="AA17" i="10" s="1"/>
  <c r="AA16" i="10"/>
  <c r="C20" i="10"/>
  <c r="G10" i="10"/>
  <c r="Q19" i="10"/>
  <c r="G19" i="10"/>
  <c r="C24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O24" i="8"/>
  <c r="K36" i="8"/>
  <c r="K45" i="9" s="1"/>
  <c r="O45" i="9" s="1"/>
  <c r="H36" i="8"/>
  <c r="H36" i="9" s="1"/>
  <c r="I36" i="9" s="1"/>
  <c r="J24" i="8"/>
  <c r="I24" i="8"/>
  <c r="X19" i="8"/>
  <c r="X19" i="9" s="1"/>
  <c r="AA19" i="9" s="1"/>
  <c r="AA17" i="8"/>
  <c r="G24" i="8"/>
  <c r="C36" i="8"/>
  <c r="C45" i="9" s="1"/>
  <c r="G45" i="9" s="1"/>
  <c r="E36" i="8"/>
  <c r="E36" i="9" s="1"/>
  <c r="F24" i="8"/>
  <c r="J34" i="8"/>
  <c r="I34" i="8"/>
  <c r="Z17" i="8"/>
  <c r="Y30" i="8"/>
  <c r="AC21" i="8"/>
  <c r="R20" i="7"/>
  <c r="P24" i="7"/>
  <c r="Q20" i="7"/>
  <c r="P34" i="7"/>
  <c r="R28" i="7"/>
  <c r="Q28" i="7"/>
  <c r="Q42" i="7"/>
  <c r="Q38" i="7"/>
  <c r="D46" i="7"/>
  <c r="N26" i="7"/>
  <c r="D15" i="7"/>
  <c r="L13" i="7"/>
  <c r="L12" i="7"/>
  <c r="Q10" i="7"/>
  <c r="Q39" i="7"/>
  <c r="I12" i="7"/>
  <c r="J32" i="7"/>
  <c r="I32" i="7"/>
  <c r="Q26" i="7"/>
  <c r="E24" i="7"/>
  <c r="F20" i="7"/>
  <c r="N12" i="7"/>
  <c r="N28" i="7"/>
  <c r="M34" i="7"/>
  <c r="N34" i="7" s="1"/>
  <c r="Q22" i="7"/>
  <c r="N38" i="7"/>
  <c r="I30" i="7"/>
  <c r="D11" i="7"/>
  <c r="I42" i="7"/>
  <c r="N31" i="7"/>
  <c r="F12" i="7"/>
  <c r="N32" i="7"/>
  <c r="F26" i="7"/>
  <c r="N13" i="7"/>
  <c r="K24" i="7"/>
  <c r="L20" i="7"/>
  <c r="O20" i="7"/>
  <c r="N42" i="7"/>
  <c r="D12" i="7"/>
  <c r="J20" i="7"/>
  <c r="H24" i="7"/>
  <c r="I20" i="7"/>
  <c r="I39" i="7"/>
  <c r="H34" i="7"/>
  <c r="J28" i="7"/>
  <c r="I28" i="7"/>
  <c r="N30" i="7"/>
  <c r="F28" i="7"/>
  <c r="E34" i="7"/>
  <c r="F34" i="7" s="1"/>
  <c r="Z21" i="7"/>
  <c r="AK18" i="11" s="1"/>
  <c r="AD19" i="7"/>
  <c r="I46" i="7"/>
  <c r="I22" i="7"/>
  <c r="I10" i="7"/>
  <c r="Q27" i="7"/>
  <c r="I26" i="7"/>
  <c r="N22" i="7"/>
  <c r="Q31" i="7"/>
  <c r="F30" i="7"/>
  <c r="L22" i="7"/>
  <c r="D10" i="7"/>
  <c r="L39" i="7"/>
  <c r="C34" i="7"/>
  <c r="D28" i="7"/>
  <c r="G28" i="7"/>
  <c r="K34" i="7"/>
  <c r="L28" i="7"/>
  <c r="O28" i="7"/>
  <c r="L32" i="7"/>
  <c r="O32" i="7"/>
  <c r="C24" i="7"/>
  <c r="D20" i="7"/>
  <c r="G20" i="7"/>
  <c r="D32" i="7"/>
  <c r="G32" i="7"/>
  <c r="M24" i="7"/>
  <c r="N20" i="7"/>
  <c r="R32" i="7"/>
  <c r="Q32" i="7"/>
  <c r="I27" i="7"/>
  <c r="N46" i="7"/>
  <c r="N10" i="7"/>
  <c r="N39" i="7"/>
  <c r="I31" i="7"/>
  <c r="N27" i="7"/>
  <c r="D39" i="7"/>
  <c r="Q34" i="6"/>
  <c r="Q46" i="6"/>
  <c r="Q42" i="6"/>
  <c r="Q39" i="6"/>
  <c r="Q38" i="6"/>
  <c r="Q22" i="6"/>
  <c r="Q18" i="6"/>
  <c r="Q13" i="6"/>
  <c r="Q26" i="6"/>
  <c r="Q16" i="6"/>
  <c r="Q12" i="6"/>
  <c r="Q15" i="6"/>
  <c r="Q30" i="6"/>
  <c r="Q20" i="6"/>
  <c r="P24" i="6"/>
  <c r="I34" i="6"/>
  <c r="T23" i="6"/>
  <c r="O28" i="6"/>
  <c r="L28" i="6"/>
  <c r="C34" i="6"/>
  <c r="G28" i="6"/>
  <c r="D28" i="6"/>
  <c r="R33" i="6"/>
  <c r="Q33" i="6"/>
  <c r="J33" i="6"/>
  <c r="I33" i="6"/>
  <c r="E34" i="6"/>
  <c r="M34" i="6"/>
  <c r="L17" i="5"/>
  <c r="L31" i="5"/>
  <c r="L20" i="5"/>
  <c r="L12" i="5"/>
  <c r="L10" i="5"/>
  <c r="L39" i="5"/>
  <c r="L16" i="5"/>
  <c r="L14" i="5"/>
  <c r="L30" i="5"/>
  <c r="L19" i="5"/>
  <c r="O20" i="5"/>
  <c r="L11" i="5"/>
  <c r="L38" i="5"/>
  <c r="K24" i="5"/>
  <c r="L15" i="5"/>
  <c r="G28" i="5"/>
  <c r="C34" i="5"/>
  <c r="D28" i="5"/>
  <c r="N45" i="5"/>
  <c r="N12" i="5"/>
  <c r="N42" i="5"/>
  <c r="N39" i="5"/>
  <c r="N16" i="5"/>
  <c r="N43" i="5"/>
  <c r="N28" i="5"/>
  <c r="N27" i="5"/>
  <c r="N26" i="5"/>
  <c r="N18" i="5"/>
  <c r="N14" i="5"/>
  <c r="N46" i="5"/>
  <c r="N30" i="5"/>
  <c r="N24" i="5"/>
  <c r="N19" i="5"/>
  <c r="N11" i="5"/>
  <c r="N38" i="5"/>
  <c r="N36" i="5"/>
  <c r="M24" i="5"/>
  <c r="N22" i="5"/>
  <c r="N15" i="5"/>
  <c r="N17" i="5"/>
  <c r="N10" i="5"/>
  <c r="N41" i="5"/>
  <c r="N34" i="5"/>
  <c r="N32" i="5"/>
  <c r="N31" i="5"/>
  <c r="N20" i="5"/>
  <c r="N13" i="5"/>
  <c r="L13" i="5"/>
  <c r="L27" i="5"/>
  <c r="D16" i="5"/>
  <c r="D20" i="5"/>
  <c r="D14" i="5"/>
  <c r="D30" i="5"/>
  <c r="D17" i="5"/>
  <c r="D15" i="5"/>
  <c r="D38" i="5"/>
  <c r="G20" i="5"/>
  <c r="C24" i="5"/>
  <c r="D12" i="5"/>
  <c r="D11" i="5"/>
  <c r="J28" i="5"/>
  <c r="I28" i="5"/>
  <c r="I15" i="5"/>
  <c r="H24" i="5"/>
  <c r="J20" i="5"/>
  <c r="I12" i="5"/>
  <c r="I10" i="5"/>
  <c r="I16" i="5"/>
  <c r="I14" i="5"/>
  <c r="I46" i="5"/>
  <c r="I11" i="5"/>
  <c r="I13" i="5"/>
  <c r="L18" i="5"/>
  <c r="P34" i="5"/>
  <c r="R28" i="5"/>
  <c r="Q28" i="5"/>
  <c r="F45" i="5"/>
  <c r="F42" i="5"/>
  <c r="F14" i="5"/>
  <c r="F46" i="5"/>
  <c r="F30" i="5"/>
  <c r="F43" i="5"/>
  <c r="F28" i="5"/>
  <c r="F27" i="5"/>
  <c r="F26" i="5"/>
  <c r="F11" i="5"/>
  <c r="F17" i="5"/>
  <c r="F15" i="5"/>
  <c r="F38" i="5"/>
  <c r="F24" i="5"/>
  <c r="F36" i="5"/>
  <c r="F31" i="5"/>
  <c r="E24" i="5"/>
  <c r="E36" i="5" s="1"/>
  <c r="F22" i="5"/>
  <c r="F12" i="5"/>
  <c r="F10" i="5"/>
  <c r="F41" i="5"/>
  <c r="F39" i="5"/>
  <c r="F34" i="5"/>
  <c r="F32" i="5"/>
  <c r="F20" i="5"/>
  <c r="F19" i="5"/>
  <c r="F18" i="5"/>
  <c r="F16" i="5"/>
  <c r="F13" i="5"/>
  <c r="I38" i="5"/>
  <c r="Q46" i="5"/>
  <c r="P24" i="5"/>
  <c r="Q11" i="5"/>
  <c r="R20" i="5"/>
  <c r="Q15" i="5"/>
  <c r="Q20" i="5"/>
  <c r="Q17" i="5"/>
  <c r="Q12" i="5"/>
  <c r="Q10" i="5"/>
  <c r="Q42" i="5"/>
  <c r="Q16" i="5"/>
  <c r="Q31" i="5"/>
  <c r="I22" i="5"/>
  <c r="L46" i="5"/>
  <c r="O28" i="5"/>
  <c r="K34" i="5"/>
  <c r="L28" i="5"/>
  <c r="Q13" i="5"/>
  <c r="R32" i="5"/>
  <c r="Q32" i="5"/>
  <c r="L26" i="5"/>
  <c r="J32" i="5"/>
  <c r="I32" i="5"/>
  <c r="H34" i="5"/>
  <c r="AA23" i="4"/>
  <c r="Z23" i="4"/>
  <c r="AA16" i="4"/>
  <c r="Z16" i="4"/>
  <c r="Z14" i="4"/>
  <c r="AA14" i="4"/>
  <c r="AA15" i="4"/>
  <c r="Z15" i="4"/>
  <c r="U17" i="4"/>
  <c r="X17" i="4"/>
  <c r="AA13" i="4"/>
  <c r="Z13" i="4"/>
  <c r="AA25" i="4"/>
  <c r="Z25" i="4"/>
  <c r="X19" i="4"/>
  <c r="AA11" i="4"/>
  <c r="Z11" i="4"/>
  <c r="D28" i="4"/>
  <c r="G28" i="4"/>
  <c r="C34" i="4"/>
  <c r="D12" i="4"/>
  <c r="F39" i="4"/>
  <c r="F16" i="4"/>
  <c r="Q15" i="4"/>
  <c r="Y21" i="4"/>
  <c r="F27" i="4"/>
  <c r="Q18" i="4"/>
  <c r="K24" i="4"/>
  <c r="L20" i="4"/>
  <c r="O20" i="4"/>
  <c r="Q46" i="4"/>
  <c r="Q39" i="4"/>
  <c r="Q31" i="4"/>
  <c r="D27" i="4"/>
  <c r="J32" i="4"/>
  <c r="I32" i="4"/>
  <c r="H24" i="4"/>
  <c r="J20" i="4"/>
  <c r="L22" i="4"/>
  <c r="D19" i="4"/>
  <c r="F30" i="4"/>
  <c r="L17" i="4"/>
  <c r="D46" i="4"/>
  <c r="D39" i="4"/>
  <c r="M24" i="4"/>
  <c r="N20" i="4"/>
  <c r="Q26" i="4"/>
  <c r="AC17" i="4"/>
  <c r="O32" i="4"/>
  <c r="L32" i="4"/>
  <c r="M34" i="4"/>
  <c r="N34" i="4" s="1"/>
  <c r="N28" i="4"/>
  <c r="Z17" i="4"/>
  <c r="E24" i="4"/>
  <c r="F20" i="4"/>
  <c r="P34" i="4"/>
  <c r="R28" i="4"/>
  <c r="Q28" i="4"/>
  <c r="F26" i="4"/>
  <c r="C24" i="4"/>
  <c r="D20" i="4"/>
  <c r="G20" i="4"/>
  <c r="Q19" i="4"/>
  <c r="L28" i="4"/>
  <c r="O28" i="4"/>
  <c r="K34" i="4"/>
  <c r="L11" i="4"/>
  <c r="F46" i="4"/>
  <c r="F31" i="4"/>
  <c r="L15" i="4"/>
  <c r="Q11" i="4"/>
  <c r="F10" i="4"/>
  <c r="E34" i="4"/>
  <c r="F34" i="4" s="1"/>
  <c r="F28" i="4"/>
  <c r="G32" i="4"/>
  <c r="D32" i="4"/>
  <c r="R32" i="4"/>
  <c r="Q32" i="4"/>
  <c r="Q20" i="4"/>
  <c r="P24" i="4"/>
  <c r="R20" i="4"/>
  <c r="Q27" i="4"/>
  <c r="H34" i="4"/>
  <c r="J28" i="4"/>
  <c r="I28" i="4"/>
  <c r="AB21" i="4"/>
  <c r="AC19" i="4"/>
  <c r="D15" i="4"/>
  <c r="D26" i="4"/>
  <c r="F12" i="4"/>
  <c r="O32" i="3"/>
  <c r="L32" i="3"/>
  <c r="F18" i="3"/>
  <c r="I31" i="3"/>
  <c r="D12" i="3"/>
  <c r="Q42" i="3"/>
  <c r="C34" i="3"/>
  <c r="G28" i="3"/>
  <c r="D28" i="3"/>
  <c r="D15" i="3"/>
  <c r="F14" i="3"/>
  <c r="Q27" i="3"/>
  <c r="Q38" i="3"/>
  <c r="F19" i="3"/>
  <c r="F17" i="3"/>
  <c r="D22" i="3"/>
  <c r="I22" i="3"/>
  <c r="F27" i="3"/>
  <c r="L15" i="3"/>
  <c r="I13" i="3"/>
  <c r="I19" i="3"/>
  <c r="M34" i="3"/>
  <c r="C24" i="3"/>
  <c r="G20" i="3"/>
  <c r="D20" i="3"/>
  <c r="F26" i="3"/>
  <c r="D11" i="3"/>
  <c r="Q39" i="3"/>
  <c r="I18" i="3"/>
  <c r="D30" i="3"/>
  <c r="Q26" i="3"/>
  <c r="Q31" i="3"/>
  <c r="Q12" i="3"/>
  <c r="F11" i="3"/>
  <c r="Q13" i="3"/>
  <c r="D39" i="3"/>
  <c r="D31" i="3"/>
  <c r="I27" i="3"/>
  <c r="F46" i="3"/>
  <c r="F28" i="3"/>
  <c r="E34" i="3"/>
  <c r="F34" i="3" s="1"/>
  <c r="L12" i="3"/>
  <c r="G32" i="3"/>
  <c r="D32" i="3"/>
  <c r="I42" i="3"/>
  <c r="R28" i="3"/>
  <c r="Q28" i="3"/>
  <c r="P34" i="3"/>
  <c r="K34" i="3"/>
  <c r="O28" i="3"/>
  <c r="L28" i="3"/>
  <c r="P24" i="3"/>
  <c r="Q20" i="3"/>
  <c r="Q14" i="3"/>
  <c r="E24" i="3"/>
  <c r="F20" i="3"/>
  <c r="F16" i="3"/>
  <c r="Q46" i="3"/>
  <c r="D13" i="3"/>
  <c r="D46" i="3"/>
  <c r="I46" i="3"/>
  <c r="Q15" i="3"/>
  <c r="F38" i="3"/>
  <c r="F39" i="3"/>
  <c r="R32" i="3"/>
  <c r="Q32" i="3"/>
  <c r="Q11" i="3"/>
  <c r="Q17" i="3"/>
  <c r="H24" i="3"/>
  <c r="H24" i="6" s="1"/>
  <c r="H36" i="6" s="1"/>
  <c r="I16" i="3"/>
  <c r="J20" i="3"/>
  <c r="AC17" i="3"/>
  <c r="F30" i="3"/>
  <c r="Q10" i="3"/>
  <c r="I26" i="3"/>
  <c r="F15" i="3"/>
  <c r="F31" i="3"/>
  <c r="D19" i="3"/>
  <c r="F13" i="3"/>
  <c r="L20" i="3"/>
  <c r="K24" i="3"/>
  <c r="D27" i="3"/>
  <c r="D17" i="3"/>
  <c r="L11" i="3"/>
  <c r="I39" i="3"/>
  <c r="Q18" i="3"/>
  <c r="Q30" i="3"/>
  <c r="D18" i="3"/>
  <c r="Q19" i="3"/>
  <c r="Y30" i="3"/>
  <c r="AA30" i="6" s="1"/>
  <c r="F32" i="3"/>
  <c r="Q22" i="3"/>
  <c r="H34" i="3"/>
  <c r="I28" i="3"/>
  <c r="J28" i="3"/>
  <c r="F12" i="3"/>
  <c r="J32" i="3"/>
  <c r="I32" i="3"/>
  <c r="I12" i="3"/>
  <c r="I11" i="3"/>
  <c r="F10" i="3"/>
  <c r="I17" i="3"/>
  <c r="D16" i="3"/>
  <c r="W40" i="7" l="1"/>
  <c r="W41" i="7" s="1"/>
  <c r="W42" i="7" s="1"/>
  <c r="AC30" i="10"/>
  <c r="F12" i="6"/>
  <c r="F15" i="6"/>
  <c r="F26" i="6"/>
  <c r="F20" i="6"/>
  <c r="F39" i="6"/>
  <c r="F14" i="6"/>
  <c r="F18" i="6"/>
  <c r="F16" i="6"/>
  <c r="E24" i="6"/>
  <c r="F32" i="6"/>
  <c r="F42" i="6"/>
  <c r="F10" i="6"/>
  <c r="F27" i="6"/>
  <c r="F11" i="6"/>
  <c r="F46" i="6"/>
  <c r="F13" i="6"/>
  <c r="F17" i="6"/>
  <c r="G15" i="11"/>
  <c r="G14" i="11"/>
  <c r="Q38" i="10"/>
  <c r="Q42" i="10"/>
  <c r="G31" i="10"/>
  <c r="C32" i="10"/>
  <c r="Q39" i="5"/>
  <c r="Q14" i="5"/>
  <c r="Q26" i="5"/>
  <c r="O16" i="11"/>
  <c r="O13" i="11"/>
  <c r="AB21" i="3"/>
  <c r="AD21" i="6"/>
  <c r="F36" i="9"/>
  <c r="E58" i="7"/>
  <c r="J36" i="9"/>
  <c r="F14" i="11"/>
  <c r="R30" i="11"/>
  <c r="P32" i="11"/>
  <c r="X15" i="11"/>
  <c r="G13" i="11"/>
  <c r="J39" i="11"/>
  <c r="R15" i="11"/>
  <c r="J42" i="11"/>
  <c r="O18" i="11"/>
  <c r="I46" i="6"/>
  <c r="I20" i="6"/>
  <c r="I17" i="6"/>
  <c r="J20" i="6"/>
  <c r="I30" i="6"/>
  <c r="I27" i="6"/>
  <c r="I16" i="6"/>
  <c r="I11" i="6"/>
  <c r="I32" i="6"/>
  <c r="Z21" i="11"/>
  <c r="AB27" i="6"/>
  <c r="AI21" i="11" s="1"/>
  <c r="L27" i="6"/>
  <c r="L38" i="6"/>
  <c r="Y18" i="11"/>
  <c r="M34" i="5"/>
  <c r="M36" i="5" s="1"/>
  <c r="M41" i="5" s="1"/>
  <c r="M43" i="5" s="1"/>
  <c r="W13" i="11"/>
  <c r="W9" i="11"/>
  <c r="D39" i="11"/>
  <c r="G39" i="11"/>
  <c r="G19" i="11"/>
  <c r="R26" i="11"/>
  <c r="P28" i="11"/>
  <c r="Y15" i="11"/>
  <c r="J15" i="11"/>
  <c r="I15" i="11"/>
  <c r="R46" i="11"/>
  <c r="AB15" i="11"/>
  <c r="L12" i="6"/>
  <c r="Z27" i="3"/>
  <c r="U17" i="3"/>
  <c r="U19" i="3" s="1"/>
  <c r="U21" i="3" s="1"/>
  <c r="AC13" i="6"/>
  <c r="Z10" i="11"/>
  <c r="AB13" i="6"/>
  <c r="AI10" i="11" s="1"/>
  <c r="AA14" i="3"/>
  <c r="Z14" i="3"/>
  <c r="AE9" i="11"/>
  <c r="Z19" i="10"/>
  <c r="F10" i="11"/>
  <c r="F27" i="11"/>
  <c r="F11" i="11"/>
  <c r="O17" i="11"/>
  <c r="R11" i="11"/>
  <c r="W30" i="4"/>
  <c r="Y21" i="6"/>
  <c r="W21" i="3"/>
  <c r="W30" i="3" s="1"/>
  <c r="G33" i="6"/>
  <c r="D33" i="6"/>
  <c r="J22" i="11"/>
  <c r="I20" i="11"/>
  <c r="I22" i="11"/>
  <c r="O14" i="11"/>
  <c r="F28" i="6"/>
  <c r="O22" i="11"/>
  <c r="J34" i="9"/>
  <c r="F34" i="9"/>
  <c r="M28" i="11"/>
  <c r="O11" i="11"/>
  <c r="L11" i="11"/>
  <c r="G42" i="11"/>
  <c r="J28" i="6"/>
  <c r="AK15" i="11"/>
  <c r="AB19" i="6"/>
  <c r="AI15" i="11" s="1"/>
  <c r="O27" i="11"/>
  <c r="L12" i="11"/>
  <c r="O12" i="11"/>
  <c r="F38" i="6"/>
  <c r="J32" i="10"/>
  <c r="H34" i="10"/>
  <c r="Q39" i="10"/>
  <c r="Q30" i="5"/>
  <c r="Z13" i="3"/>
  <c r="AA13" i="3"/>
  <c r="X17" i="3"/>
  <c r="AC14" i="6"/>
  <c r="Z11" i="11"/>
  <c r="AB14" i="6"/>
  <c r="AI11" i="11" s="1"/>
  <c r="O33" i="6"/>
  <c r="K34" i="6"/>
  <c r="O34" i="6" s="1"/>
  <c r="F30" i="11"/>
  <c r="F16" i="11"/>
  <c r="J26" i="11"/>
  <c r="H28" i="11"/>
  <c r="I26" i="11"/>
  <c r="H20" i="11"/>
  <c r="I42" i="11" s="1"/>
  <c r="J10" i="11"/>
  <c r="G31" i="11"/>
  <c r="D31" i="11"/>
  <c r="G30" i="11"/>
  <c r="C32" i="11"/>
  <c r="D30" i="11"/>
  <c r="X21" i="6"/>
  <c r="AH15" i="11"/>
  <c r="M7" i="8"/>
  <c r="V7" i="8" s="1"/>
  <c r="Y7" i="8" s="1"/>
  <c r="E7" i="9"/>
  <c r="M7" i="9" s="1"/>
  <c r="V7" i="9" s="1"/>
  <c r="Y7" i="9" s="1"/>
  <c r="R27" i="11"/>
  <c r="E28" i="11"/>
  <c r="J12" i="11"/>
  <c r="I12" i="11"/>
  <c r="F18" i="11"/>
  <c r="U30" i="8"/>
  <c r="U21" i="9"/>
  <c r="R39" i="11"/>
  <c r="Q27" i="5"/>
  <c r="M16" i="6"/>
  <c r="M20" i="3"/>
  <c r="O16" i="3"/>
  <c r="N16" i="3"/>
  <c r="AA17" i="4"/>
  <c r="Z17" i="6"/>
  <c r="E36" i="10"/>
  <c r="E59" i="7" s="1"/>
  <c r="AA30" i="10"/>
  <c r="V40" i="7"/>
  <c r="V41" i="7" s="1"/>
  <c r="V42" i="7" s="1"/>
  <c r="T6" i="9"/>
  <c r="AF3" i="9"/>
  <c r="R18" i="11"/>
  <c r="C20" i="11"/>
  <c r="D10" i="11"/>
  <c r="G10" i="11"/>
  <c r="R12" i="11"/>
  <c r="G17" i="11"/>
  <c r="J38" i="11"/>
  <c r="Q28" i="6"/>
  <c r="R28" i="6"/>
  <c r="G18" i="11"/>
  <c r="R13" i="11"/>
  <c r="AC22" i="11"/>
  <c r="D38" i="11"/>
  <c r="G38" i="11"/>
  <c r="J31" i="11"/>
  <c r="I31" i="11"/>
  <c r="O15" i="11"/>
  <c r="F22" i="6"/>
  <c r="R31" i="11"/>
  <c r="Z19" i="6"/>
  <c r="AC19" i="6" s="1"/>
  <c r="Z9" i="11"/>
  <c r="AC9" i="11" s="1"/>
  <c r="AC11" i="6"/>
  <c r="AB11" i="6"/>
  <c r="AI9" i="11" s="1"/>
  <c r="Z13" i="11"/>
  <c r="AC16" i="6"/>
  <c r="AB16" i="6"/>
  <c r="AI13" i="11" s="1"/>
  <c r="I11" i="11"/>
  <c r="J11" i="11"/>
  <c r="J18" i="11"/>
  <c r="N34" i="3"/>
  <c r="U19" i="4"/>
  <c r="U21" i="4" s="1"/>
  <c r="U30" i="4" s="1"/>
  <c r="AA30" i="4" s="1"/>
  <c r="W17" i="6"/>
  <c r="W19" i="6" s="1"/>
  <c r="R42" i="11"/>
  <c r="G46" i="11"/>
  <c r="D46" i="11"/>
  <c r="D20" i="6"/>
  <c r="D13" i="6"/>
  <c r="D27" i="6"/>
  <c r="D26" i="6"/>
  <c r="D39" i="6"/>
  <c r="D11" i="6"/>
  <c r="D42" i="6"/>
  <c r="D12" i="6"/>
  <c r="C24" i="6"/>
  <c r="D30" i="6"/>
  <c r="G20" i="6"/>
  <c r="D22" i="6"/>
  <c r="D15" i="6"/>
  <c r="D38" i="6"/>
  <c r="D32" i="6"/>
  <c r="D10" i="6"/>
  <c r="D46" i="6"/>
  <c r="K20" i="11"/>
  <c r="L13" i="11" s="1"/>
  <c r="O10" i="11"/>
  <c r="P20" i="11"/>
  <c r="Q18" i="11" s="1"/>
  <c r="R10" i="11"/>
  <c r="O31" i="11"/>
  <c r="J13" i="11"/>
  <c r="I13" i="11"/>
  <c r="I17" i="11"/>
  <c r="J17" i="11"/>
  <c r="J46" i="11"/>
  <c r="I46" i="11"/>
  <c r="G26" i="11"/>
  <c r="D26" i="11"/>
  <c r="C28" i="11"/>
  <c r="G27" i="11"/>
  <c r="D27" i="11"/>
  <c r="Z19" i="9"/>
  <c r="Y21" i="9"/>
  <c r="I14" i="6"/>
  <c r="F22" i="11"/>
  <c r="E32" i="11"/>
  <c r="F32" i="11" s="1"/>
  <c r="Q38" i="5"/>
  <c r="AC15" i="6"/>
  <c r="Z12" i="11"/>
  <c r="AB15" i="6"/>
  <c r="AI12" i="11" s="1"/>
  <c r="I24" i="6"/>
  <c r="J24" i="6"/>
  <c r="F33" i="6"/>
  <c r="R17" i="11"/>
  <c r="J27" i="11"/>
  <c r="I27" i="11"/>
  <c r="R38" i="11"/>
  <c r="L11" i="6"/>
  <c r="L16" i="6"/>
  <c r="L46" i="6"/>
  <c r="L13" i="6"/>
  <c r="K24" i="6"/>
  <c r="L39" i="6"/>
  <c r="L17" i="6"/>
  <c r="L26" i="6"/>
  <c r="L20" i="6"/>
  <c r="L30" i="6"/>
  <c r="L32" i="6"/>
  <c r="L18" i="6"/>
  <c r="L10" i="6"/>
  <c r="L22" i="6"/>
  <c r="L14" i="6"/>
  <c r="G22" i="11"/>
  <c r="D22" i="11"/>
  <c r="W7" i="9"/>
  <c r="AB7" i="9" s="1"/>
  <c r="P7" i="9"/>
  <c r="G11" i="11"/>
  <c r="D11" i="11"/>
  <c r="R22" i="11"/>
  <c r="J30" i="11"/>
  <c r="I30" i="11"/>
  <c r="H32" i="11"/>
  <c r="R16" i="11"/>
  <c r="F13" i="11"/>
  <c r="AD21" i="11"/>
  <c r="AC21" i="11"/>
  <c r="AE17" i="6"/>
  <c r="AA14" i="11"/>
  <c r="AE14" i="11" s="1"/>
  <c r="L42" i="6"/>
  <c r="Y21" i="7"/>
  <c r="AB19" i="7"/>
  <c r="D14" i="6"/>
  <c r="J14" i="11"/>
  <c r="I14" i="11"/>
  <c r="F30" i="6"/>
  <c r="AC25" i="6"/>
  <c r="AB25" i="6"/>
  <c r="W14" i="11"/>
  <c r="W15" i="11" s="1"/>
  <c r="W18" i="11" s="1"/>
  <c r="W23" i="11" s="1"/>
  <c r="Z19" i="11"/>
  <c r="AD19" i="11" s="1"/>
  <c r="AC23" i="6"/>
  <c r="F24" i="11"/>
  <c r="Q36" i="10"/>
  <c r="P41" i="10"/>
  <c r="P45" i="10"/>
  <c r="R36" i="10"/>
  <c r="K32" i="10"/>
  <c r="O28" i="10"/>
  <c r="Z17" i="10"/>
  <c r="X21" i="10"/>
  <c r="R34" i="10"/>
  <c r="Q34" i="10"/>
  <c r="G24" i="10"/>
  <c r="Z30" i="10"/>
  <c r="K41" i="10"/>
  <c r="O36" i="10"/>
  <c r="E45" i="10"/>
  <c r="I45" i="10" s="1"/>
  <c r="I36" i="10"/>
  <c r="E41" i="10"/>
  <c r="M45" i="10"/>
  <c r="M41" i="10"/>
  <c r="M43" i="10" s="1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I36" i="8"/>
  <c r="H41" i="8"/>
  <c r="H41" i="9" s="1"/>
  <c r="I41" i="9" s="1"/>
  <c r="J36" i="8"/>
  <c r="E41" i="8"/>
  <c r="E41" i="9" s="1"/>
  <c r="F36" i="8"/>
  <c r="K41" i="8"/>
  <c r="O36" i="8"/>
  <c r="C41" i="8"/>
  <c r="G36" i="8"/>
  <c r="AC30" i="8"/>
  <c r="X21" i="8"/>
  <c r="X21" i="9" s="1"/>
  <c r="AA19" i="8"/>
  <c r="Z19" i="8"/>
  <c r="L34" i="7"/>
  <c r="O34" i="7"/>
  <c r="R24" i="7"/>
  <c r="P36" i="7"/>
  <c r="Q24" i="7"/>
  <c r="J24" i="7"/>
  <c r="H36" i="7"/>
  <c r="I24" i="7"/>
  <c r="Z30" i="7"/>
  <c r="AD30" i="7" s="1"/>
  <c r="AD21" i="7"/>
  <c r="C36" i="7"/>
  <c r="D24" i="7"/>
  <c r="G24" i="7"/>
  <c r="D34" i="7"/>
  <c r="G34" i="7"/>
  <c r="M36" i="7"/>
  <c r="N24" i="7"/>
  <c r="J34" i="7"/>
  <c r="I34" i="7"/>
  <c r="E36" i="7"/>
  <c r="F24" i="7"/>
  <c r="R34" i="7"/>
  <c r="Q34" i="7"/>
  <c r="K36" i="7"/>
  <c r="L24" i="7"/>
  <c r="O24" i="7"/>
  <c r="P36" i="6"/>
  <c r="Q24" i="6"/>
  <c r="R34" i="6"/>
  <c r="I36" i="6"/>
  <c r="H41" i="6"/>
  <c r="L34" i="6"/>
  <c r="G34" i="6"/>
  <c r="D34" i="6"/>
  <c r="F34" i="6"/>
  <c r="T24" i="6"/>
  <c r="J34" i="6"/>
  <c r="R24" i="5"/>
  <c r="Q24" i="5"/>
  <c r="P36" i="5"/>
  <c r="L34" i="5"/>
  <c r="R34" i="5"/>
  <c r="Q34" i="5"/>
  <c r="C36" i="5"/>
  <c r="G24" i="5"/>
  <c r="D24" i="5"/>
  <c r="D34" i="5"/>
  <c r="G34" i="5"/>
  <c r="J24" i="5"/>
  <c r="I24" i="5"/>
  <c r="H36" i="5"/>
  <c r="J34" i="5"/>
  <c r="I34" i="5"/>
  <c r="K36" i="5"/>
  <c r="O24" i="5"/>
  <c r="L24" i="5"/>
  <c r="E41" i="5"/>
  <c r="E43" i="5" s="1"/>
  <c r="N24" i="4"/>
  <c r="M36" i="4"/>
  <c r="H36" i="4"/>
  <c r="J24" i="4"/>
  <c r="I24" i="4"/>
  <c r="C36" i="4"/>
  <c r="G24" i="4"/>
  <c r="D24" i="4"/>
  <c r="K36" i="4"/>
  <c r="O24" i="4"/>
  <c r="L24" i="4"/>
  <c r="AA19" i="4"/>
  <c r="X21" i="4"/>
  <c r="Z21" i="6" s="1"/>
  <c r="J34" i="4"/>
  <c r="I34" i="4"/>
  <c r="G34" i="4"/>
  <c r="D34" i="4"/>
  <c r="O34" i="4"/>
  <c r="L34" i="4"/>
  <c r="Z19" i="4"/>
  <c r="P36" i="4"/>
  <c r="R24" i="4"/>
  <c r="Q24" i="4"/>
  <c r="R34" i="4"/>
  <c r="Q34" i="4"/>
  <c r="Y30" i="4"/>
  <c r="AB30" i="4"/>
  <c r="AC30" i="4" s="1"/>
  <c r="AC21" i="4"/>
  <c r="F24" i="4"/>
  <c r="E36" i="4"/>
  <c r="K36" i="3"/>
  <c r="L24" i="3"/>
  <c r="C36" i="3"/>
  <c r="G24" i="3"/>
  <c r="D24" i="3"/>
  <c r="G34" i="3"/>
  <c r="D34" i="3"/>
  <c r="J34" i="3"/>
  <c r="I34" i="3"/>
  <c r="J24" i="3"/>
  <c r="H36" i="3"/>
  <c r="I24" i="3"/>
  <c r="F24" i="3"/>
  <c r="E36" i="3"/>
  <c r="R34" i="3"/>
  <c r="Q34" i="3"/>
  <c r="O34" i="3"/>
  <c r="L34" i="3"/>
  <c r="P36" i="3"/>
  <c r="Q24" i="3"/>
  <c r="M16" i="11" l="1"/>
  <c r="M20" i="6"/>
  <c r="U30" i="3"/>
  <c r="AA30" i="3" s="1"/>
  <c r="W21" i="6"/>
  <c r="W30" i="6" s="1"/>
  <c r="R32" i="11"/>
  <c r="Q32" i="11"/>
  <c r="AD12" i="11"/>
  <c r="AC12" i="11"/>
  <c r="Q16" i="11"/>
  <c r="L24" i="6"/>
  <c r="K36" i="6"/>
  <c r="L10" i="11"/>
  <c r="AD13" i="11"/>
  <c r="AC13" i="11"/>
  <c r="Q13" i="11"/>
  <c r="I38" i="11"/>
  <c r="D20" i="11"/>
  <c r="C24" i="11"/>
  <c r="G20" i="11"/>
  <c r="D12" i="11"/>
  <c r="Q39" i="11"/>
  <c r="Q27" i="11"/>
  <c r="I39" i="11"/>
  <c r="M34" i="11"/>
  <c r="Q15" i="11"/>
  <c r="AE21" i="6"/>
  <c r="AD30" i="6"/>
  <c r="AC21" i="6"/>
  <c r="AB21" i="6"/>
  <c r="J32" i="11"/>
  <c r="I32" i="11"/>
  <c r="D28" i="11"/>
  <c r="C34" i="11"/>
  <c r="G28" i="11"/>
  <c r="L20" i="11"/>
  <c r="K24" i="11"/>
  <c r="L15" i="11"/>
  <c r="AC17" i="6"/>
  <c r="Z14" i="11"/>
  <c r="AB17" i="6"/>
  <c r="AI14" i="11" s="1"/>
  <c r="Z17" i="3"/>
  <c r="AA17" i="3"/>
  <c r="X19" i="3"/>
  <c r="D42" i="11"/>
  <c r="L22" i="11"/>
  <c r="L17" i="11"/>
  <c r="AB18" i="11"/>
  <c r="R28" i="11"/>
  <c r="Q28" i="11"/>
  <c r="P34" i="11"/>
  <c r="G32" i="10"/>
  <c r="C34" i="10"/>
  <c r="D15" i="11"/>
  <c r="X30" i="9"/>
  <c r="X20" i="11"/>
  <c r="AG20" i="11"/>
  <c r="P24" i="11"/>
  <c r="Q20" i="11"/>
  <c r="Q14" i="11"/>
  <c r="AB21" i="7"/>
  <c r="Y30" i="7"/>
  <c r="L31" i="11"/>
  <c r="G24" i="6"/>
  <c r="C36" i="6"/>
  <c r="D24" i="6"/>
  <c r="I18" i="11"/>
  <c r="AC19" i="11"/>
  <c r="D18" i="11"/>
  <c r="D17" i="11"/>
  <c r="Q26" i="11"/>
  <c r="L18" i="11"/>
  <c r="D13" i="11"/>
  <c r="L16" i="11"/>
  <c r="E36" i="6"/>
  <c r="F24" i="6"/>
  <c r="T12" i="6"/>
  <c r="Z15" i="11"/>
  <c r="AA30" i="8"/>
  <c r="U30" i="9"/>
  <c r="AA30" i="9" s="1"/>
  <c r="AD9" i="11"/>
  <c r="Q12" i="11"/>
  <c r="I10" i="11"/>
  <c r="L27" i="11"/>
  <c r="Y30" i="6"/>
  <c r="AG18" i="11"/>
  <c r="X18" i="11"/>
  <c r="X23" i="11" s="1"/>
  <c r="AD10" i="11"/>
  <c r="AC10" i="11"/>
  <c r="Q46" i="11"/>
  <c r="D19" i="11"/>
  <c r="AB24" i="11"/>
  <c r="X42" i="7"/>
  <c r="O34" i="5"/>
  <c r="F41" i="9"/>
  <c r="J41" i="9"/>
  <c r="O26" i="11"/>
  <c r="K28" i="11"/>
  <c r="L26" i="11"/>
  <c r="Q22" i="11"/>
  <c r="Q38" i="11"/>
  <c r="AA21" i="9"/>
  <c r="AA20" i="11" s="1"/>
  <c r="AE20" i="11" s="1"/>
  <c r="Y30" i="9"/>
  <c r="Z21" i="9"/>
  <c r="Z20" i="11" s="1"/>
  <c r="AC21" i="9"/>
  <c r="AI20" i="11" s="1"/>
  <c r="Y20" i="11"/>
  <c r="Y23" i="11" s="1"/>
  <c r="AH20" i="11"/>
  <c r="Q10" i="11"/>
  <c r="Q42" i="11"/>
  <c r="Q31" i="11"/>
  <c r="N27" i="3"/>
  <c r="N15" i="3"/>
  <c r="N12" i="3"/>
  <c r="N30" i="3"/>
  <c r="N39" i="3"/>
  <c r="N46" i="3"/>
  <c r="N42" i="3"/>
  <c r="N18" i="3"/>
  <c r="N19" i="3"/>
  <c r="N26" i="3"/>
  <c r="N11" i="3"/>
  <c r="N31" i="3"/>
  <c r="N17" i="3"/>
  <c r="N38" i="3"/>
  <c r="N22" i="3"/>
  <c r="N13" i="3"/>
  <c r="N28" i="3"/>
  <c r="M24" i="3"/>
  <c r="R20" i="3"/>
  <c r="O20" i="3"/>
  <c r="N14" i="3"/>
  <c r="N20" i="3"/>
  <c r="N32" i="3"/>
  <c r="N10" i="3"/>
  <c r="X30" i="6"/>
  <c r="AH18" i="11"/>
  <c r="H24" i="11"/>
  <c r="J20" i="11"/>
  <c r="I16" i="11"/>
  <c r="L19" i="11"/>
  <c r="L14" i="11"/>
  <c r="AK23" i="11"/>
  <c r="D14" i="11"/>
  <c r="Q19" i="11"/>
  <c r="F28" i="11"/>
  <c r="E34" i="11"/>
  <c r="D32" i="11"/>
  <c r="G32" i="11"/>
  <c r="H34" i="11"/>
  <c r="J28" i="11"/>
  <c r="I28" i="11"/>
  <c r="AC11" i="11"/>
  <c r="AD11" i="11"/>
  <c r="J34" i="10"/>
  <c r="H36" i="10"/>
  <c r="Q11" i="11"/>
  <c r="AA15" i="11"/>
  <c r="Q30" i="11"/>
  <c r="AB30" i="3"/>
  <c r="AC30" i="3" s="1"/>
  <c r="AC21" i="3"/>
  <c r="Q17" i="11"/>
  <c r="R45" i="10"/>
  <c r="Q45" i="10"/>
  <c r="K45" i="10"/>
  <c r="O45" i="10" s="1"/>
  <c r="O41" i="10"/>
  <c r="K30" i="10"/>
  <c r="K30" i="11" s="1"/>
  <c r="O26" i="10"/>
  <c r="O32" i="10"/>
  <c r="K38" i="10"/>
  <c r="K38" i="11" s="1"/>
  <c r="X30" i="10"/>
  <c r="AA21" i="10"/>
  <c r="Z21" i="10"/>
  <c r="E43" i="10"/>
  <c r="I41" i="10"/>
  <c r="P43" i="10"/>
  <c r="R41" i="10"/>
  <c r="Q41" i="10"/>
  <c r="AA21" i="8"/>
  <c r="X30" i="8"/>
  <c r="Z30" i="8" s="1"/>
  <c r="Z21" i="8"/>
  <c r="J41" i="8"/>
  <c r="I41" i="8"/>
  <c r="H43" i="8"/>
  <c r="H43" i="9" s="1"/>
  <c r="I43" i="9" s="1"/>
  <c r="C43" i="8"/>
  <c r="G43" i="8" s="1"/>
  <c r="G41" i="8"/>
  <c r="K43" i="8"/>
  <c r="O41" i="8"/>
  <c r="E43" i="8"/>
  <c r="E43" i="9" s="1"/>
  <c r="F41" i="8"/>
  <c r="D36" i="7"/>
  <c r="C41" i="7"/>
  <c r="C57" i="7"/>
  <c r="G36" i="7"/>
  <c r="L36" i="7"/>
  <c r="K41" i="7"/>
  <c r="N57" i="7"/>
  <c r="N60" i="7" s="1"/>
  <c r="O36" i="7"/>
  <c r="M41" i="7"/>
  <c r="R57" i="7"/>
  <c r="R60" i="7" s="1"/>
  <c r="N36" i="7"/>
  <c r="E41" i="7"/>
  <c r="E57" i="7"/>
  <c r="E60" i="7" s="1"/>
  <c r="E61" i="7" s="1"/>
  <c r="F36" i="7"/>
  <c r="R36" i="7"/>
  <c r="Q36" i="7"/>
  <c r="P41" i="7"/>
  <c r="J36" i="7"/>
  <c r="I36" i="7"/>
  <c r="H41" i="7"/>
  <c r="Q36" i="6"/>
  <c r="P41" i="6"/>
  <c r="P41" i="11" s="1"/>
  <c r="I41" i="6"/>
  <c r="H43" i="6"/>
  <c r="K41" i="5"/>
  <c r="O36" i="5"/>
  <c r="L36" i="5"/>
  <c r="C41" i="5"/>
  <c r="G36" i="5"/>
  <c r="D36" i="5"/>
  <c r="R36" i="5"/>
  <c r="Q36" i="5"/>
  <c r="P41" i="5"/>
  <c r="J36" i="5"/>
  <c r="I36" i="5"/>
  <c r="H41" i="5"/>
  <c r="G36" i="4"/>
  <c r="D36" i="4"/>
  <c r="C41" i="4"/>
  <c r="R36" i="4"/>
  <c r="Q36" i="4"/>
  <c r="P41" i="4"/>
  <c r="X30" i="4"/>
  <c r="Z30" i="6" s="1"/>
  <c r="AA21" i="4"/>
  <c r="Z30" i="4"/>
  <c r="Z21" i="4"/>
  <c r="N36" i="4"/>
  <c r="M41" i="4"/>
  <c r="F36" i="4"/>
  <c r="E41" i="4"/>
  <c r="J36" i="4"/>
  <c r="I36" i="4"/>
  <c r="H41" i="4"/>
  <c r="O36" i="4"/>
  <c r="L36" i="4"/>
  <c r="K41" i="4"/>
  <c r="G36" i="3"/>
  <c r="D36" i="3"/>
  <c r="C41" i="3"/>
  <c r="Q36" i="3"/>
  <c r="P41" i="3"/>
  <c r="F36" i="3"/>
  <c r="E41" i="3"/>
  <c r="L36" i="3"/>
  <c r="K41" i="3"/>
  <c r="J36" i="3"/>
  <c r="I36" i="3"/>
  <c r="H41" i="3"/>
  <c r="P45" i="6" l="1"/>
  <c r="K45" i="6"/>
  <c r="E45" i="6"/>
  <c r="C45" i="6"/>
  <c r="H45" i="6"/>
  <c r="AC23" i="11"/>
  <c r="AD23" i="11"/>
  <c r="C41" i="6"/>
  <c r="G36" i="6"/>
  <c r="D36" i="6"/>
  <c r="AE30" i="6"/>
  <c r="AA24" i="11"/>
  <c r="AH23" i="11"/>
  <c r="Y24" i="11"/>
  <c r="Z30" i="9"/>
  <c r="AC30" i="9"/>
  <c r="K41" i="6"/>
  <c r="L36" i="6"/>
  <c r="Q24" i="11"/>
  <c r="AB30" i="6"/>
  <c r="Z24" i="11"/>
  <c r="AE23" i="11"/>
  <c r="AD18" i="11"/>
  <c r="AB23" i="11"/>
  <c r="D34" i="11"/>
  <c r="G34" i="11"/>
  <c r="G24" i="11"/>
  <c r="D24" i="11"/>
  <c r="C36" i="11"/>
  <c r="W24" i="11"/>
  <c r="AC30" i="6"/>
  <c r="R24" i="3"/>
  <c r="O24" i="3"/>
  <c r="N24" i="3"/>
  <c r="M36" i="3"/>
  <c r="Q41" i="11"/>
  <c r="P43" i="11"/>
  <c r="F43" i="9"/>
  <c r="E64" i="7"/>
  <c r="J43" i="9"/>
  <c r="O38" i="11"/>
  <c r="L38" i="11"/>
  <c r="AE15" i="11"/>
  <c r="AA18" i="11"/>
  <c r="J34" i="11"/>
  <c r="I34" i="11"/>
  <c r="AD15" i="11"/>
  <c r="Z18" i="11"/>
  <c r="Z23" i="11" s="1"/>
  <c r="AC15" i="11"/>
  <c r="AD14" i="11"/>
  <c r="AC14" i="11"/>
  <c r="N34" i="11"/>
  <c r="AG23" i="11"/>
  <c r="X24" i="11"/>
  <c r="N15" i="6"/>
  <c r="N22" i="6"/>
  <c r="N14" i="6"/>
  <c r="N18" i="6"/>
  <c r="N11" i="6"/>
  <c r="N13" i="6"/>
  <c r="N26" i="6"/>
  <c r="M24" i="6"/>
  <c r="N32" i="6"/>
  <c r="N46" i="6"/>
  <c r="N17" i="6"/>
  <c r="N12" i="6"/>
  <c r="N42" i="6"/>
  <c r="N27" i="6"/>
  <c r="N10" i="6"/>
  <c r="N20" i="6"/>
  <c r="N39" i="6"/>
  <c r="N38" i="6"/>
  <c r="R20" i="6"/>
  <c r="N33" i="6"/>
  <c r="N30" i="6"/>
  <c r="N34" i="6"/>
  <c r="O20" i="6"/>
  <c r="N28" i="6"/>
  <c r="AD20" i="11"/>
  <c r="AC20" i="11"/>
  <c r="I43" i="10"/>
  <c r="E65" i="7"/>
  <c r="H45" i="10"/>
  <c r="J45" i="10" s="1"/>
  <c r="H41" i="10"/>
  <c r="J36" i="10"/>
  <c r="G34" i="10"/>
  <c r="C36" i="10"/>
  <c r="N16" i="6"/>
  <c r="O30" i="11"/>
  <c r="K32" i="11"/>
  <c r="L30" i="11"/>
  <c r="F34" i="11"/>
  <c r="E36" i="11"/>
  <c r="O28" i="11"/>
  <c r="L28" i="11"/>
  <c r="K34" i="11"/>
  <c r="J36" i="6"/>
  <c r="F36" i="6"/>
  <c r="T25" i="6"/>
  <c r="E41" i="6"/>
  <c r="AI18" i="11"/>
  <c r="N16" i="11"/>
  <c r="M20" i="11"/>
  <c r="H36" i="11"/>
  <c r="J24" i="11"/>
  <c r="I24" i="11"/>
  <c r="P36" i="11"/>
  <c r="Q34" i="11"/>
  <c r="R34" i="11"/>
  <c r="Z19" i="3"/>
  <c r="AA19" i="3"/>
  <c r="X21" i="3"/>
  <c r="L24" i="11"/>
  <c r="K36" i="11"/>
  <c r="O38" i="10"/>
  <c r="K42" i="10"/>
  <c r="K42" i="11" s="1"/>
  <c r="K34" i="10"/>
  <c r="O30" i="10"/>
  <c r="R43" i="10"/>
  <c r="Q43" i="10"/>
  <c r="K45" i="8"/>
  <c r="O45" i="8" s="1"/>
  <c r="O43" i="8"/>
  <c r="E45" i="8"/>
  <c r="F43" i="8"/>
  <c r="H45" i="8"/>
  <c r="H45" i="9" s="1"/>
  <c r="I45" i="9" s="1"/>
  <c r="J43" i="8"/>
  <c r="I43" i="8"/>
  <c r="Q45" i="7"/>
  <c r="R45" i="7"/>
  <c r="F45" i="7"/>
  <c r="N45" i="7"/>
  <c r="G45" i="7"/>
  <c r="D45" i="7"/>
  <c r="O45" i="7"/>
  <c r="L45" i="7"/>
  <c r="I45" i="7"/>
  <c r="J45" i="7"/>
  <c r="M43" i="7"/>
  <c r="N43" i="7" s="1"/>
  <c r="N41" i="7"/>
  <c r="H43" i="7"/>
  <c r="J41" i="7"/>
  <c r="I41" i="7"/>
  <c r="D41" i="7"/>
  <c r="C43" i="7"/>
  <c r="G41" i="7"/>
  <c r="F41" i="7"/>
  <c r="E43" i="7"/>
  <c r="L41" i="7"/>
  <c r="K43" i="7"/>
  <c r="O41" i="7"/>
  <c r="P43" i="7"/>
  <c r="R41" i="7"/>
  <c r="Q41" i="7"/>
  <c r="Q41" i="6"/>
  <c r="P43" i="6"/>
  <c r="I43" i="6"/>
  <c r="L45" i="5"/>
  <c r="O45" i="5"/>
  <c r="D45" i="5"/>
  <c r="G45" i="5"/>
  <c r="R45" i="5"/>
  <c r="Q45" i="5"/>
  <c r="L41" i="5"/>
  <c r="K43" i="5"/>
  <c r="O41" i="5"/>
  <c r="H43" i="5"/>
  <c r="J41" i="5"/>
  <c r="I41" i="5"/>
  <c r="I42" i="5" s="1"/>
  <c r="D41" i="5"/>
  <c r="C43" i="5"/>
  <c r="G41" i="5"/>
  <c r="P43" i="5"/>
  <c r="R41" i="5"/>
  <c r="Q41" i="5"/>
  <c r="O45" i="4"/>
  <c r="L45" i="4"/>
  <c r="N45" i="4"/>
  <c r="R45" i="4"/>
  <c r="Q45" i="4"/>
  <c r="G45" i="4"/>
  <c r="D45" i="4"/>
  <c r="F45" i="4"/>
  <c r="R41" i="4"/>
  <c r="Q41" i="4"/>
  <c r="P43" i="4"/>
  <c r="N41" i="4"/>
  <c r="M43" i="4"/>
  <c r="N43" i="4" s="1"/>
  <c r="J41" i="4"/>
  <c r="I41" i="4"/>
  <c r="H43" i="4"/>
  <c r="G41" i="4"/>
  <c r="D41" i="4"/>
  <c r="C43" i="4"/>
  <c r="F41" i="4"/>
  <c r="E43" i="4"/>
  <c r="F43" i="4" s="1"/>
  <c r="O41" i="4"/>
  <c r="L41" i="4"/>
  <c r="K43" i="4"/>
  <c r="Q45" i="3"/>
  <c r="L45" i="3"/>
  <c r="F45" i="3"/>
  <c r="G45" i="3"/>
  <c r="D45" i="3"/>
  <c r="J45" i="3"/>
  <c r="I45" i="3"/>
  <c r="Q41" i="3"/>
  <c r="P43" i="3"/>
  <c r="J41" i="3"/>
  <c r="I41" i="3"/>
  <c r="H43" i="3"/>
  <c r="L41" i="3"/>
  <c r="K43" i="3"/>
  <c r="G41" i="3"/>
  <c r="D41" i="3"/>
  <c r="C43" i="3"/>
  <c r="F41" i="3"/>
  <c r="E43" i="3"/>
  <c r="F43" i="3" s="1"/>
  <c r="M45" i="6" l="1"/>
  <c r="O45" i="3"/>
  <c r="R45" i="3"/>
  <c r="N45" i="3"/>
  <c r="H43" i="10"/>
  <c r="J43" i="10" s="1"/>
  <c r="J41" i="10"/>
  <c r="AA23" i="11"/>
  <c r="AE18" i="11"/>
  <c r="G36" i="11"/>
  <c r="C41" i="11"/>
  <c r="D36" i="11"/>
  <c r="G41" i="6"/>
  <c r="C43" i="6"/>
  <c r="D41" i="6"/>
  <c r="J41" i="6"/>
  <c r="F41" i="6"/>
  <c r="E43" i="6"/>
  <c r="T28" i="6"/>
  <c r="Q36" i="11"/>
  <c r="O32" i="11"/>
  <c r="L32" i="11"/>
  <c r="N36" i="3"/>
  <c r="M41" i="3"/>
  <c r="O36" i="3"/>
  <c r="R36" i="3"/>
  <c r="AC24" i="11"/>
  <c r="AI23" i="11"/>
  <c r="Z21" i="3"/>
  <c r="X30" i="3"/>
  <c r="Z30" i="3" s="1"/>
  <c r="AA21" i="3"/>
  <c r="I36" i="11"/>
  <c r="H41" i="11"/>
  <c r="J36" i="11"/>
  <c r="J45" i="6"/>
  <c r="H45" i="11"/>
  <c r="I45" i="6"/>
  <c r="K41" i="11"/>
  <c r="L36" i="11"/>
  <c r="L34" i="11"/>
  <c r="O34" i="11"/>
  <c r="T31" i="6"/>
  <c r="D45" i="6"/>
  <c r="G45" i="6"/>
  <c r="F45" i="8"/>
  <c r="E45" i="9"/>
  <c r="E45" i="11" s="1"/>
  <c r="F45" i="11" s="1"/>
  <c r="N11" i="11"/>
  <c r="N22" i="11"/>
  <c r="N31" i="11"/>
  <c r="N46" i="11"/>
  <c r="N27" i="11"/>
  <c r="N14" i="11"/>
  <c r="N10" i="11"/>
  <c r="N42" i="11"/>
  <c r="N12" i="11"/>
  <c r="N20" i="11"/>
  <c r="N39" i="11"/>
  <c r="M24" i="11"/>
  <c r="N17" i="11"/>
  <c r="N38" i="11"/>
  <c r="N15" i="11"/>
  <c r="N19" i="11"/>
  <c r="N26" i="11"/>
  <c r="N32" i="11"/>
  <c r="N13" i="11"/>
  <c r="N18" i="11"/>
  <c r="N30" i="11"/>
  <c r="O20" i="11"/>
  <c r="R20" i="11"/>
  <c r="N28" i="11"/>
  <c r="C59" i="7"/>
  <c r="C60" i="7" s="1"/>
  <c r="C61" i="7" s="1"/>
  <c r="C41" i="10"/>
  <c r="C45" i="10"/>
  <c r="G45" i="10" s="1"/>
  <c r="G36" i="10"/>
  <c r="F45" i="6"/>
  <c r="L42" i="11"/>
  <c r="O42" i="11"/>
  <c r="N24" i="6"/>
  <c r="R24" i="6"/>
  <c r="M36" i="6"/>
  <c r="O24" i="6"/>
  <c r="AC18" i="11"/>
  <c r="O45" i="6"/>
  <c r="K45" i="11"/>
  <c r="L45" i="6"/>
  <c r="F36" i="11"/>
  <c r="E41" i="11"/>
  <c r="Q43" i="11"/>
  <c r="L41" i="6"/>
  <c r="K43" i="6"/>
  <c r="L43" i="6" s="1"/>
  <c r="R45" i="6"/>
  <c r="P45" i="11"/>
  <c r="Q45" i="6"/>
  <c r="K39" i="10"/>
  <c r="K39" i="11" s="1"/>
  <c r="O34" i="10"/>
  <c r="O42" i="10"/>
  <c r="K46" i="10"/>
  <c r="J45" i="8"/>
  <c r="I45" i="8"/>
  <c r="G43" i="7"/>
  <c r="C63" i="7"/>
  <c r="D43" i="7"/>
  <c r="Q43" i="7"/>
  <c r="R43" i="7"/>
  <c r="O43" i="7"/>
  <c r="L43" i="7"/>
  <c r="I43" i="7"/>
  <c r="J43" i="7"/>
  <c r="E63" i="7"/>
  <c r="F43" i="7"/>
  <c r="Q43" i="6"/>
  <c r="J43" i="5"/>
  <c r="I43" i="5"/>
  <c r="R43" i="5"/>
  <c r="Q43" i="5"/>
  <c r="O43" i="5"/>
  <c r="L43" i="5"/>
  <c r="G43" i="5"/>
  <c r="D43" i="5"/>
  <c r="J43" i="4"/>
  <c r="I43" i="4"/>
  <c r="O43" i="4"/>
  <c r="L43" i="4"/>
  <c r="G43" i="4"/>
  <c r="D43" i="4"/>
  <c r="R43" i="4"/>
  <c r="Q43" i="4"/>
  <c r="J43" i="3"/>
  <c r="I43" i="3"/>
  <c r="G43" i="3"/>
  <c r="D43" i="3"/>
  <c r="Q43" i="3"/>
  <c r="L43" i="3"/>
  <c r="L45" i="11" l="1"/>
  <c r="L41" i="11"/>
  <c r="K43" i="11"/>
  <c r="O46" i="10"/>
  <c r="K46" i="11"/>
  <c r="R41" i="3"/>
  <c r="N41" i="3"/>
  <c r="M43" i="3"/>
  <c r="O41" i="3"/>
  <c r="O39" i="11"/>
  <c r="L39" i="11"/>
  <c r="D43" i="6"/>
  <c r="G43" i="6"/>
  <c r="N24" i="11"/>
  <c r="M36" i="11"/>
  <c r="R24" i="11"/>
  <c r="O24" i="11"/>
  <c r="C45" i="11"/>
  <c r="J45" i="11"/>
  <c r="I45" i="11"/>
  <c r="J45" i="9"/>
  <c r="F45" i="9"/>
  <c r="R36" i="6"/>
  <c r="M41" i="6"/>
  <c r="N36" i="6"/>
  <c r="O36" i="6"/>
  <c r="F41" i="11"/>
  <c r="E43" i="11"/>
  <c r="F43" i="11" s="1"/>
  <c r="C43" i="10"/>
  <c r="G41" i="10"/>
  <c r="D41" i="11"/>
  <c r="C43" i="11"/>
  <c r="G41" i="11"/>
  <c r="Q45" i="11"/>
  <c r="H43" i="11"/>
  <c r="I41" i="11"/>
  <c r="J41" i="11"/>
  <c r="T30" i="6"/>
  <c r="F43" i="6"/>
  <c r="J43" i="6"/>
  <c r="M45" i="11"/>
  <c r="N45" i="11" s="1"/>
  <c r="N45" i="6"/>
  <c r="O39" i="10"/>
  <c r="K43" i="10"/>
  <c r="O43" i="10" s="1"/>
  <c r="E68" i="7"/>
  <c r="K63" i="7"/>
  <c r="E66" i="7"/>
  <c r="J45" i="5"/>
  <c r="I45" i="5"/>
  <c r="J45" i="4"/>
  <c r="I45" i="4"/>
  <c r="G43" i="10" l="1"/>
  <c r="C65" i="7"/>
  <c r="O46" i="11"/>
  <c r="L46" i="11"/>
  <c r="I43" i="11"/>
  <c r="J43" i="11"/>
  <c r="L43" i="11"/>
  <c r="R45" i="11"/>
  <c r="G45" i="11"/>
  <c r="D45" i="11"/>
  <c r="D43" i="11"/>
  <c r="G43" i="11"/>
  <c r="M41" i="11"/>
  <c r="R41" i="6"/>
  <c r="N41" i="6"/>
  <c r="M43" i="6"/>
  <c r="O41" i="6"/>
  <c r="N43" i="3"/>
  <c r="R43" i="3"/>
  <c r="O43" i="3"/>
  <c r="N36" i="11"/>
  <c r="R36" i="11"/>
  <c r="O36" i="11"/>
  <c r="O45" i="11"/>
  <c r="C68" i="7" l="1"/>
  <c r="F68" i="7" s="1"/>
  <c r="C66" i="7"/>
  <c r="M43" i="11"/>
  <c r="N41" i="11"/>
  <c r="R41" i="11"/>
  <c r="O41" i="11"/>
  <c r="N43" i="6"/>
  <c r="O43" i="6"/>
  <c r="R43" i="6"/>
  <c r="N43" i="11" l="1"/>
  <c r="R43" i="11"/>
  <c r="O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44ED57AF-6AE2-44C0-A124-5E9C4A15559F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<sst xmlns="http://schemas.openxmlformats.org/spreadsheetml/2006/main" count="1491" uniqueCount="610">
  <si>
    <t>Periodo ant</t>
  </si>
  <si>
    <t>Periodo Actual</t>
  </si>
  <si>
    <t>MES INIC</t>
  </si>
  <si>
    <t>MES FIN</t>
  </si>
  <si>
    <t>AÑO</t>
  </si>
  <si>
    <t>TRM</t>
  </si>
  <si>
    <t>ENERO</t>
  </si>
  <si>
    <t>PPTO</t>
  </si>
  <si>
    <t>Actual</t>
  </si>
  <si>
    <t>Anterior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</si>
  <si>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</si>
  <si>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</si>
  <si>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</si>
  <si>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</si>
  <si>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</si>
  <si>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</si>
  <si>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</si>
  <si>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</si>
  <si>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</si>
  <si>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</si>
  <si>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</si>
  <si>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</si>
  <si>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</si>
  <si>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</si>
  <si>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</si>
  <si>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</si>
  <si>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</si>
  <si>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</si>
  <si>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</si>
  <si>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</si>
  <si>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</si>
  <si>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</si>
  <si>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</si>
  <si>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</si>
  <si>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</si>
  <si>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</si>
  <si>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</si>
  <si>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</si>
  <si>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</si>
  <si>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</si>
  <si>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</si>
  <si>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</si>
  <si>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</si>
  <si>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</si>
  <si>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</si>
  <si>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</si>
  <si>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</si>
  <si>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</si>
  <si>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</si>
  <si>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</si>
  <si>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</si>
  <si>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</si>
  <si>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</si>
  <si>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</si>
  <si>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</si>
  <si>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</si>
  <si>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</si>
  <si>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</si>
  <si>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</si>
  <si>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</si>
  <si>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</si>
  <si>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</si>
  <si>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</si>
  <si>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</si>
  <si>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</si>
  <si>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</si>
  <si>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</si>
  <si>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</si>
  <si>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</si>
  <si>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</si>
  <si>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</si>
  <si>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</si>
  <si>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Dev impuestos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</si>
  <si>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</si>
  <si>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</si>
  <si>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</si>
  <si>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</si>
  <si>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</si>
  <si>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</si>
  <si>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4155951500,4155951600,</t>
  </si>
  <si>
    <t>Visual Experience</t>
  </si>
  <si>
    <t>4155951800,4155952000,4135950600,4135950700</t>
  </si>
  <si>
    <t>Olfa Experience</t>
  </si>
  <si>
    <t>4170252500</t>
  </si>
  <si>
    <t>Locutor virtual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</si>
  <si>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</si>
  <si>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</si>
  <si>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</si>
  <si>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</si>
  <si>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</si>
  <si>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</si>
  <si>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</si>
  <si>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</si>
  <si>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</si>
  <si>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</si>
  <si>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</si>
  <si>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</si>
  <si>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</si>
  <si>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</si>
  <si>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</si>
  <si>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</si>
  <si>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</si>
  <si>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</si>
  <si>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</si>
  <si>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</si>
  <si>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</si>
  <si>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</si>
  <si>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</si>
  <si>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2025</t>
  </si>
  <si>
    <t>Real 2024</t>
  </si>
  <si>
    <t>real 2025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</si>
  <si>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</si>
  <si>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</si>
  <si>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</si>
  <si>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</si>
  <si>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</si>
  <si>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</si>
  <si>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</si>
  <si>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</si>
  <si>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</si>
  <si>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</si>
  <si>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</si>
  <si>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</si>
  <si>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</si>
  <si>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</si>
  <si>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</si>
  <si>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</si>
  <si>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</si>
  <si>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</si>
  <si>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</si>
  <si>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</si>
  <si>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</si>
  <si>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</si>
  <si>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</si>
  <si>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</si>
  <si>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2026</t>
  </si>
  <si>
    <t>Dólar implicito tomado dolar today</t>
  </si>
  <si>
    <t>TRM 2025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</si>
  <si>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</si>
  <si>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</si>
  <si>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</si>
  <si>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</si>
  <si>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</si>
  <si>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</si>
  <si>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</si>
  <si>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</si>
  <si>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</si>
  <si>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</si>
  <si>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</si>
  <si>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Año 2025</t>
  </si>
  <si>
    <t>Año 2026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</si>
  <si>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</si>
  <si>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</si>
  <si>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</si>
  <si>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</si>
  <si>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</si>
  <si>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</si>
  <si>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</si>
  <si>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</si>
  <si>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</si>
  <si>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>4155900000,4155900100,4155900500,4155900600,4170250000,4170250100,4170250200,4170251500,4170251600,4170251700,4170251900,4170251800,4170252000,4170253000,4170253500,4170252100,4170253700,4155900700,4170253800,4155900800,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</si>
  <si>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</si>
  <si>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</si>
  <si>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</si>
  <si>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</si>
  <si>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</si>
  <si>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</si>
  <si>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</si>
  <si>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</si>
  <si>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</si>
  <si>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</si>
  <si>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</si>
  <si>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</si>
  <si>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</si>
  <si>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</si>
  <si>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</si>
  <si>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</si>
  <si>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</si>
  <si>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</si>
  <si>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</si>
  <si>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</si>
  <si>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</si>
  <si>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</si>
  <si>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</si>
  <si>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</si>
  <si>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</si>
  <si>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5205180100,5205180200,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</si>
  <si>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</si>
  <si>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,</t>
  </si>
  <si>
    <t xml:space="preserve">   Prestaciones sociales comisiones vent</t>
  </si>
  <si>
    <t>5295050100,5295050200,5295050300,</t>
  </si>
  <si>
    <t xml:space="preserve">   Servicios a terceros</t>
  </si>
  <si>
    <t>5295400000,</t>
  </si>
  <si>
    <t xml:space="preserve">   Empaque y material de empaque</t>
  </si>
  <si>
    <t>5235500000,5240200100,</t>
  </si>
  <si>
    <t xml:space="preserve">   Fletes y acarreos gastos var.ventas</t>
  </si>
  <si>
    <t>5260050000,5260100000,5260150000,5260200000,5260350000,5260980000,5265980000,</t>
  </si>
  <si>
    <t xml:space="preserve">   Depreciaciones gastos ventas</t>
  </si>
  <si>
    <t>5295950600,</t>
  </si>
  <si>
    <t xml:space="preserve">   Discos y elementos de programación ventas</t>
  </si>
  <si>
    <t>5245150100,5245150200,5295150000,5245150300,5245150600,5245150400,</t>
  </si>
  <si>
    <t xml:space="preserve">   Material,sumin.mantto. e instalac.vt </t>
  </si>
  <si>
    <t>5295950300,</t>
  </si>
  <si>
    <t xml:space="preserve">   Herramientas y equipos de seguridad</t>
  </si>
  <si>
    <t>5235050000,5235050100,5235200000,5235950100,5235950400,5235950500,5235950600,5235950700,5235950800,5235950900,</t>
  </si>
  <si>
    <t xml:space="preserve">   Trabajos de origen externo</t>
  </si>
  <si>
    <t>5245150000,5245250000,5245200000,</t>
  </si>
  <si>
    <t xml:space="preserve">   Gastos de aduana exportaciones</t>
  </si>
  <si>
    <t>5235150000,</t>
  </si>
  <si>
    <t xml:space="preserve">   Trabajos fuera de la empresa</t>
  </si>
  <si>
    <t>5235100000,</t>
  </si>
  <si>
    <t xml:space="preserve">   Agencias temp de empleos gtos.var.vta</t>
  </si>
  <si>
    <t>4250500400,5295950100,</t>
  </si>
  <si>
    <t xml:space="preserve">   Regalias y derechos de autor</t>
  </si>
  <si>
    <t>5299100000,</t>
  </si>
  <si>
    <t xml:space="preserve">   Provision de cartera y devoluciones</t>
  </si>
  <si>
    <t>5299150000,5299150100,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</si>
  <si>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</si>
  <si>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</si>
  <si>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5205030100,5205030200,5205060100,5205060200,5205060300,5205150100,5205150200,5205270100,5205270200,5295600100,5295600200,5205240100,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</si>
  <si>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</si>
  <si>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,</t>
  </si>
  <si>
    <t xml:space="preserve">   Prestaciones sociales sueldos ventas </t>
  </si>
  <si>
    <t>5205480100,5205480200,5205480300,5205481000,5205481100,5205450300,</t>
  </si>
  <si>
    <t xml:space="preserve">   Bonificaciones y premios empleados </t>
  </si>
  <si>
    <t>5205630100,5205630200,5205630300,</t>
  </si>
  <si>
    <t xml:space="preserve">   Capacitacion gastos ventas</t>
  </si>
  <si>
    <t>5205660100,5205660200,5205660400,5205660500,</t>
  </si>
  <si>
    <t xml:space="preserve">   Gastos reuniones de personal venta</t>
  </si>
  <si>
    <t>5235350100,5295950400,5295951400,5235350500,</t>
  </si>
  <si>
    <t xml:space="preserve">Gastos de internet </t>
  </si>
  <si>
    <t>5220150000,5220200000,5220250000,5250400000,5220950000,5220950100,5235500100,</t>
  </si>
  <si>
    <t xml:space="preserve">   Alquiler equipos, contratos de manten</t>
  </si>
  <si>
    <t>5210250000,5210350000,5210950000,5210300100,5210358000,</t>
  </si>
  <si>
    <t xml:space="preserve">   Honorarios gastos ventas fijos</t>
  </si>
  <si>
    <t>5265100000,</t>
  </si>
  <si>
    <t xml:space="preserve">   Amortización Intangibles de ventas</t>
  </si>
  <si>
    <t>5215050000,5215100000,5215950000,5215950200,5215150000,</t>
  </si>
  <si>
    <t xml:space="preserve">   Impuestos Municipales</t>
  </si>
  <si>
    <t>5205660300,5255050300,5255060200,5255150300,5255200300,5255950300,</t>
  </si>
  <si>
    <t xml:space="preserve">   Club 100%</t>
  </si>
  <si>
    <t>5245400000,5295350000,5245100000,5250050000,5250100000,5250150000,5250950000,</t>
  </si>
  <si>
    <t xml:space="preserve">   Mantenimiento vehiculos gastos ventas</t>
  </si>
  <si>
    <t>5295300000,5295100000,</t>
  </si>
  <si>
    <t xml:space="preserve">   Papeleria, utiles, revistas, periodic</t>
  </si>
  <si>
    <t>5235600000,5235600100,5235600300,5235600500,</t>
  </si>
  <si>
    <t xml:space="preserve">   Publicidad ventas</t>
  </si>
  <si>
    <t>5235350000,5235400100,5235400200,5235450000,5235350200,5235350300,</t>
  </si>
  <si>
    <t xml:space="preserve">   Portes, telefono y fax</t>
  </si>
  <si>
    <t>5265150000,</t>
  </si>
  <si>
    <t xml:space="preserve">   Amortización gastos preoperativos</t>
  </si>
  <si>
    <t>5230050000,5230100000,5230150000,5230200000,5230250000,5230300000,5230350000,5230400000,5230600000,5230650000,5230750000,5230800000,5230950000,5230950100,5295700000,</t>
  </si>
  <si>
    <t xml:space="preserve">   Seguro incendio y varios ventas</t>
  </si>
  <si>
    <t>5110350100,5210350200,5210350300,</t>
  </si>
  <si>
    <t>Servicios infraestructura</t>
  </si>
  <si>
    <t>5215950100,5299050099,5235350400,</t>
  </si>
  <si>
    <t xml:space="preserve">   Otros Gastos de Ventas</t>
  </si>
  <si>
    <t>5295200100,5295200200,5295200300,</t>
  </si>
  <si>
    <t xml:space="preserve">   Atenciones a clientes gastos venta fi</t>
  </si>
  <si>
    <t>5225050000,5225100000,</t>
  </si>
  <si>
    <t xml:space="preserve">   Cuotas a asociaciones y afiliacion gt</t>
  </si>
  <si>
    <t>5235250000,5235300000,5235250100,</t>
  </si>
  <si>
    <t xml:space="preserve">   Luz y agua gastos ventas</t>
  </si>
  <si>
    <t>5295600000,5295600500,5295250000,5295250100,</t>
  </si>
  <si>
    <t xml:space="preserve">   Viveres y refrigerios fijos</t>
  </si>
  <si>
    <t>5205210100,5205210200,5255050100,5255050200,5255060100,5255060300,5255060400,5255150100,5255150200,5255200100,5255200200,5255950100,5255950200,5205451900,</t>
  </si>
  <si>
    <t xml:space="preserve">   Gastos de viaje, pasajes y hoteles</t>
  </si>
  <si>
    <t>5240050000,5240100000,5240150000,5240200400,5240950000,</t>
  </si>
  <si>
    <t xml:space="preserve">   Gastos legales ventas</t>
  </si>
  <si>
    <t>5295450000,5295950500,</t>
  </si>
  <si>
    <t xml:space="preserve">   Caja menor gastos ventas fijos</t>
  </si>
  <si>
    <t>5235100100,5295250200,</t>
  </si>
  <si>
    <t xml:space="preserve">   Agencias temporales de empleo gastos</t>
  </si>
  <si>
    <t>5220050000,5220100000,5220100100,5245100100,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</si>
  <si>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</si>
  <si>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</si>
  <si>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</si>
  <si>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</si>
  <si>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</si>
  <si>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</si>
  <si>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</si>
  <si>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</si>
  <si>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</si>
  <si>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</si>
  <si>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</si>
  <si>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</si>
  <si>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</si>
  <si>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</si>
  <si>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</si>
  <si>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</si>
  <si>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</si>
  <si>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</si>
  <si>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</si>
  <si>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</si>
  <si>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</si>
  <si>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</si>
  <si>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</si>
  <si>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</si>
  <si>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</si>
  <si>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</si>
  <si>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</si>
  <si>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</si>
  <si>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</si>
  <si>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</si>
  <si>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</si>
  <si>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</si>
  <si>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</si>
  <si>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</si>
  <si>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</si>
  <si>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</si>
  <si>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</si>
  <si>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</si>
  <si>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</si>
  <si>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</si>
  <si>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</si>
  <si>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</si>
  <si>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</si>
  <si>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</si>
  <si>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</si>
  <si>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</si>
  <si>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</si>
  <si>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</si>
  <si>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</si>
  <si>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</si>
  <si>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</si>
  <si>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</si>
  <si>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</si>
  <si>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</si>
  <si>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</si>
  <si>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</si>
  <si>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</si>
  <si>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</si>
  <si>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</si>
  <si>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</si>
  <si>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</si>
  <si>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</si>
  <si>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</si>
  <si>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</si>
  <si>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</si>
  <si>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</si>
  <si>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</si>
  <si>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</si>
  <si>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</si>
  <si>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</si>
  <si>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</si>
  <si>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</si>
  <si>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</si>
  <si>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</si>
  <si>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</si>
  <si>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</si>
  <si>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</si>
  <si>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</si>
  <si>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</si>
  <si>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</si>
  <si>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</si>
  <si>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</si>
  <si>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</si>
  <si>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</si>
  <si>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</si>
  <si>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</si>
  <si>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</si>
  <si>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</si>
  <si>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</si>
  <si>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</si>
  <si>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</si>
  <si>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</si>
  <si>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</si>
  <si>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</si>
  <si>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</si>
  <si>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</si>
  <si>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</si>
  <si>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</si>
  <si>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</si>
  <si>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</si>
  <si>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</si>
  <si>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</si>
  <si>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</si>
  <si>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</si>
  <si>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</si>
  <si>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</si>
  <si>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</si>
  <si>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</si>
  <si>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</si>
  <si>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</si>
  <si>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</si>
  <si>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</si>
  <si>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5205180100,5205180200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</si>
  <si>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</si>
  <si>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>5205030100,5205030200,5205060100,5205060200,5205060300,5205150100,5205150200,5205270100,5205270200,5295600100,5295600200,5205240100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</si>
  <si>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</si>
  <si>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>EBITDA DEPRECICAION Y AMORTIZACION</t>
  </si>
  <si>
    <t>5260050000,5260100000,5260150000,5260200000,5260350000,5260980000,5265980000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</si>
  <si>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</si>
  <si>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</si>
  <si>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</si>
  <si>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</si>
  <si>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</si>
  <si>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</si>
  <si>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</si>
  <si>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</si>
  <si>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</si>
  <si>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</si>
  <si>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</si>
  <si>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</si>
  <si>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</si>
  <si>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</si>
  <si>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</si>
  <si>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</si>
  <si>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</si>
  <si>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</si>
  <si>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</si>
  <si>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</si>
  <si>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</si>
  <si>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</si>
  <si>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</si>
  <si>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</si>
  <si>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</si>
  <si>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</si>
  <si>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</si>
  <si>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</si>
  <si>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</si>
  <si>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</si>
  <si>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</si>
  <si>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</si>
  <si>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</si>
  <si>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</si>
  <si>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</si>
  <si>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</si>
  <si>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</si>
  <si>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</si>
  <si>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</si>
  <si>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</si>
  <si>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</si>
  <si>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</si>
  <si>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</si>
  <si>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</si>
  <si>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</si>
  <si>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</si>
  <si>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</si>
  <si>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</si>
  <si>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</si>
  <si>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</si>
  <si>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</si>
  <si>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</si>
  <si>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</si>
  <si>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</si>
  <si>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</si>
  <si>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</si>
  <si>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</si>
  <si>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</si>
  <si>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</si>
  <si>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</si>
  <si>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</si>
  <si>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</si>
  <si>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</si>
  <si>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</si>
  <si>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</si>
  <si>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</si>
  <si>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</si>
  <si>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</si>
  <si>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</si>
  <si>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</si>
  <si>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</si>
  <si>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</si>
  <si>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</si>
  <si>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</si>
  <si>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</si>
  <si>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</si>
  <si>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</si>
  <si>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</si>
  <si>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</si>
  <si>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</si>
  <si>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</si>
  <si>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</si>
  <si>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</si>
  <si>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</si>
  <si>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</si>
  <si>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</si>
  <si>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</si>
  <si>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</si>
  <si>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</si>
  <si>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</si>
  <si>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</si>
  <si>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</si>
  <si>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</si>
  <si>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</si>
  <si>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</si>
  <si>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</si>
  <si>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</si>
  <si>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</si>
  <si>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</si>
  <si>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</si>
  <si>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</si>
  <si>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</si>
  <si>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</si>
  <si>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</si>
  <si>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</si>
  <si>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</si>
  <si>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</si>
  <si>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</si>
  <si>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</si>
  <si>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</si>
  <si>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</si>
  <si>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</si>
  <si>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</si>
  <si>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</si>
  <si>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</si>
  <si>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</si>
  <si>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</si>
  <si>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</si>
  <si>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</si>
  <si>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</si>
  <si>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</si>
  <si>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</si>
  <si>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</si>
  <si>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</si>
  <si>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</si>
  <si>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</si>
  <si>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</si>
  <si>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</si>
  <si>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</si>
  <si>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</si>
  <si>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</si>
  <si>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</si>
  <si>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</si>
  <si>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</si>
  <si>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</si>
  <si>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</si>
  <si>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</si>
  <si>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</si>
  <si>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</si>
  <si>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</si>
  <si>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</si>
  <si>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</si>
  <si>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</si>
  <si>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</si>
  <si>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</si>
  <si>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</si>
  <si>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</si>
  <si>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</si>
  <si>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</si>
  <si>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</si>
  <si>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</si>
  <si>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</si>
  <si>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</si>
  <si>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</si>
  <si>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</si>
  <si>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</si>
  <si>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</si>
  <si>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</si>
  <si>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</si>
  <si>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</si>
  <si>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</si>
  <si>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</si>
  <si>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</si>
  <si>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</si>
  <si>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</si>
  <si>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</si>
  <si>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</si>
  <si>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</si>
  <si>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</si>
  <si>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</si>
  <si>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</si>
  <si>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</si>
  <si>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</si>
  <si>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</si>
  <si>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</si>
  <si>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</si>
  <si>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</si>
  <si>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</si>
  <si>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</si>
  <si>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</si>
  <si>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</si>
  <si>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</si>
  <si>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</si>
  <si>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</si>
  <si>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</si>
  <si>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</si>
  <si>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</si>
  <si>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CORTO PLAZO   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</si>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</sst>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-* #,##0.000000000000_-;\-* #,##0.000000000000_-;_-* &quot;-&quot;????????????_-;_-@_-"/>
    <numFmt numFmtId="175" formatCode="_(* #,##0.00000000_);_(* \(#,##0.00000000\);_(* &quot;-&quot;??_);_(@_)"/>
    <numFmt numFmtId="176" formatCode="_-* #,##0_-;\-* #,##0_-;_-* &quot;-&quot;????????_-;_-@_-"/>
    <numFmt numFmtId="177" formatCode="_(* #,##0.00000_);_(* \(#,##0.00000\);_(* &quot;-&quot;????????_);_(@_)"/>
    <numFmt numFmtId="178" formatCode="_-* #,##0.0_-;\-* #,##0.0_-;_-* &quot;-&quot;???????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</cellStyleXfs>
  <cellXfs count="142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/>
    <xf numFmtId="1" fontId="2" fillId="0" borderId="0" xfId="0" applyNumberFormat="1" applyFont="1"/>
    <xf numFmtId="165" fontId="2" fillId="0" borderId="0" xfId="4" applyNumberFormat="1" applyFont="1" applyAlignment="1">
      <alignment horizontal="right" vertical="center" wrapText="1"/>
    </xf>
    <xf numFmtId="164" fontId="2" fillId="0" borderId="0" xfId="0" applyNumberFormat="1" applyFont="1"/>
    <xf numFmtId="43" fontId="2" fillId="0" borderId="0" xfId="1" applyFont="1" applyFill="1" applyBorder="1"/>
    <xf numFmtId="166" fontId="2" fillId="0" borderId="0" xfId="5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7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9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7" fontId="6" fillId="0" borderId="0" xfId="1" applyNumberFormat="1" applyFont="1" applyFill="1" applyBorder="1" applyAlignment="1"/>
    <xf numFmtId="0" fontId="11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2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3" applyFont="1" applyFill="1" applyBorder="1" applyAlignment="1">
      <alignment horizontal="right"/>
    </xf>
    <xf numFmtId="9" fontId="3" fillId="0" borderId="0" xfId="3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9" fontId="6" fillId="0" borderId="0" xfId="3" applyFont="1" applyFill="1" applyBorder="1" applyAlignment="1">
      <alignment horizontal="center"/>
    </xf>
    <xf numFmtId="49" fontId="12" fillId="0" borderId="0" xfId="0" applyNumberFormat="1" applyFont="1"/>
    <xf numFmtId="49" fontId="13" fillId="0" borderId="0" xfId="0" applyNumberFormat="1" applyFont="1"/>
    <xf numFmtId="3" fontId="6" fillId="0" borderId="0" xfId="0" applyNumberFormat="1" applyFont="1"/>
    <xf numFmtId="168" fontId="3" fillId="0" borderId="0" xfId="3" applyNumberFormat="1" applyFont="1" applyFill="1" applyBorder="1" applyAlignment="1">
      <alignment horizontal="right"/>
    </xf>
    <xf numFmtId="3" fontId="9" fillId="0" borderId="0" xfId="0" applyNumberFormat="1" applyFont="1" applyAlignment="1">
      <alignment horizontal="right"/>
    </xf>
    <xf numFmtId="9" fontId="9" fillId="0" borderId="0" xfId="3" applyFont="1" applyFill="1" applyBorder="1" applyAlignment="1">
      <alignment horizontal="right"/>
    </xf>
    <xf numFmtId="9" fontId="10" fillId="0" borderId="0" xfId="3" applyFont="1" applyFill="1" applyBorder="1" applyAlignment="1">
      <alignment horizontal="right"/>
    </xf>
    <xf numFmtId="168" fontId="6" fillId="0" borderId="0" xfId="0" applyNumberFormat="1" applyFont="1" applyAlignment="1">
      <alignment horizontal="left"/>
    </xf>
    <xf numFmtId="167" fontId="9" fillId="0" borderId="0" xfId="1" applyNumberFormat="1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69" fontId="3" fillId="0" borderId="0" xfId="0" applyNumberFormat="1" applyFont="1" applyAlignment="1">
      <alignment horizontal="centerContinuous"/>
    </xf>
    <xf numFmtId="169" fontId="3" fillId="0" borderId="0" xfId="0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Continuous"/>
    </xf>
    <xf numFmtId="0" fontId="12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3" fontId="12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7" fontId="3" fillId="0" borderId="0" xfId="1" applyNumberFormat="1" applyFont="1" applyFill="1" applyBorder="1" applyAlignment="1"/>
    <xf numFmtId="9" fontId="3" fillId="0" borderId="0" xfId="3" applyFont="1" applyFill="1" applyBorder="1" applyAlignment="1">
      <alignment horizontal="center"/>
    </xf>
    <xf numFmtId="3" fontId="10" fillId="0" borderId="0" xfId="0" applyNumberFormat="1" applyFont="1" applyAlignment="1">
      <alignment horizontal="right"/>
    </xf>
    <xf numFmtId="49" fontId="12" fillId="0" borderId="0" xfId="6" applyNumberFormat="1" applyFont="1"/>
    <xf numFmtId="167" fontId="10" fillId="0" borderId="0" xfId="1" applyNumberFormat="1" applyFont="1" applyFill="1" applyBorder="1" applyAlignment="1">
      <alignment horizontal="right"/>
    </xf>
    <xf numFmtId="9" fontId="10" fillId="0" borderId="0" xfId="3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7" fontId="10" fillId="0" borderId="0" xfId="0" applyNumberFormat="1" applyFont="1"/>
    <xf numFmtId="3" fontId="12" fillId="0" borderId="0" xfId="0" applyNumberFormat="1" applyFont="1"/>
    <xf numFmtId="167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10" fillId="0" borderId="0" xfId="0" applyFont="1"/>
    <xf numFmtId="49" fontId="15" fillId="0" borderId="0" xfId="0" applyNumberFormat="1" applyFont="1"/>
    <xf numFmtId="167" fontId="10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43" fontId="6" fillId="0" borderId="0" xfId="0" applyNumberFormat="1" applyFont="1"/>
    <xf numFmtId="171" fontId="6" fillId="0" borderId="0" xfId="3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3" fontId="17" fillId="0" borderId="0" xfId="0" applyNumberFormat="1" applyFont="1"/>
    <xf numFmtId="9" fontId="17" fillId="0" borderId="0" xfId="3" applyFont="1" applyFill="1" applyBorder="1" applyAlignment="1"/>
    <xf numFmtId="171" fontId="17" fillId="0" borderId="0" xfId="3" applyNumberFormat="1" applyFont="1" applyFill="1" applyBorder="1" applyAlignment="1"/>
    <xf numFmtId="3" fontId="10" fillId="0" borderId="0" xfId="0" applyNumberFormat="1" applyFont="1"/>
    <xf numFmtId="9" fontId="3" fillId="0" borderId="0" xfId="3" applyFont="1" applyFill="1" applyBorder="1" applyAlignment="1"/>
    <xf numFmtId="167" fontId="3" fillId="0" borderId="0" xfId="1" applyNumberFormat="1" applyFont="1" applyFill="1" applyBorder="1" applyAlignment="1">
      <alignment horizontal="left"/>
    </xf>
    <xf numFmtId="168" fontId="3" fillId="0" borderId="0" xfId="0" applyNumberFormat="1" applyFont="1"/>
    <xf numFmtId="0" fontId="6" fillId="0" borderId="1" xfId="0" applyFont="1" applyBorder="1" applyAlignment="1">
      <alignment horizontal="centerContinuous"/>
    </xf>
    <xf numFmtId="173" fontId="3" fillId="0" borderId="0" xfId="1" applyNumberFormat="1" applyFont="1" applyFill="1" applyBorder="1"/>
    <xf numFmtId="43" fontId="3" fillId="0" borderId="0" xfId="0" applyNumberFormat="1" applyFont="1"/>
    <xf numFmtId="1" fontId="3" fillId="0" borderId="0" xfId="0" applyNumberFormat="1" applyFont="1"/>
    <xf numFmtId="174" fontId="3" fillId="0" borderId="0" xfId="0" applyNumberFormat="1" applyFont="1"/>
    <xf numFmtId="0" fontId="18" fillId="0" borderId="0" xfId="0" applyFont="1"/>
    <xf numFmtId="43" fontId="18" fillId="0" borderId="0" xfId="1" applyFont="1"/>
    <xf numFmtId="0" fontId="18" fillId="0" borderId="0" xfId="0" applyFont="1" applyAlignment="1">
      <alignment wrapText="1"/>
    </xf>
    <xf numFmtId="175" fontId="19" fillId="0" borderId="0" xfId="1" applyNumberFormat="1" applyFont="1"/>
    <xf numFmtId="176" fontId="0" fillId="0" borderId="0" xfId="0" applyNumberFormat="1"/>
    <xf numFmtId="167" fontId="0" fillId="0" borderId="0" xfId="1" applyNumberFormat="1" applyFont="1"/>
    <xf numFmtId="43" fontId="19" fillId="0" borderId="0" xfId="1" applyFont="1"/>
    <xf numFmtId="167" fontId="18" fillId="0" borderId="0" xfId="1" applyNumberFormat="1" applyFont="1"/>
    <xf numFmtId="177" fontId="18" fillId="0" borderId="0" xfId="0" applyNumberFormat="1" applyFont="1"/>
    <xf numFmtId="178" fontId="3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6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2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1" applyNumberFormat="1" applyFont="1"/>
    <xf numFmtId="167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43" fontId="22" fillId="0" borderId="0" xfId="0" applyNumberFormat="1" applyFont="1"/>
    <xf numFmtId="41" fontId="22" fillId="0" borderId="0" xfId="0" applyNumberFormat="1" applyFont="1"/>
    <xf numFmtId="49" fontId="27" fillId="0" borderId="0" xfId="6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" xfId="2" builtinId="6"/>
    <cellStyle name="Moneda [0] 2" xfId="5" xr:uid="{991233A4-44DF-45DB-8DBC-2B7DEC1C14B2}"/>
    <cellStyle name="Normal" xfId="0" builtinId="0"/>
    <cellStyle name="Normal 2" xfId="6" xr:uid="{3880E9DC-843E-4A59-BAB0-8911E21AD9DD}"/>
    <cellStyle name="Normal 3" xfId="4" xr:uid="{499E14C3-126C-4A1A-B048-DE7761636FE8}"/>
    <cellStyle name="Porcentaje" xfId="3" builtinId="5"/>
  </cellStyles>
  <dxfs count="69"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40</xdr:col>
      <xdr:colOff>704575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B169E0-2AB9-4EC0-AC95-5709376A8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3500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ACA671-5267-40CC-9143-F98FD9FEF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DBA0D6-B0EA-4019-B8D5-E047487B4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4754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39</xdr:col>
      <xdr:colOff>865925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254BD0-2E49-4EAB-BE04-58D34D1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040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A36C387-F82F-4C0F-88CA-E3CA0D220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9462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BF4AB928-5F04-4A9B-AC9E-94E0D2748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26192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7E234B0-80CB-43F4-BDD7-F09A4E9B0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96727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9AE38B7-8B5B-47E4-83CA-913F49F1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3930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142876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2AAAA2C-F2FE-44AB-A440-C0040A711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20850" y="2228851"/>
          <a:ext cx="4257676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1F898FB-001A-4BE1-A8D7-C8C8B2EF8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02375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633607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D61C45DA-AF81-49D7-AE48-650F99B29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207650" y="2390775"/>
          <a:ext cx="3681607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828E770-4183-4F68-A350-0BC60237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8545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418278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7B1FA5E-64DD-472B-980F-2FCE62856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395399" y="11153776"/>
          <a:ext cx="3180529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20284D4-2A5F-4EE5-A180-626E3578B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1017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44</xdr:col>
      <xdr:colOff>724298</xdr:colOff>
      <xdr:row>71</xdr:row>
      <xdr:rowOff>148829</xdr:rowOff>
    </xdr:from>
    <xdr:to>
      <xdr:col>48</xdr:col>
      <xdr:colOff>590361</xdr:colOff>
      <xdr:row>79</xdr:row>
      <xdr:rowOff>229273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E186185-FA24-4189-8F0E-1C9103FF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23948" y="12921854"/>
          <a:ext cx="2914063" cy="160444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257968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FBB2B41-D409-4843-8DAD-37E43FBEE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39125" y="13087963"/>
          <a:ext cx="2876493" cy="1791800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29768</xdr:colOff>
      <xdr:row>73</xdr:row>
      <xdr:rowOff>101674</xdr:rowOff>
    </xdr:from>
    <xdr:to>
      <xdr:col>58</xdr:col>
      <xdr:colOff>198004</xdr:colOff>
      <xdr:row>81</xdr:row>
      <xdr:rowOff>98802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B85A334-D266-40D6-A9AB-E67A2CF9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949418" y="13255699"/>
          <a:ext cx="3216236" cy="1625903"/>
        </a:xfrm>
        <a:prstGeom prst="rect">
          <a:avLst/>
        </a:prstGeom>
      </xdr:spPr>
    </xdr:pic>
    <xdr:clientData/>
  </xdr:twoCellAnchor>
  <xdr:twoCellAnchor editAs="oneCell">
    <xdr:from>
      <xdr:col>58</xdr:col>
      <xdr:colOff>49611</xdr:colOff>
      <xdr:row>73</xdr:row>
      <xdr:rowOff>79374</xdr:rowOff>
    </xdr:from>
    <xdr:to>
      <xdr:col>62</xdr:col>
      <xdr:colOff>40017</xdr:colOff>
      <xdr:row>82</xdr:row>
      <xdr:rowOff>35230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23804A3A-4D9A-480C-8AFD-E76340901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017261" y="13233399"/>
          <a:ext cx="3038406" cy="1775131"/>
        </a:xfrm>
        <a:prstGeom prst="rect">
          <a:avLst/>
        </a:prstGeom>
      </xdr:spPr>
    </xdr:pic>
    <xdr:clientData/>
  </xdr:twoCellAnchor>
  <xdr:twoCellAnchor editAs="oneCell">
    <xdr:from>
      <xdr:col>45</xdr:col>
      <xdr:colOff>529344</xdr:colOff>
      <xdr:row>80</xdr:row>
      <xdr:rowOff>138906</xdr:rowOff>
    </xdr:from>
    <xdr:to>
      <xdr:col>49</xdr:col>
      <xdr:colOff>272740</xdr:colOff>
      <xdr:row>90</xdr:row>
      <xdr:rowOff>79376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EA2C010-8406-48E3-9215-3A95C2E8D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90994" y="14731206"/>
          <a:ext cx="2791396" cy="1616870"/>
        </a:xfrm>
        <a:prstGeom prst="rect">
          <a:avLst/>
        </a:prstGeom>
      </xdr:spPr>
    </xdr:pic>
    <xdr:clientData/>
  </xdr:twoCellAnchor>
  <xdr:twoCellAnchor editAs="oneCell">
    <xdr:from>
      <xdr:col>50</xdr:col>
      <xdr:colOff>99219</xdr:colOff>
      <xdr:row>83</xdr:row>
      <xdr:rowOff>16642</xdr:rowOff>
    </xdr:from>
    <xdr:to>
      <xdr:col>53</xdr:col>
      <xdr:colOff>724297</xdr:colOff>
      <xdr:row>93</xdr:row>
      <xdr:rowOff>113800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9B7AFDA-482A-4190-A8EC-7D42809AC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970869" y="15151867"/>
          <a:ext cx="2911078" cy="1716408"/>
        </a:xfrm>
        <a:prstGeom prst="rect">
          <a:avLst/>
        </a:prstGeom>
      </xdr:spPr>
    </xdr:pic>
    <xdr:clientData/>
  </xdr:twoCellAnchor>
  <xdr:twoCellAnchor editAs="oneCell">
    <xdr:from>
      <xdr:col>54</xdr:col>
      <xdr:colOff>218282</xdr:colOff>
      <xdr:row>83</xdr:row>
      <xdr:rowOff>47028</xdr:rowOff>
    </xdr:from>
    <xdr:to>
      <xdr:col>58</xdr:col>
      <xdr:colOff>426641</xdr:colOff>
      <xdr:row>94</xdr:row>
      <xdr:rowOff>42662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C680D3C-471B-4AB0-B68B-0E6FB973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37932" y="15182253"/>
          <a:ext cx="3256359" cy="1805384"/>
        </a:xfrm>
        <a:prstGeom prst="rect">
          <a:avLst/>
        </a:prstGeom>
      </xdr:spPr>
    </xdr:pic>
    <xdr:clientData/>
  </xdr:twoCellAnchor>
  <xdr:twoCellAnchor editAs="oneCell">
    <xdr:from>
      <xdr:col>59</xdr:col>
      <xdr:colOff>69453</xdr:colOff>
      <xdr:row>82</xdr:row>
      <xdr:rowOff>109140</xdr:rowOff>
    </xdr:from>
    <xdr:to>
      <xdr:col>62</xdr:col>
      <xdr:colOff>701309</xdr:colOff>
      <xdr:row>98</xdr:row>
      <xdr:rowOff>29836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45D0269-27C6-4122-B978-F935AECA5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99103" y="15082440"/>
          <a:ext cx="2917856" cy="2654371"/>
        </a:xfrm>
        <a:prstGeom prst="rect">
          <a:avLst/>
        </a:prstGeom>
      </xdr:spPr>
    </xdr:pic>
    <xdr:clientData/>
  </xdr:twoCellAnchor>
  <xdr:twoCellAnchor editAs="oneCell">
    <xdr:from>
      <xdr:col>46</xdr:col>
      <xdr:colOff>297656</xdr:colOff>
      <xdr:row>94</xdr:row>
      <xdr:rowOff>119063</xdr:rowOff>
    </xdr:from>
    <xdr:to>
      <xdr:col>53</xdr:col>
      <xdr:colOff>236911</xdr:colOff>
      <xdr:row>114</xdr:row>
      <xdr:rowOff>123878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7141B1C4-BAA0-4882-BBD4-724EBAB40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121306" y="17064038"/>
          <a:ext cx="5273255" cy="3586215"/>
        </a:xfrm>
        <a:prstGeom prst="rect">
          <a:avLst/>
        </a:prstGeom>
      </xdr:spPr>
    </xdr:pic>
    <xdr:clientData/>
  </xdr:twoCellAnchor>
  <xdr:twoCellAnchor editAs="oneCell">
    <xdr:from>
      <xdr:col>54</xdr:col>
      <xdr:colOff>563796</xdr:colOff>
      <xdr:row>99</xdr:row>
      <xdr:rowOff>112060</xdr:rowOff>
    </xdr:from>
    <xdr:to>
      <xdr:col>62</xdr:col>
      <xdr:colOff>230018</xdr:colOff>
      <xdr:row>119</xdr:row>
      <xdr:rowOff>123168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ED363EA-ECA4-4344-95BE-884600BF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483446" y="18009535"/>
          <a:ext cx="5762222" cy="3535358"/>
        </a:xfrm>
        <a:prstGeom prst="rect">
          <a:avLst/>
        </a:prstGeom>
      </xdr:spPr>
    </xdr:pic>
    <xdr:clientData/>
  </xdr:twoCellAnchor>
  <xdr:twoCellAnchor editAs="oneCell">
    <xdr:from>
      <xdr:col>45</xdr:col>
      <xdr:colOff>402744</xdr:colOff>
      <xdr:row>118</xdr:row>
      <xdr:rowOff>116690</xdr:rowOff>
    </xdr:from>
    <xdr:to>
      <xdr:col>56</xdr:col>
      <xdr:colOff>210612</xdr:colOff>
      <xdr:row>128</xdr:row>
      <xdr:rowOff>78850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7231FC9-3BDB-4DE6-8B86-B2774AD06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464394" y="21347915"/>
          <a:ext cx="8189868" cy="1867160"/>
        </a:xfrm>
        <a:prstGeom prst="rect">
          <a:avLst/>
        </a:prstGeom>
      </xdr:spPr>
    </xdr:pic>
    <xdr:clientData/>
  </xdr:twoCellAnchor>
  <xdr:twoCellAnchor editAs="oneCell">
    <xdr:from>
      <xdr:col>43</xdr:col>
      <xdr:colOff>749465</xdr:colOff>
      <xdr:row>126</xdr:row>
      <xdr:rowOff>155847</xdr:rowOff>
    </xdr:from>
    <xdr:to>
      <xdr:col>50</xdr:col>
      <xdr:colOff>112059</xdr:colOff>
      <xdr:row>145</xdr:row>
      <xdr:rowOff>120649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ECEEA65-11FA-4949-BC66-6EDB4162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287115" y="22911072"/>
          <a:ext cx="4696594" cy="3127102"/>
        </a:xfrm>
        <a:prstGeom prst="rect">
          <a:avLst/>
        </a:prstGeom>
      </xdr:spPr>
    </xdr:pic>
    <xdr:clientData/>
  </xdr:twoCellAnchor>
  <xdr:twoCellAnchor editAs="oneCell">
    <xdr:from>
      <xdr:col>44</xdr:col>
      <xdr:colOff>42112</xdr:colOff>
      <xdr:row>151</xdr:row>
      <xdr:rowOff>92445</xdr:rowOff>
    </xdr:from>
    <xdr:to>
      <xdr:col>48</xdr:col>
      <xdr:colOff>683847</xdr:colOff>
      <xdr:row>162</xdr:row>
      <xdr:rowOff>139466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B8FD0B2D-39F2-4526-8DF3-25D63F47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5341762" y="26981520"/>
          <a:ext cx="3689735" cy="1828196"/>
        </a:xfrm>
        <a:prstGeom prst="rect">
          <a:avLst/>
        </a:prstGeom>
      </xdr:spPr>
    </xdr:pic>
    <xdr:clientData/>
  </xdr:twoCellAnchor>
  <xdr:twoCellAnchor editAs="oneCell">
    <xdr:from>
      <xdr:col>54</xdr:col>
      <xdr:colOff>521975</xdr:colOff>
      <xdr:row>132</xdr:row>
      <xdr:rowOff>40145</xdr:rowOff>
    </xdr:from>
    <xdr:to>
      <xdr:col>58</xdr:col>
      <xdr:colOff>210111</xdr:colOff>
      <xdr:row>145</xdr:row>
      <xdr:rowOff>94391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736ECDA-F374-42F7-A46E-8AEF7558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3441625" y="23852645"/>
          <a:ext cx="2736136" cy="2159271"/>
        </a:xfrm>
        <a:prstGeom prst="rect">
          <a:avLst/>
        </a:prstGeom>
      </xdr:spPr>
    </xdr:pic>
    <xdr:clientData/>
  </xdr:twoCellAnchor>
  <xdr:twoCellAnchor editAs="oneCell">
    <xdr:from>
      <xdr:col>50</xdr:col>
      <xdr:colOff>662375</xdr:colOff>
      <xdr:row>130</xdr:row>
      <xdr:rowOff>9682</xdr:rowOff>
    </xdr:from>
    <xdr:to>
      <xdr:col>53</xdr:col>
      <xdr:colOff>153501</xdr:colOff>
      <xdr:row>145</xdr:row>
      <xdr:rowOff>56032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297F0FC4-1EDD-435F-9DDA-E300BF82E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0534025" y="23498332"/>
          <a:ext cx="1777126" cy="2475225"/>
        </a:xfrm>
        <a:prstGeom prst="rect">
          <a:avLst/>
        </a:prstGeom>
      </xdr:spPr>
    </xdr:pic>
    <xdr:clientData/>
  </xdr:twoCellAnchor>
  <xdr:twoCellAnchor editAs="oneCell">
    <xdr:from>
      <xdr:col>50</xdr:col>
      <xdr:colOff>511245</xdr:colOff>
      <xdr:row>151</xdr:row>
      <xdr:rowOff>61419</xdr:rowOff>
    </xdr:from>
    <xdr:to>
      <xdr:col>56</xdr:col>
      <xdr:colOff>744905</xdr:colOff>
      <xdr:row>160</xdr:row>
      <xdr:rowOff>151163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5DC1C379-8918-4288-9B09-D1EA7468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382895" y="26950494"/>
          <a:ext cx="4805660" cy="1547069"/>
        </a:xfrm>
        <a:prstGeom prst="rect">
          <a:avLst/>
        </a:prstGeom>
      </xdr:spPr>
    </xdr:pic>
    <xdr:clientData/>
  </xdr:twoCellAnchor>
  <xdr:twoCellAnchor editAs="oneCell">
    <xdr:from>
      <xdr:col>52</xdr:col>
      <xdr:colOff>460197</xdr:colOff>
      <xdr:row>164</xdr:row>
      <xdr:rowOff>84309</xdr:rowOff>
    </xdr:from>
    <xdr:to>
      <xdr:col>58</xdr:col>
      <xdr:colOff>65502</xdr:colOff>
      <xdr:row>169</xdr:row>
      <xdr:rowOff>135155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406666-D9FA-448B-8FA6-059A4B48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1855847" y="29078409"/>
          <a:ext cx="4177305" cy="860471"/>
        </a:xfrm>
        <a:prstGeom prst="rect">
          <a:avLst/>
        </a:prstGeom>
      </xdr:spPr>
    </xdr:pic>
    <xdr:clientData/>
  </xdr:twoCellAnchor>
  <xdr:twoCellAnchor editAs="oneCell">
    <xdr:from>
      <xdr:col>43</xdr:col>
      <xdr:colOff>727754</xdr:colOff>
      <xdr:row>174</xdr:row>
      <xdr:rowOff>85620</xdr:rowOff>
    </xdr:from>
    <xdr:to>
      <xdr:col>48</xdr:col>
      <xdr:colOff>577922</xdr:colOff>
      <xdr:row>182</xdr:row>
      <xdr:rowOff>67808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496653D2-6F44-4FF0-82A1-7694C1AB1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265404" y="30698970"/>
          <a:ext cx="3660168" cy="12775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../../../Program%20Files%20(x86)/Vision%20Tecnologica/UnoBiable/UnoBiable.xla" TargetMode="External"/><Relationship Id="rId2" Type="http://schemas.openxmlformats.org/officeDocument/2006/relationships/externalLinkPath" Target="file:///C:\Program%20Files%20(x86)\Vision%20Tecnologica\UnoBiable\UnoBiable.xla" TargetMode="External"/><Relationship Id="rId1" Type="http://schemas.openxmlformats.org/officeDocument/2006/relationships/externalLinkPath" Target="/Program%20Files%20(x86)/Vision%20Tecnologica/UnoBiable/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Settings"/>
      <sheetName val="UnoBiable"/>
    </sheetNames>
    <definedNames>
      <definedName name="Consulta"/>
    </defined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03481527-C796-4E6E-8DDF-F3373443A12B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5165266F-7B19-45AD-B642-02563B865B58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A13BEE07-4E5F-41E5-9824-8BCC9607572B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FDCB47-2544-40F7-ADD4-279A90F64BA1}" name="UnoBiable: SmartZoom 000 en ctas" cacheId="21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4" type="button" dataOnly="0" labelOnly="1" outline="0" axis="axisRow" fieldPosition="0"/>
    </format>
    <format dxfId="4">
      <pivotArea dataOnly="0" labelOnly="1" outline="0" fieldPosition="0">
        <references count="1">
          <reference field="4" count="0"/>
        </references>
      </pivotArea>
    </format>
    <format dxfId="5">
      <pivotArea dataOnly="0" labelOnly="1" grandRow="1" outline="0" fieldPosition="0"/>
    </format>
    <format dxfId="6">
      <pivotArea type="topRight" dataOnly="0" labelOnly="1" outline="0" fieldPosition="0"/>
    </format>
    <format dxfId="7">
      <pivotArea type="all" dataOnly="0" outline="0" fieldPosition="0"/>
    </format>
    <format dxfId="8">
      <pivotArea outline="0" collapsedLevelsAreSubtotals="1" fieldPosition="0"/>
    </format>
    <format dxfId="9">
      <pivotArea type="origin" dataOnly="0" labelOnly="1" outline="0" fieldPosition="0"/>
    </format>
    <format dxfId="10">
      <pivotArea field="4" type="button" dataOnly="0" labelOnly="1" outline="0" axis="axisRow" fieldPosition="0"/>
    </format>
    <format dxfId="11">
      <pivotArea dataOnly="0" labelOnly="1" outline="0" fieldPosition="0">
        <references count="1">
          <reference field="4" count="0"/>
        </references>
      </pivotArea>
    </format>
    <format dxfId="12">
      <pivotArea dataOnly="0" labelOnly="1" grandRow="1" outline="0" fieldPosition="0"/>
    </format>
    <format dxfId="13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3984F3-2B06-481F-980A-F88A522D53DF}" name="UnoBiable: SmartZoom 001 en ctas" cacheId="22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14">
      <pivotArea outline="0" collapsedLevelsAreSubtotals="1" fieldPosition="0"/>
    </format>
    <format dxfId="15">
      <pivotArea type="all" dataOnly="0" outline="0" fieldPosition="0"/>
    </format>
    <format dxfId="16">
      <pivotArea outline="0" collapsedLevelsAreSubtotals="1" fieldPosition="0"/>
    </format>
    <format dxfId="17">
      <pivotArea type="origin" dataOnly="0" labelOnly="1" outline="0" fieldPosition="0"/>
    </format>
    <format dxfId="18">
      <pivotArea field="31" type="button" dataOnly="0" labelOnly="1" outline="0" axis="axisRow" fieldPosition="0"/>
    </format>
    <format dxfId="19">
      <pivotArea field="32" type="button" dataOnly="0" labelOnly="1" outline="0" axis="axisRow" fieldPosition="1"/>
    </format>
    <format dxfId="20">
      <pivotArea dataOnly="0" labelOnly="1" outline="0" fieldPosition="0">
        <references count="1">
          <reference field="31" count="0"/>
        </references>
      </pivotArea>
    </format>
    <format dxfId="21">
      <pivotArea dataOnly="0" labelOnly="1" grandRow="1" outline="0" fieldPosition="0"/>
    </format>
    <format dxfId="22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23">
      <pivotArea type="topRight" dataOnly="0" labelOnly="1" outline="0" fieldPosition="0"/>
    </format>
    <format dxfId="24">
      <pivotArea type="all" dataOnly="0" outline="0" fieldPosition="0"/>
    </format>
    <format dxfId="25">
      <pivotArea outline="0" collapsedLevelsAreSubtotals="1" fieldPosition="0"/>
    </format>
    <format dxfId="26">
      <pivotArea type="origin" dataOnly="0" labelOnly="1" outline="0" fieldPosition="0"/>
    </format>
    <format dxfId="27">
      <pivotArea field="31" type="button" dataOnly="0" labelOnly="1" outline="0" axis="axisRow" fieldPosition="0"/>
    </format>
    <format dxfId="28">
      <pivotArea field="32" type="button" dataOnly="0" labelOnly="1" outline="0" axis="axisRow" fieldPosition="1"/>
    </format>
    <format dxfId="29">
      <pivotArea dataOnly="0" labelOnly="1" outline="0" fieldPosition="0">
        <references count="1">
          <reference field="31" count="0"/>
        </references>
      </pivotArea>
    </format>
    <format dxfId="30">
      <pivotArea dataOnly="0" labelOnly="1" grandRow="1" outline="0" fieldPosition="0"/>
    </format>
    <format dxfId="31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32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E945BC-4B00-4EF4-9117-67DC5E811D8F}" name="UnoBiable: SmartZoom 002 en ctas" cacheId="23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33">
      <pivotArea outline="0" collapsedLevelsAreSubtotals="1" fieldPosition="0"/>
    </format>
    <format dxfId="34">
      <pivotArea type="all" dataOnly="0" outline="0" fieldPosition="0"/>
    </format>
    <format dxfId="35">
      <pivotArea outline="0" collapsedLevelsAreSubtotals="1" fieldPosition="0"/>
    </format>
    <format dxfId="36">
      <pivotArea type="origin" dataOnly="0" labelOnly="1" outline="0" fieldPosition="0"/>
    </format>
    <format dxfId="37">
      <pivotArea field="5" type="button" dataOnly="0" labelOnly="1" outline="0" axis="axisRow" fieldPosition="0"/>
    </format>
    <format dxfId="38">
      <pivotArea field="6" type="button" dataOnly="0" labelOnly="1" outline="0" axis="axisRow" fieldPosition="1"/>
    </format>
    <format dxfId="39">
      <pivotArea dataOnly="0" labelOnly="1" outline="0" fieldPosition="0">
        <references count="1">
          <reference field="5" count="0"/>
        </references>
      </pivotArea>
    </format>
    <format dxfId="40">
      <pivotArea dataOnly="0" labelOnly="1" grandRow="1" outline="0" fieldPosition="0"/>
    </format>
    <format dxfId="41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42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3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4">
      <pivotArea type="topRight" dataOnly="0" labelOnly="1" outline="0" fieldPosition="0"/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type="origin" dataOnly="0" labelOnly="1" outline="0" fieldPosition="0"/>
    </format>
    <format dxfId="48">
      <pivotArea field="5" type="button" dataOnly="0" labelOnly="1" outline="0" axis="axisRow" fieldPosition="0"/>
    </format>
    <format dxfId="49">
      <pivotArea field="6" type="button" dataOnly="0" labelOnly="1" outline="0" axis="axisRow" fieldPosition="1"/>
    </format>
    <format dxfId="50">
      <pivotArea dataOnly="0" labelOnly="1" outline="0" fieldPosition="0">
        <references count="1">
          <reference field="5" count="0"/>
        </references>
      </pivotArea>
    </format>
    <format dxfId="51">
      <pivotArea dataOnly="0" labelOnly="1" grandRow="1" outline="0" fieldPosition="0"/>
    </format>
    <format dxfId="52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53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54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B747F-2A71-4C2E-BE65-25C5F2B2887D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202501</v>
      </c>
      <c r="B3" s="3" t="str">
        <f>VLOOKUP(D3,B22:D33,3,0)</f>
        <v>202601</v>
      </c>
      <c r="C3" s="3"/>
      <c r="D3" s="4" t="s">
        <v>6</v>
      </c>
      <c r="E3" s="4" t="s">
        <v>6</v>
      </c>
      <c r="F3" s="5">
        <v>2026</v>
      </c>
      <c r="G3" s="6">
        <v>4192.57</v>
      </c>
    </row>
    <row r="4" spans="1:7" x14ac:dyDescent="0.2">
      <c r="A4" s="2" t="str">
        <f>VLOOKUP(E4,B22:E33,4,0)</f>
        <v>202501</v>
      </c>
      <c r="B4" s="3" t="str">
        <f>VLOOKUP(E3,B22:D33,3,0)</f>
        <v>202601</v>
      </c>
      <c r="C4" s="3"/>
      <c r="D4" s="7" t="str">
        <f>+D3</f>
        <v>ENERO</v>
      </c>
      <c r="E4" s="7" t="str">
        <f>+E3</f>
        <v>ENERO</v>
      </c>
      <c r="F4" s="5">
        <v>2025</v>
      </c>
      <c r="G4" s="8">
        <v>3842.3</v>
      </c>
    </row>
    <row r="5" spans="1:7" x14ac:dyDescent="0.2">
      <c r="A5" s="2"/>
      <c r="B5" s="3">
        <f>+B4-1</f>
        <v>202600</v>
      </c>
      <c r="C5" s="3"/>
      <c r="E5" s="1" t="s">
        <v>7</v>
      </c>
      <c r="G5" s="9">
        <v>4408.6499999999996</v>
      </c>
    </row>
    <row r="20" spans="2:5" x14ac:dyDescent="0.2">
      <c r="B20" s="1">
        <v>1</v>
      </c>
      <c r="C20" s="1">
        <v>2</v>
      </c>
      <c r="D20" s="1">
        <v>3</v>
      </c>
      <c r="E20" s="1">
        <v>4</v>
      </c>
    </row>
    <row r="21" spans="2:5" x14ac:dyDescent="0.2">
      <c r="D21" s="1" t="s">
        <v>8</v>
      </c>
      <c r="E21" s="1" t="s">
        <v>9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202601</v>
      </c>
      <c r="E22" s="1" t="str">
        <f t="shared" ref="E22:E30" si="1">$F$4&amp;0&amp;C22</f>
        <v>202501</v>
      </c>
    </row>
    <row r="23" spans="2:5" x14ac:dyDescent="0.2">
      <c r="B23" s="1" t="s">
        <v>10</v>
      </c>
      <c r="C23" s="1">
        <v>2</v>
      </c>
      <c r="D23" s="1" t="str">
        <f t="shared" si="0"/>
        <v>202602</v>
      </c>
      <c r="E23" s="1" t="str">
        <f t="shared" si="1"/>
        <v>202502</v>
      </c>
    </row>
    <row r="24" spans="2:5" x14ac:dyDescent="0.2">
      <c r="B24" s="1" t="s">
        <v>11</v>
      </c>
      <c r="C24" s="1">
        <v>3</v>
      </c>
      <c r="D24" s="1" t="str">
        <f t="shared" si="0"/>
        <v>202603</v>
      </c>
      <c r="E24" s="1" t="str">
        <f t="shared" si="1"/>
        <v>202503</v>
      </c>
    </row>
    <row r="25" spans="2:5" x14ac:dyDescent="0.2">
      <c r="B25" s="1" t="s">
        <v>12</v>
      </c>
      <c r="C25" s="1">
        <v>4</v>
      </c>
      <c r="D25" s="1" t="str">
        <f t="shared" si="0"/>
        <v>202604</v>
      </c>
      <c r="E25" s="1" t="str">
        <f t="shared" si="1"/>
        <v>202504</v>
      </c>
    </row>
    <row r="26" spans="2:5" x14ac:dyDescent="0.2">
      <c r="B26" s="1" t="s">
        <v>13</v>
      </c>
      <c r="C26" s="1">
        <v>5</v>
      </c>
      <c r="D26" s="1" t="str">
        <f t="shared" si="0"/>
        <v>202605</v>
      </c>
      <c r="E26" s="1" t="str">
        <f t="shared" si="1"/>
        <v>202505</v>
      </c>
    </row>
    <row r="27" spans="2:5" x14ac:dyDescent="0.2">
      <c r="B27" s="1" t="s">
        <v>14</v>
      </c>
      <c r="C27" s="1">
        <v>6</v>
      </c>
      <c r="D27" s="1" t="str">
        <f t="shared" si="0"/>
        <v>202606</v>
      </c>
      <c r="E27" s="1" t="str">
        <f t="shared" si="1"/>
        <v>202506</v>
      </c>
    </row>
    <row r="28" spans="2:5" x14ac:dyDescent="0.2">
      <c r="B28" s="1" t="s">
        <v>15</v>
      </c>
      <c r="C28" s="1">
        <v>7</v>
      </c>
      <c r="D28" s="1" t="str">
        <f t="shared" si="0"/>
        <v>202607</v>
      </c>
      <c r="E28" s="1" t="str">
        <f t="shared" si="1"/>
        <v>202507</v>
      </c>
    </row>
    <row r="29" spans="2:5" x14ac:dyDescent="0.2">
      <c r="B29" s="1" t="s">
        <v>16</v>
      </c>
      <c r="C29" s="1">
        <v>8</v>
      </c>
      <c r="D29" s="1" t="str">
        <f t="shared" si="0"/>
        <v>202608</v>
      </c>
      <c r="E29" s="1" t="str">
        <f t="shared" si="1"/>
        <v>202508</v>
      </c>
    </row>
    <row r="30" spans="2:5" x14ac:dyDescent="0.2">
      <c r="B30" s="1" t="s">
        <v>17</v>
      </c>
      <c r="C30" s="1">
        <v>9</v>
      </c>
      <c r="D30" s="1" t="str">
        <f t="shared" si="0"/>
        <v>202609</v>
      </c>
      <c r="E30" s="1" t="str">
        <f t="shared" si="1"/>
        <v>202509</v>
      </c>
    </row>
    <row r="31" spans="2:5" x14ac:dyDescent="0.2">
      <c r="B31" s="1" t="s">
        <v>18</v>
      </c>
      <c r="C31" s="1">
        <v>10</v>
      </c>
      <c r="D31" s="1" t="str">
        <f>$F$3&amp;C31</f>
        <v>202610</v>
      </c>
      <c r="E31" s="1" t="str">
        <f>$F$4&amp;C31</f>
        <v>202510</v>
      </c>
    </row>
    <row r="32" spans="2:5" x14ac:dyDescent="0.2">
      <c r="B32" s="1" t="s">
        <v>19</v>
      </c>
      <c r="C32" s="1">
        <v>11</v>
      </c>
      <c r="D32" s="1" t="str">
        <f>$F$3&amp;C32</f>
        <v>202611</v>
      </c>
      <c r="E32" s="1" t="str">
        <f>$F$4&amp;C32</f>
        <v>202511</v>
      </c>
    </row>
    <row r="33" spans="2:5" x14ac:dyDescent="0.2">
      <c r="B33" s="1" t="s">
        <v>20</v>
      </c>
      <c r="C33" s="1">
        <v>12</v>
      </c>
      <c r="D33" s="1" t="str">
        <f>$F$3&amp;C33</f>
        <v>202612</v>
      </c>
      <c r="E33" s="1" t="str">
        <f>$F$4&amp;C33</f>
        <v>202512</v>
      </c>
    </row>
  </sheetData>
  <dataValidations count="1">
    <dataValidation type="list" allowBlank="1" showInputMessage="1" showErrorMessage="1" sqref="D3:E3" xr:uid="{217F8AF0-5B69-484C-9032-45DD0CF47AEB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52B6E-9DB1-41FC-B561-8D4674583576}">
  <dimension ref="A1:AK46"/>
  <sheetViews>
    <sheetView showGridLines="0" topLeftCell="AP17" workbookViewId="0">
      <selection activeCell="BE14" sqref="BE14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3" bestFit="1" customWidth="1"/>
    <col min="20" max="21" width="11.42578125" style="33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3"/>
      <c r="T1" s="33"/>
      <c r="U1" s="33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155</v>
      </c>
      <c r="T3" s="122"/>
      <c r="V3" s="2" t="str">
        <f>+B3</f>
        <v>MUSICAR S.A. COLOMBIA CONSOLIDADO USD</v>
      </c>
    </row>
    <row r="4" spans="1:37" x14ac:dyDescent="0.2">
      <c r="B4" s="2" t="s">
        <v>22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94</v>
      </c>
      <c r="V5" s="54"/>
      <c r="W5" s="2">
        <f>+'COLOMB$ '!U6:W6</f>
        <v>0</v>
      </c>
      <c r="Z5" s="2">
        <f>+'COLOMB$ '!X6:AB6</f>
        <v>0</v>
      </c>
      <c r="AC5" s="2" t="s">
        <v>28</v>
      </c>
      <c r="AD5" s="2" t="s">
        <v>26</v>
      </c>
      <c r="AE5" s="2" t="s">
        <v>27</v>
      </c>
    </row>
    <row r="6" spans="1:37" ht="15.75" customHeight="1" thickBot="1" x14ac:dyDescent="0.25">
      <c r="B6" s="21" t="str">
        <f>+'COL. CONS.$'!B6</f>
        <v>ENERO de 2026</v>
      </c>
      <c r="C6" s="91"/>
      <c r="K6" s="22" t="s">
        <v>25</v>
      </c>
      <c r="L6" s="22"/>
      <c r="M6" s="22"/>
      <c r="N6" s="22"/>
      <c r="O6" s="22"/>
      <c r="P6" s="22"/>
      <c r="Q6" s="22"/>
      <c r="R6" s="22"/>
      <c r="V6" s="3" t="s">
        <v>94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28</v>
      </c>
      <c r="AD6" s="54" t="s">
        <v>26</v>
      </c>
      <c r="AE6" s="54" t="s">
        <v>27</v>
      </c>
    </row>
    <row r="7" spans="1:37" x14ac:dyDescent="0.2">
      <c r="B7" s="61"/>
      <c r="C7" s="61"/>
      <c r="D7" s="61" t="s">
        <v>156</v>
      </c>
      <c r="E7" s="61"/>
      <c r="F7" s="61" t="s">
        <v>157</v>
      </c>
      <c r="G7" s="62" t="s">
        <v>26</v>
      </c>
      <c r="H7" s="61"/>
      <c r="I7" s="61" t="s">
        <v>158</v>
      </c>
      <c r="J7" s="62" t="s">
        <v>27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26</v>
      </c>
      <c r="P7" s="62" t="str">
        <f>+I7</f>
        <v>Real 2021</v>
      </c>
      <c r="Q7" s="62"/>
      <c r="R7" s="62" t="s">
        <v>27</v>
      </c>
      <c r="V7" s="3" t="str">
        <f>+'COLOMB$ '!T4</f>
        <v xml:space="preserve">Flujo de Caja </v>
      </c>
      <c r="W7" s="54" t="s">
        <v>30</v>
      </c>
      <c r="X7" s="54" t="s">
        <v>30</v>
      </c>
      <c r="Y7" s="54" t="s">
        <v>30</v>
      </c>
      <c r="Z7" s="2" t="s">
        <v>159</v>
      </c>
      <c r="AC7" s="54" t="s">
        <v>30</v>
      </c>
      <c r="AD7" s="54" t="s">
        <v>32</v>
      </c>
      <c r="AE7" s="54" t="s">
        <v>32</v>
      </c>
    </row>
    <row r="8" spans="1:37" ht="13.5" thickBot="1" x14ac:dyDescent="0.25">
      <c r="B8" s="65" t="s">
        <v>29</v>
      </c>
      <c r="C8" s="66" t="s">
        <v>30</v>
      </c>
      <c r="D8" s="66" t="s">
        <v>31</v>
      </c>
      <c r="E8" s="66" t="s">
        <v>30</v>
      </c>
      <c r="F8" s="66" t="s">
        <v>31</v>
      </c>
      <c r="G8" s="66" t="s">
        <v>32</v>
      </c>
      <c r="H8" s="66" t="s">
        <v>30</v>
      </c>
      <c r="I8" s="66" t="s">
        <v>31</v>
      </c>
      <c r="J8" s="66" t="s">
        <v>32</v>
      </c>
      <c r="K8" s="66" t="s">
        <v>30</v>
      </c>
      <c r="L8" s="66" t="s">
        <v>31</v>
      </c>
      <c r="M8" s="66" t="s">
        <v>30</v>
      </c>
      <c r="N8" s="66" t="s">
        <v>31</v>
      </c>
      <c r="O8" s="66" t="s">
        <v>32</v>
      </c>
      <c r="P8" s="66" t="s">
        <v>30</v>
      </c>
      <c r="Q8" s="66" t="s">
        <v>31</v>
      </c>
      <c r="R8" s="66" t="s">
        <v>32</v>
      </c>
      <c r="V8" s="3" t="s">
        <v>33</v>
      </c>
      <c r="W8" s="33">
        <f>'COLOMBIA USD'!W10+'EL SALVADOR USD'!V10+'VENEZUELA USD'!W9+'PANAMA USD'!U10</f>
        <v>30925.654330690799</v>
      </c>
      <c r="X8" s="33">
        <f>'COLOMBIA USD'!Y10+'EL SALVADOR USD'!X10+'VENEZUELA USD'!X9+'PANAMA USD'!W10</f>
        <v>59857.41234677146</v>
      </c>
      <c r="Y8" s="33">
        <f>'COLOMBIA USD'!X10+'EL SALVADOR USD'!W10+'VENEZUELA USD'!Y9+'PANAMA USD'!V10</f>
        <v>37759.564400713643</v>
      </c>
      <c r="Z8" s="33">
        <f>'COLOMBIA USD'!Z10+'EL SALVADOR USD'!Y10+'VENEZUELA USD'!Z9+'PANAMA USD'!X10</f>
        <v>17024.654330690802</v>
      </c>
      <c r="AA8" s="33">
        <f>'COLOMBIA USD'!AD10+'EL SALVADOR USD'!AC10+'VENEZUELA USD'!AA9+'PANAMA USD'!AB10</f>
        <v>57610.002346771464</v>
      </c>
      <c r="AB8" s="33">
        <f>'COLOMBIA USD'!AA10+'EL SALVADOR USD'!Z10+'VENEZUELA USD'!AB9+'PANAMA USD'!Y10</f>
        <v>31397.314400713643</v>
      </c>
      <c r="AC8" s="63">
        <f>+AB8-Z8</f>
        <v>14372.660070022841</v>
      </c>
      <c r="AD8" s="68">
        <f>IF(Z8=0,"",(AB8-Z8)/ABS(Z8)+1)</f>
        <v>1.8442262492292052</v>
      </c>
      <c r="AE8" s="68">
        <f>IF(X8=0,"",(AB8-AA8)/ABS(AA8))</f>
        <v>-0.45500237594638482</v>
      </c>
      <c r="AF8" s="55"/>
      <c r="AG8" s="55">
        <f>+'COLOMBIA USD'!Y10+'EL SALVADOR USD'!X10+'VENEZUELA USD'!X9+'PANAMA USD'!W10</f>
        <v>59857.41234677146</v>
      </c>
      <c r="AH8" s="55">
        <f>+'COLOMBIA USD'!X10+'EL SALVADOR USD'!W10+'VENEZUELA USD'!Y9+'PANAMA USD'!V10</f>
        <v>37759.564400713643</v>
      </c>
      <c r="AI8" s="55">
        <f>+'COLOMBIA USD'!Z10+'EL SALVADOR USD'!Y10+'VENEZUELA USD'!Z9+'PANAMA USD'!X10</f>
        <v>17024.654330690802</v>
      </c>
      <c r="AJ8" s="55">
        <f>+'COLOMBIA USD'!AD10+'EL SALVADOR USD'!AC10+'VENEZUELA USD'!AA9+'PANAMA USD'!AB10</f>
        <v>57610.002346771464</v>
      </c>
      <c r="AK8" s="55">
        <f>+'COLOMBIA USD'!AA10+'EL SALVADOR USD'!Z10+'VENEZUELA USD'!AB9+'PANAMA USD'!Y10</f>
        <v>31397.314400713643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34</v>
      </c>
      <c r="W9" s="33">
        <f>'COLOMBIA USD'!W11+'EL SALVADOR USD'!V11+'VENEZUELA USD'!W10+'PANAMA USD'!U11</f>
        <v>238420.3718825012</v>
      </c>
      <c r="X9" s="33">
        <f>'COLOMBIA USD'!Y11+'EL SALVADOR USD'!X11+'VENEZUELA USD'!X10+'PANAMA USD'!W11</f>
        <v>311881.27466341452</v>
      </c>
      <c r="Y9" s="33">
        <f>'COLOMBIA USD'!X11+'EL SALVADOR USD'!W11+'VENEZUELA USD'!Y10+'PANAMA USD'!V11</f>
        <v>256790.46127694074</v>
      </c>
      <c r="Z9" s="33">
        <f>'COLOMBIA USD'!Z11+'EL SALVADOR USD'!Y11+'VENEZUELA USD'!Z10+'PANAMA USD'!X11</f>
        <v>237919.72842432599</v>
      </c>
      <c r="AA9" s="33">
        <f>'COLOMBIA USD'!AD11+'EL SALVADOR USD'!AC11+'VENEZUELA USD'!AA10+'PANAMA USD'!AB11</f>
        <v>429417.53331349383</v>
      </c>
      <c r="AB9" s="33">
        <f>'COLOMBIA USD'!AA11+'EL SALVADOR USD'!Z11+'VENEZUELA USD'!AB10+'PANAMA USD'!Y11</f>
        <v>327064.82207548886</v>
      </c>
      <c r="AC9" s="63">
        <f>+AB9-Z9</f>
        <v>89145.093651162868</v>
      </c>
      <c r="AD9" s="68">
        <f>IF(Z9=0,"",(AB9-Z9)/ABS(Z9)+1)</f>
        <v>1.3746855893016741</v>
      </c>
      <c r="AE9" s="68">
        <f>IF(AA9=0,"",(AB9-AA9)/ABS(AA9))</f>
        <v>-0.23835242694499609</v>
      </c>
      <c r="AF9" s="55"/>
      <c r="AG9" s="55">
        <f>+'COLOMBIA USD'!Y11+'EL SALVADOR USD'!X11+'VENEZUELA USD'!X10+'PANAMA USD'!W11</f>
        <v>311881.27466341452</v>
      </c>
      <c r="AH9" s="55">
        <f>+'COLOMBIA USD'!X11+'EL SALVADOR USD'!W11+'VENEZUELA USD'!Y10+'PANAMA USD'!V11</f>
        <v>256790.46127694074</v>
      </c>
      <c r="AI9" s="55">
        <f>+'COLOMBIA USD'!AB11+'EL SALVADOR USD'!AA11+'VENEZUELA USD'!AC10+'PANAMA USD'!Z11</f>
        <v>59169.322642553292</v>
      </c>
      <c r="AK9" s="55">
        <f>+'COLOMBIA USD'!AA11+'EL SALVADOR USD'!Z11+'VENEZUELA USD'!AB10+'PANAMA USD'!Y11</f>
        <v>327064.82207548886</v>
      </c>
    </row>
    <row r="10" spans="1:37" x14ac:dyDescent="0.2">
      <c r="B10" s="3" t="s">
        <v>67</v>
      </c>
      <c r="C10" s="33">
        <f>+'COLOMBIA USD'!C10+'EL SALVADOR USD'!C10+'VENEZUELA USD'!C10+'PANAMA USD'!C10</f>
        <v>101578.71457248818</v>
      </c>
      <c r="D10" s="35">
        <f t="shared" ref="D10:D15" si="0">+C10/$C$20</f>
        <v>0.45722882524889402</v>
      </c>
      <c r="E10" s="33">
        <f>+'COLOMBIA USD'!E10+'EL SALVADOR USD'!E10+'VENEZUELA USD'!E10+'PANAMA USD'!E10</f>
        <v>96667.845447901258</v>
      </c>
      <c r="F10" s="35">
        <f t="shared" ref="F10:F20" si="1">+E10/$E$20</f>
        <v>0.44659523747162438</v>
      </c>
      <c r="G10" s="35">
        <f t="shared" ref="G10:G20" si="2">IF(C10=0,"",(E10-C10)/ABS(C10)+1)</f>
        <v>0.95165454548962169</v>
      </c>
      <c r="H10" s="33">
        <f>+'COLOMBIA USD'!H10+'EL SALVADOR USD'!H10+'VENEZUELA USD'!H10+'PANAMA USD'!H10</f>
        <v>126549.98629590182</v>
      </c>
      <c r="I10" s="35">
        <f t="shared" ref="I10:I18" si="3">+H10/$H$20</f>
        <v>0.46953334697219129</v>
      </c>
      <c r="J10" s="35">
        <f t="shared" ref="J10:J20" si="4">IF(H10=0,"",(E10-H10)/ABS(H10))</f>
        <v>-0.23612915119666245</v>
      </c>
      <c r="K10" s="33">
        <f>+'COLOMBIA USD'!K10+'EL SALVADOR USD'!K10+'VENEZUELA USD'!K10+'PANAMA USD'!K10</f>
        <v>101578.71457248818</v>
      </c>
      <c r="L10" s="35">
        <f t="shared" ref="L10:L46" si="5">+K10/$K$20</f>
        <v>0.45722882524889402</v>
      </c>
      <c r="M10" s="33">
        <f>+'COLOMBIA USD'!M10+'EL SALVADOR USD'!M10+'VENEZUELA USD'!M10+'PANAMA USD'!M10</f>
        <v>96667.845447901258</v>
      </c>
      <c r="N10" s="35">
        <f t="shared" ref="N10:N20" si="6">+M10/$M$20</f>
        <v>0.44659523747162438</v>
      </c>
      <c r="O10" s="35">
        <f t="shared" ref="O10:O18" si="7">IF(K10=0,"",(M10-K10)/ABS(K10)+1)</f>
        <v>0.95165454548962169</v>
      </c>
      <c r="P10" s="33">
        <f>+'COLOMBIA USD'!P10+'EL SALVADOR USD'!P10+'VENEZUELA USD'!P10+'PANAMA USD'!P10</f>
        <v>126549.98629590182</v>
      </c>
      <c r="Q10" s="35">
        <f t="shared" ref="Q10:Q46" si="8">+P10/$P$20</f>
        <v>0.49663665611768409</v>
      </c>
      <c r="R10" s="35">
        <f t="shared" ref="R10:R18" si="9">IF(P10=0,"",(M10-P10)/ABS(P10))</f>
        <v>-0.23612915119666245</v>
      </c>
      <c r="V10" s="3" t="s">
        <v>35</v>
      </c>
      <c r="W10" s="33">
        <f>'COLOMBIA USD'!W13+'EL SALVADOR USD'!V13+'VENEZUELA USD'!W11+'PANAMA USD'!U13</f>
        <v>45825.669155479918</v>
      </c>
      <c r="X10" s="33">
        <f>'COLOMBIA USD'!Y13+'EL SALVADOR USD'!X13+'VENEZUELA USD'!X11+'PANAMA USD'!W13</f>
        <v>43152.224448897789</v>
      </c>
      <c r="Y10" s="33">
        <f>'COLOMBIA USD'!X13+'EL SALVADOR USD'!W13+'VENEZUELA USD'!Y11+'PANAMA USD'!V13</f>
        <v>48530.495283399643</v>
      </c>
      <c r="Z10" s="33">
        <f>'COLOMBIA USD'!Z13+'EL SALVADOR USD'!Y13+'VENEZUELA USD'!Z11+'PANAMA USD'!X13</f>
        <v>46198.09944751094</v>
      </c>
      <c r="AA10" s="33" t="e">
        <f>'COLOMBIA USD'!AD13+'EL SALVADOR USD'!AC13+'VENEZUELA USD'!AA11+'PANAMA USD'!AB13</f>
        <v>#VALUE!</v>
      </c>
      <c r="AB10" s="33">
        <f>'COLOMBIA USD'!AA13+'EL SALVADOR USD'!Z13+'VENEZUELA USD'!AB11+'PANAMA USD'!Y13</f>
        <v>53612.582947701463</v>
      </c>
      <c r="AC10" s="63">
        <f>+Z10-AB10</f>
        <v>-7414.483500190523</v>
      </c>
      <c r="AD10" s="68">
        <f>IF(Z10=0,"",(AB10-Z10)/ABS(Z10)+1)</f>
        <v>1.1604932581396485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43152.224448897789</v>
      </c>
      <c r="AH10" s="55">
        <f>+'COLOMBIA USD'!X13+'EL SALVADOR USD'!W13+'VENEZUELA USD'!Y11+'PANAMA USD'!V13</f>
        <v>48530.495283399643</v>
      </c>
      <c r="AI10" s="55">
        <f>+'COLOMBIA USD'!AB13+'EL SALVADOR USD'!AA13+'VENEZUELA USD'!AC11+'PANAMA USD'!Z13</f>
        <v>-1971.2393307188427</v>
      </c>
      <c r="AK10" s="55">
        <f>+'COLOMBIA USD'!AA13+'EL SALVADOR USD'!Z13+'VENEZUELA USD'!AB11+'PANAMA USD'!Y13</f>
        <v>53612.582947701463</v>
      </c>
    </row>
    <row r="11" spans="1:37" x14ac:dyDescent="0.2">
      <c r="B11" s="3" t="s">
        <v>69</v>
      </c>
      <c r="C11" s="33">
        <f>+'COLOMBIA USD'!C11+'EL SALVADOR USD'!C11+'VENEZUELA USD'!C11+'PANAMA USD'!C11</f>
        <v>4451.0224218298117</v>
      </c>
      <c r="D11" s="35">
        <f t="shared" si="0"/>
        <v>2.0035061101678214E-2</v>
      </c>
      <c r="E11" s="33">
        <f>+'COLOMBIA USD'!E11+'EL SALVADOR USD'!E11+'VENEZUELA USD'!E11+'PANAMA USD'!E11</f>
        <v>1799.6195533576831</v>
      </c>
      <c r="F11" s="35">
        <f t="shared" si="1"/>
        <v>8.3140522897399705E-3</v>
      </c>
      <c r="G11" s="35">
        <f t="shared" si="2"/>
        <v>0.40431599367631599</v>
      </c>
      <c r="H11" s="33">
        <f>+'COLOMBIA USD'!H11+'EL SALVADOR USD'!H11+'VENEZUELA USD'!H11+'PANAMA USD'!H11</f>
        <v>6018.8695363701745</v>
      </c>
      <c r="I11" s="35">
        <f t="shared" si="3"/>
        <v>2.2331570639548683E-2</v>
      </c>
      <c r="J11" s="35">
        <f t="shared" si="4"/>
        <v>-0.70100372794539967</v>
      </c>
      <c r="K11" s="33">
        <f>+'COLOMBIA USD'!K11+'EL SALVADOR USD'!K11+'VENEZUELA USD'!K11+'PANAMA USD'!K11</f>
        <v>4451.0224218298117</v>
      </c>
      <c r="L11" s="35">
        <f t="shared" si="5"/>
        <v>2.0035061101678214E-2</v>
      </c>
      <c r="M11" s="33">
        <f>+'COLOMBIA USD'!M11+'EL SALVADOR USD'!M11+'VENEZUELA USD'!M11+'PANAMA USD'!M11</f>
        <v>1799.6195533576831</v>
      </c>
      <c r="N11" s="35">
        <f t="shared" si="6"/>
        <v>8.3140522897399705E-3</v>
      </c>
      <c r="O11" s="35">
        <f t="shared" si="7"/>
        <v>0.40431599367631599</v>
      </c>
      <c r="P11" s="33">
        <f>+'COLOMBIA USD'!P11+'EL SALVADOR USD'!P11+'VENEZUELA USD'!P11+'PANAMA USD'!P11</f>
        <v>6018.8695363701745</v>
      </c>
      <c r="Q11" s="35">
        <f t="shared" si="8"/>
        <v>2.3620636616760192E-2</v>
      </c>
      <c r="R11" s="35">
        <f t="shared" si="9"/>
        <v>-0.70100372794539967</v>
      </c>
      <c r="V11" s="3" t="s">
        <v>36</v>
      </c>
      <c r="W11" s="33">
        <f>'COLOMBIA USD'!W14+'EL SALVADOR USD'!V14+'VENEZUELA USD'!W12+'PANAMA USD'!U14</f>
        <v>2084.8897054653921</v>
      </c>
      <c r="X11" s="33">
        <f>'COLOMBIA USD'!Y14+'EL SALVADOR USD'!X14+'VENEZUELA USD'!X12+'PANAMA USD'!W14</f>
        <v>4978.1258621138386</v>
      </c>
      <c r="Y11" s="33">
        <f>'COLOMBIA USD'!X14+'EL SALVADOR USD'!W14+'VENEZUELA USD'!Y12+'PANAMA USD'!V14</f>
        <v>2192.3424057320453</v>
      </c>
      <c r="Z11" s="33">
        <f>'COLOMBIA USD'!Z14+'EL SALVADOR USD'!Y14+'VENEZUELA USD'!Z12+'PANAMA USD'!X14</f>
        <v>2084.8897054653921</v>
      </c>
      <c r="AA11" s="33">
        <f>'COLOMBIA USD'!AD14+'EL SALVADOR USD'!AC14+'VENEZUELA USD'!AA12+'PANAMA USD'!AB14</f>
        <v>4978.1258621138386</v>
      </c>
      <c r="AB11" s="33">
        <f>'COLOMBIA USD'!AA14+'EL SALVADOR USD'!Z14+'VENEZUELA USD'!AB12+'PANAMA USD'!Y14</f>
        <v>2192.3424057320453</v>
      </c>
      <c r="AC11" s="63">
        <f>+Z11-AB11</f>
        <v>-107.45270026665321</v>
      </c>
      <c r="AD11" s="68">
        <f t="shared" ref="AD11:AD22" si="11">IF(Z11=0,"",(AB11-Z11)/ABS(Z11)+1)</f>
        <v>1.0515387936277749</v>
      </c>
      <c r="AE11" s="68">
        <f t="shared" si="10"/>
        <v>-0.55960486607682491</v>
      </c>
      <c r="AF11" s="55"/>
      <c r="AG11" s="55">
        <f>+'COLOMBIA USD'!Y14+'EL SALVADOR USD'!X14+'VENEZUELA USD'!X12+'PANAMA USD'!W14</f>
        <v>4978.1258621138386</v>
      </c>
      <c r="AH11" s="55">
        <f>+'COLOMBIA USD'!X14+'EL SALVADOR USD'!W14+'VENEZUELA USD'!Y12+'PANAMA USD'!V14</f>
        <v>2192.3424057320453</v>
      </c>
      <c r="AI11" s="55">
        <f>+'COLOMBIA USD'!AB14+'EL SALVADOR USD'!AA14+'VENEZUELA USD'!AC12+'PANAMA USD'!Z14</f>
        <v>-107.45270026665321</v>
      </c>
      <c r="AK11" s="55">
        <f>+'COLOMBIA USD'!AA14+'EL SALVADOR USD'!Z14+'VENEZUELA USD'!AB12+'PANAMA USD'!Y14</f>
        <v>2192.3424057320453</v>
      </c>
    </row>
    <row r="12" spans="1:37" x14ac:dyDescent="0.2">
      <c r="B12" s="3" t="s">
        <v>71</v>
      </c>
      <c r="C12" s="33">
        <f>+'COLOMBIA USD'!C12+'EL SALVADOR USD'!C12+'VENEZUELA USD'!C12+'PANAMA USD'!C12</f>
        <v>20053.757953114899</v>
      </c>
      <c r="D12" s="35">
        <f t="shared" si="0"/>
        <v>9.0266511338703101E-2</v>
      </c>
      <c r="E12" s="33">
        <f>+'COLOMBIA USD'!E12+'EL SALVADOR USD'!E12+'VENEZUELA USD'!E12+'PANAMA USD'!E12</f>
        <v>18974.569059660458</v>
      </c>
      <c r="F12" s="35">
        <f t="shared" si="1"/>
        <v>8.7660505267884561E-2</v>
      </c>
      <c r="G12" s="35">
        <f t="shared" si="2"/>
        <v>0.94618520399131412</v>
      </c>
      <c r="H12" s="33">
        <f>+'COLOMBIA USD'!H12+'EL SALVADOR USD'!H12+'VENEZUELA USD'!H12+'PANAMA USD'!H12</f>
        <v>19426.782448994643</v>
      </c>
      <c r="I12" s="35">
        <f t="shared" si="3"/>
        <v>7.2078413053707838E-2</v>
      </c>
      <c r="J12" s="35">
        <f t="shared" si="4"/>
        <v>-2.3277832575799896E-2</v>
      </c>
      <c r="K12" s="33">
        <f>+'COLOMBIA USD'!K12+'EL SALVADOR USD'!K12+'VENEZUELA USD'!K12+'PANAMA USD'!K12</f>
        <v>20053.757953114899</v>
      </c>
      <c r="L12" s="35">
        <f t="shared" si="5"/>
        <v>9.0266511338703101E-2</v>
      </c>
      <c r="M12" s="33">
        <f>+'COLOMBIA USD'!M12+'EL SALVADOR USD'!M12+'VENEZUELA USD'!M12+'PANAMA USD'!M12</f>
        <v>18974.569059660458</v>
      </c>
      <c r="N12" s="35">
        <f t="shared" si="6"/>
        <v>8.7660505267884561E-2</v>
      </c>
      <c r="O12" s="35">
        <f t="shared" si="7"/>
        <v>0.94618520399131412</v>
      </c>
      <c r="P12" s="33">
        <f>+'COLOMBIA USD'!P12+'EL SALVADOR USD'!P12+'VENEZUELA USD'!P12+'PANAMA USD'!P12</f>
        <v>19426.782448994643</v>
      </c>
      <c r="Q12" s="35">
        <f t="shared" si="8"/>
        <v>7.6239062183974762E-2</v>
      </c>
      <c r="R12" s="35">
        <f t="shared" si="9"/>
        <v>-2.3277832575799896E-2</v>
      </c>
      <c r="V12" s="3" t="s">
        <v>37</v>
      </c>
      <c r="W12" s="33">
        <f>'COLOMBIA USD'!W15+'EL SALVADOR USD'!V15+'VENEZUELA USD'!W13+'PANAMA USD'!U15</f>
        <v>135727.77721071077</v>
      </c>
      <c r="X12" s="33">
        <f>'COLOMBIA USD'!Y15+'EL SALVADOR USD'!X15+'VENEZUELA USD'!X13+'PANAMA USD'!W15</f>
        <v>139582.74329698359</v>
      </c>
      <c r="Y12" s="33">
        <f>'COLOMBIA USD'!X15+'EL SALVADOR USD'!W15+'VENEZUELA USD'!Y13+'PANAMA USD'!V15</f>
        <v>146259.92310993021</v>
      </c>
      <c r="Z12" s="33">
        <f>'COLOMBIA USD'!Z15+'EL SALVADOR USD'!Y15+'VENEZUELA USD'!Z13+'PANAMA USD'!X15</f>
        <v>135727.77721071077</v>
      </c>
      <c r="AA12" s="33" t="e">
        <f>'COLOMBIA USD'!AD15+'EL SALVADOR USD'!AC15+'VENEZUELA USD'!AA13+'PANAMA USD'!AB15</f>
        <v>#VALUE!</v>
      </c>
      <c r="AB12" s="33">
        <f>'COLOMBIA USD'!AA15+'EL SALVADOR USD'!Z15+'VENEZUELA USD'!AB13+'PANAMA USD'!Y15</f>
        <v>183875.02310993022</v>
      </c>
      <c r="AC12" s="63">
        <f>+Z12-AB12</f>
        <v>-48147.245899219444</v>
      </c>
      <c r="AD12" s="68">
        <f t="shared" si="11"/>
        <v>1.3547339158474037</v>
      </c>
      <c r="AE12" s="68" t="e">
        <f t="shared" si="10"/>
        <v>#VALUE!</v>
      </c>
      <c r="AF12" s="55"/>
      <c r="AG12" s="55">
        <f>+'COLOMBIA USD'!Y15+'EL SALVADOR USD'!X15+'VENEZUELA USD'!X13+'PANAMA USD'!W15</f>
        <v>139582.74329698359</v>
      </c>
      <c r="AH12" s="55">
        <f>+'COLOMBIA USD'!X15+'EL SALVADOR USD'!W15+'VENEZUELA USD'!Y13+'PANAMA USD'!V15</f>
        <v>146259.92310993021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183875.02310993022</v>
      </c>
    </row>
    <row r="13" spans="1:37" x14ac:dyDescent="0.2">
      <c r="B13" s="3" t="s">
        <v>74</v>
      </c>
      <c r="C13" s="33">
        <f>+'COLOMBIA USD'!C13+'EL SALVADOR USD'!C13+'VENEZUELA USD'!C13+'PANAMA USD'!C13</f>
        <v>9432.5927438104627</v>
      </c>
      <c r="D13" s="35">
        <f t="shared" si="0"/>
        <v>4.2458238593145209E-2</v>
      </c>
      <c r="E13" s="33">
        <f>+'COLOMBIA USD'!E13+'EL SALVADOR USD'!E13+'VENEZUELA USD'!E13+'PANAMA USD'!E13</f>
        <v>15213.300910897136</v>
      </c>
      <c r="F13" s="35">
        <f t="shared" si="1"/>
        <v>7.0283843625035439E-2</v>
      </c>
      <c r="G13" s="35">
        <f t="shared" si="2"/>
        <v>1.6128440317620938</v>
      </c>
      <c r="H13" s="33">
        <f>+'COLOMBIA USD'!H13+'EL SALVADOR USD'!H13+'VENEZUELA USD'!H13+'PANAMA USD'!H13</f>
        <v>23916.37229597542</v>
      </c>
      <c r="I13" s="35">
        <f t="shared" si="3"/>
        <v>8.8735958495524431E-2</v>
      </c>
      <c r="J13" s="35">
        <f t="shared" si="4"/>
        <v>-0.36389596538195768</v>
      </c>
      <c r="K13" s="33">
        <f>+'COLOMBIA USD'!K13+'EL SALVADOR USD'!K13+'VENEZUELA USD'!K13+'PANAMA USD'!K13</f>
        <v>9432.5927438104627</v>
      </c>
      <c r="L13" s="35">
        <f t="shared" si="5"/>
        <v>4.2458238593145209E-2</v>
      </c>
      <c r="M13" s="33">
        <f>+'COLOMBIA USD'!M13+'EL SALVADOR USD'!M13+'VENEZUELA USD'!M13+'PANAMA USD'!M13</f>
        <v>15213.300910897136</v>
      </c>
      <c r="N13" s="35">
        <f t="shared" si="6"/>
        <v>7.0283843625035439E-2</v>
      </c>
      <c r="O13" s="35">
        <f t="shared" si="7"/>
        <v>1.6128440317620938</v>
      </c>
      <c r="P13" s="33">
        <f>+'COLOMBIA USD'!P13+'EL SALVADOR USD'!P13+'VENEZUELA USD'!P13+'PANAMA USD'!P13</f>
        <v>23916.37229597542</v>
      </c>
      <c r="Q13" s="35">
        <f t="shared" si="8"/>
        <v>9.38581465806409E-2</v>
      </c>
      <c r="R13" s="35">
        <f t="shared" si="9"/>
        <v>-0.36389596538195768</v>
      </c>
      <c r="V13" s="3" t="s">
        <v>38</v>
      </c>
      <c r="W13" s="33">
        <f>'COLOMBIA USD'!W16+'EL SALVADOR USD'!V16+'VENEZUELA USD'!W14+'PANAMA USD'!U16</f>
        <v>35875.435920293065</v>
      </c>
      <c r="X13" s="33">
        <f>'COLOMBIA USD'!Y16+'EL SALVADOR USD'!X16+'VENEZUELA USD'!X14+'PANAMA USD'!W16</f>
        <v>75955.963105431641</v>
      </c>
      <c r="Y13" s="33">
        <f>'COLOMBIA USD'!X16+'EL SALVADOR USD'!W16+'VENEZUELA USD'!Y14+'PANAMA USD'!V16</f>
        <v>40337.712608495509</v>
      </c>
      <c r="Z13" s="33">
        <f>'COLOMBIA USD'!Z16+'EL SALVADOR USD'!Y16+'VENEZUELA USD'!Z14+'PANAMA USD'!X16</f>
        <v>35875.435920293065</v>
      </c>
      <c r="AA13" s="33" t="e">
        <f>'COLOMBIA USD'!AD16+'EL SALVADOR USD'!AC16+'VENEZUELA USD'!AA14+'PANAMA USD'!AB16</f>
        <v>#VALUE!</v>
      </c>
      <c r="AB13" s="33">
        <f>'COLOMBIA USD'!AA16+'EL SALVADOR USD'!Z16+'VENEZUELA USD'!AB14+'PANAMA USD'!Y16</f>
        <v>56005.412608495506</v>
      </c>
      <c r="AC13" s="63">
        <f>+Z13-AB13</f>
        <v>-20129.976688202441</v>
      </c>
      <c r="AD13" s="68">
        <f t="shared" si="11"/>
        <v>1.5611075147052318</v>
      </c>
      <c r="AE13" s="68" t="e">
        <f t="shared" si="10"/>
        <v>#VALUE!</v>
      </c>
      <c r="AF13" s="55"/>
      <c r="AG13" s="55">
        <f>+'COLOMBIA USD'!Y16+'EL SALVADOR USD'!X16+'VENEZUELA USD'!X14+'PANAMA USD'!W16</f>
        <v>75955.963105431641</v>
      </c>
      <c r="AH13" s="55">
        <f>+'COLOMBIA USD'!X16+'EL SALVADOR USD'!W16+'VENEZUELA USD'!Y14+'PANAMA USD'!V16</f>
        <v>40337.712608495509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56005.412608495506</v>
      </c>
    </row>
    <row r="14" spans="1:37" x14ac:dyDescent="0.2">
      <c r="B14" s="3" t="s">
        <v>75</v>
      </c>
      <c r="C14" s="33">
        <f>+'COLOMBIA USD'!C14+'EL SALVADOR USD'!C14+'VENEZUELA USD'!C14+'PANAMA USD'!C14</f>
        <v>0</v>
      </c>
      <c r="D14" s="35">
        <f t="shared" si="0"/>
        <v>0</v>
      </c>
      <c r="E14" s="33">
        <f>+'COLOMBIA USD'!E14+'EL SALVADOR USD'!E14+'VENEZUELA USD'!E14+'PANAMA USD'!E14</f>
        <v>0</v>
      </c>
      <c r="F14" s="35">
        <f t="shared" si="1"/>
        <v>0</v>
      </c>
      <c r="G14" s="35" t="str">
        <f t="shared" si="2"/>
        <v/>
      </c>
      <c r="H14" s="33">
        <f>+'COLOMBIA USD'!H14+'EL SALVADOR USD'!H14+'VENEZUELA USD'!H14+'PANAMA USD'!H14</f>
        <v>0</v>
      </c>
      <c r="I14" s="35">
        <f t="shared" si="3"/>
        <v>0</v>
      </c>
      <c r="J14" s="35" t="str">
        <f t="shared" si="4"/>
        <v/>
      </c>
      <c r="K14" s="33">
        <f>+'COLOMBIA USD'!K14+'EL SALVADOR USD'!K14+'VENEZUELA USD'!K14+'PANAMA USD'!K14</f>
        <v>0</v>
      </c>
      <c r="L14" s="35">
        <f t="shared" si="5"/>
        <v>0</v>
      </c>
      <c r="M14" s="33">
        <f>+'COLOMBIA USD'!M14+'EL SALVADOR USD'!M14+'VENEZUELA USD'!M14+'PANAMA USD'!M14</f>
        <v>0</v>
      </c>
      <c r="N14" s="35">
        <f t="shared" si="6"/>
        <v>0</v>
      </c>
      <c r="O14" s="35" t="str">
        <f t="shared" si="7"/>
        <v/>
      </c>
      <c r="P14" s="33">
        <f>+'COLOMBIA USD'!P14+'EL SALVADOR USD'!P14+'VENEZUELA USD'!P14+'PANAMA USD'!P14</f>
        <v>0</v>
      </c>
      <c r="Q14" s="35">
        <f t="shared" si="8"/>
        <v>0</v>
      </c>
      <c r="R14" s="35" t="str">
        <f t="shared" si="9"/>
        <v/>
      </c>
      <c r="V14" s="3" t="s">
        <v>39</v>
      </c>
      <c r="W14" s="33">
        <f>SUM(W10:W13)</f>
        <v>219513.77199194915</v>
      </c>
      <c r="X14" s="33">
        <f>SUM(X10:X13)</f>
        <v>263669.05671342683</v>
      </c>
      <c r="Y14" s="33">
        <f>SUM(Y10:Y13)</f>
        <v>237320.47340755741</v>
      </c>
      <c r="Z14" s="33">
        <f>'COLOMBIA USD'!Z17+'EL SALVADOR USD'!Y17+'VENEZUELA USD'!Z15+'PANAMA USD'!X17</f>
        <v>218595.59017376736</v>
      </c>
      <c r="AA14" s="33" t="e">
        <f>'COLOMBIA USD'!AD17+'EL SALVADOR USD'!AC17+'VENEZUELA USD'!AA15+'PANAMA USD'!AB17</f>
        <v>#VALUE!</v>
      </c>
      <c r="AB14" s="33">
        <f>'COLOMBIA USD'!AA17+'EL SALVADOR USD'!Z17+'VENEZUELA USD'!AB15+'PANAMA USD'!Y17</f>
        <v>291912.58155252796</v>
      </c>
      <c r="AC14" s="63">
        <f>+AB14-Z14</f>
        <v>73316.991378760606</v>
      </c>
      <c r="AD14" s="68">
        <f t="shared" si="11"/>
        <v>1.3354001392273238</v>
      </c>
      <c r="AE14" s="68" t="e">
        <f t="shared" si="10"/>
        <v>#VALUE!</v>
      </c>
      <c r="AF14" s="55"/>
      <c r="AG14" s="55">
        <f>+'COLOMBIA USD'!Y17+'EL SALVADOR USD'!X17+'VENEZUELA USD'!X15+'PANAMA USD'!W17</f>
        <v>263669.05671342683</v>
      </c>
      <c r="AH14" s="55">
        <f>+'COLOMBIA USD'!X17+'EL SALVADOR USD'!W17+'VENEZUELA USD'!Y15+'PANAMA USD'!V17</f>
        <v>236725.18660119979</v>
      </c>
      <c r="AI14" s="55">
        <f>+'COLOMBIA USD'!AB17+'EL SALVADOR USD'!AA17+'VENEZUELA USD'!AC15+'PANAMA USD'!Z17</f>
        <v>45385.025485427905</v>
      </c>
      <c r="AK14" s="55">
        <f>+'COLOMBIA USD'!AA17+'EL SALVADOR USD'!Z17+'VENEZUELA USD'!AB15+'PANAMA USD'!Y17</f>
        <v>291912.58155252796</v>
      </c>
    </row>
    <row r="15" spans="1:37" x14ac:dyDescent="0.2">
      <c r="B15" s="3" t="s">
        <v>77</v>
      </c>
      <c r="C15" s="33">
        <f>+'COLOMBIA USD'!C15+'EL SALVADOR USD'!C15+'VENEZUELA USD'!C15+'PANAMA USD'!C15</f>
        <v>31656.175926871041</v>
      </c>
      <c r="D15" s="35">
        <f t="shared" si="0"/>
        <v>0.1424916252566536</v>
      </c>
      <c r="E15" s="33">
        <f>+'COLOMBIA USD'!E15+'EL SALVADOR USD'!E15+'VENEZUELA USD'!E15+'PANAMA USD'!E15</f>
        <v>31950.569682492714</v>
      </c>
      <c r="F15" s="35">
        <f t="shared" si="1"/>
        <v>0.1476082578296081</v>
      </c>
      <c r="G15" s="35">
        <f t="shared" si="2"/>
        <v>1.0092997257881606</v>
      </c>
      <c r="H15" s="33">
        <f>+'COLOMBIA USD'!H15+'EL SALVADOR USD'!H15+'VENEZUELA USD'!H15+'PANAMA USD'!H15</f>
        <v>39378.776685962148</v>
      </c>
      <c r="I15" s="35">
        <f t="shared" si="3"/>
        <v>0.14610549837435319</v>
      </c>
      <c r="J15" s="35">
        <f t="shared" si="4"/>
        <v>-0.18863478321604288</v>
      </c>
      <c r="K15" s="33">
        <f>+'COLOMBIA USD'!K15+'EL SALVADOR USD'!K15+'VENEZUELA USD'!K15+'PANAMA USD'!K15</f>
        <v>31656.175926871041</v>
      </c>
      <c r="L15" s="35">
        <f t="shared" si="5"/>
        <v>0.1424916252566536</v>
      </c>
      <c r="M15" s="33">
        <f>+'COLOMBIA USD'!M15+'EL SALVADOR USD'!M15+'VENEZUELA USD'!M15+'PANAMA USD'!M15</f>
        <v>31950.569682492714</v>
      </c>
      <c r="N15" s="35">
        <f t="shared" si="6"/>
        <v>0.1476082578296081</v>
      </c>
      <c r="O15" s="35">
        <f t="shared" si="7"/>
        <v>1.0092997257881606</v>
      </c>
      <c r="P15" s="33">
        <f>+'COLOMBIA USD'!P15+'EL SALVADOR USD'!P15+'VENEZUELA USD'!P15+'PANAMA USD'!P15</f>
        <v>39378.776685962148</v>
      </c>
      <c r="Q15" s="35">
        <f t="shared" si="8"/>
        <v>0.15453928165264913</v>
      </c>
      <c r="R15" s="35">
        <f t="shared" si="9"/>
        <v>-0.18863478321604288</v>
      </c>
      <c r="V15" s="3" t="s">
        <v>40</v>
      </c>
      <c r="W15" s="33">
        <f>W9-W14</f>
        <v>18906.599890552054</v>
      </c>
      <c r="X15" s="33">
        <f>X9-X14</f>
        <v>48212.21794998768</v>
      </c>
      <c r="Y15" s="33">
        <f t="shared" ref="Y15:AB15" si="12">Y9-Y14</f>
        <v>19469.987869383331</v>
      </c>
      <c r="Z15" s="33">
        <f t="shared" si="12"/>
        <v>19324.138250558637</v>
      </c>
      <c r="AA15" s="33" t="e">
        <f>AA9-AA14</f>
        <v>#VALUE!</v>
      </c>
      <c r="AB15" s="33">
        <f t="shared" si="12"/>
        <v>35152.240522960899</v>
      </c>
      <c r="AC15" s="63">
        <f>+AB15-Z15</f>
        <v>15828.102272402262</v>
      </c>
      <c r="AD15" s="68">
        <f t="shared" si="11"/>
        <v>1.819084508047581</v>
      </c>
      <c r="AE15" s="68" t="e">
        <f t="shared" si="10"/>
        <v>#VALUE!</v>
      </c>
      <c r="AF15" s="55"/>
      <c r="AG15" s="55">
        <f>+'COLOMBIA USD'!Y19+'EL SALVADOR USD'!X19+'VENEZUELA USD'!X16+'PANAMA USD'!W19</f>
        <v>47561.467248783294</v>
      </c>
      <c r="AH15" s="55">
        <f>+'COLOMBIA USD'!X19+'EL SALVADOR USD'!W19+'VENEZUELA USD'!Y16+'PANAMA USD'!V19</f>
        <v>20207.459683715435</v>
      </c>
      <c r="AI15" s="55">
        <f>+'COLOMBIA USD'!AB19+'EL SALVADOR USD'!AA19+'VENEZUELA USD'!AC16+'PANAMA USD'!Z19</f>
        <v>13782.677806606209</v>
      </c>
      <c r="AK15" s="55">
        <f>+'COLOMBIA USD'!AA19+'EL SALVADOR USD'!Z19+'VENEZUELA USD'!AB16+'PANAMA USD'!Y19</f>
        <v>39412.431360556438</v>
      </c>
    </row>
    <row r="16" spans="1:37" x14ac:dyDescent="0.2">
      <c r="B16" s="3" t="s">
        <v>78</v>
      </c>
      <c r="C16" s="33">
        <f>+'COLOMBIA USD'!C16+'EL SALVADOR USD'!C16+'VENEZUELA USD'!C16+'PANAMA USD'!C16</f>
        <v>0</v>
      </c>
      <c r="D16" s="35"/>
      <c r="E16" s="33">
        <f>+'COLOMBIA USD'!E16+'EL SALVADOR USD'!E16+'VENEZUELA USD'!E16+'PANAMA USD'!E16</f>
        <v>0</v>
      </c>
      <c r="F16" s="35">
        <f t="shared" si="1"/>
        <v>0</v>
      </c>
      <c r="G16" s="35" t="str">
        <f t="shared" si="2"/>
        <v/>
      </c>
      <c r="H16" s="33">
        <f>+'COLOMBIA USD'!H16+'EL SALVADOR USD'!H16+'VENEZUELA USD'!H16+'PANAMA USD'!H16</f>
        <v>0</v>
      </c>
      <c r="I16" s="35">
        <f t="shared" si="3"/>
        <v>0</v>
      </c>
      <c r="J16" s="35" t="str">
        <f t="shared" si="4"/>
        <v/>
      </c>
      <c r="K16" s="33">
        <f>+'COLOMBIA USD'!K16+'EL SALVADOR USD'!K16+'VENEZUELA USD'!K16+'PANAMA USD'!K16</f>
        <v>0</v>
      </c>
      <c r="L16" s="35">
        <f t="shared" si="5"/>
        <v>0</v>
      </c>
      <c r="M16" s="33">
        <f>+'COLOMBIA USD'!M16+'EL SALVADOR USD'!M16+'VENEZUELA USD'!M16+'PANAMA USD'!M16</f>
        <v>0</v>
      </c>
      <c r="N16" s="35">
        <f t="shared" si="6"/>
        <v>0</v>
      </c>
      <c r="O16" s="35" t="str">
        <f t="shared" si="7"/>
        <v/>
      </c>
      <c r="P16" s="33">
        <f>+'COLOMBIA USD'!P16+'EL SALVADOR USD'!P16+'VENEZUELA USD'!P16+'PANAMA USD'!P16</f>
        <v>0</v>
      </c>
      <c r="Q16" s="35">
        <f t="shared" si="8"/>
        <v>0</v>
      </c>
      <c r="R16" s="35" t="str">
        <f t="shared" si="9"/>
        <v/>
      </c>
      <c r="V16" s="3"/>
      <c r="W16" s="33"/>
      <c r="X16" s="33"/>
      <c r="Y16" s="33"/>
      <c r="Z16" s="33"/>
      <c r="AA16" s="33"/>
      <c r="AB16" s="33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80</v>
      </c>
      <c r="C17" s="33">
        <f>+'COLOMBIA USD'!C17+'EL SALVADOR USD'!C17+'VENEZUELA USD'!C17+'PANAMA USD'!C17</f>
        <v>3140.1903076905633</v>
      </c>
      <c r="D17" s="35">
        <f>+C17/$C$20</f>
        <v>1.4134708550763556E-2</v>
      </c>
      <c r="E17" s="33">
        <f>+'COLOMBIA USD'!E17+'EL SALVADOR USD'!E17+'VENEZUELA USD'!E17+'PANAMA USD'!E17</f>
        <v>3879.4982552467818</v>
      </c>
      <c r="F17" s="35">
        <f t="shared" si="1"/>
        <v>1.7922872249247015E-2</v>
      </c>
      <c r="G17" s="35">
        <f t="shared" si="2"/>
        <v>1.235434121857391</v>
      </c>
      <c r="H17" s="33">
        <f>+'COLOMBIA USD'!H17+'EL SALVADOR USD'!H17+'VENEZUELA USD'!H17+'PANAMA USD'!H17</f>
        <v>3344.0777659214532</v>
      </c>
      <c r="I17" s="35">
        <f t="shared" si="3"/>
        <v>1.2407397834852518E-2</v>
      </c>
      <c r="J17" s="35">
        <f t="shared" si="4"/>
        <v>0.16011005927602723</v>
      </c>
      <c r="K17" s="33">
        <f>+'COLOMBIA USD'!K17+'EL SALVADOR USD'!K17+'VENEZUELA USD'!K17+'PANAMA USD'!K17</f>
        <v>3140.1903076905633</v>
      </c>
      <c r="L17" s="35">
        <f t="shared" si="5"/>
        <v>1.4134708550763556E-2</v>
      </c>
      <c r="M17" s="33">
        <f>+'COLOMBIA USD'!M17+'EL SALVADOR USD'!M17+'VENEZUELA USD'!M17+'PANAMA USD'!M17</f>
        <v>3879.4982552467818</v>
      </c>
      <c r="N17" s="35">
        <f t="shared" si="6"/>
        <v>1.7922872249247015E-2</v>
      </c>
      <c r="O17" s="35">
        <f t="shared" si="7"/>
        <v>1.235434121857391</v>
      </c>
      <c r="P17" s="33">
        <f>+'COLOMBIA USD'!P17+'EL SALVADOR USD'!P17+'VENEZUELA USD'!P17+'PANAMA USD'!P17</f>
        <v>3344.0777659214532</v>
      </c>
      <c r="Q17" s="35">
        <f t="shared" si="8"/>
        <v>1.3123601574965234E-2</v>
      </c>
      <c r="R17" s="35">
        <f t="shared" si="9"/>
        <v>0.16011005927602723</v>
      </c>
      <c r="V17" s="3"/>
      <c r="W17" s="33"/>
      <c r="X17" s="33"/>
      <c r="Y17" s="33"/>
      <c r="Z17" s="33"/>
      <c r="AA17" s="33"/>
      <c r="AB17" s="33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82</v>
      </c>
      <c r="C18" s="33">
        <f>+'COLOMBIA USD'!C18+'EL SALVADOR USD'!C18+'VENEZUELA USD'!C18+'PANAMA USD'!C18</f>
        <v>51849.205539110611</v>
      </c>
      <c r="D18" s="42">
        <f t="shared" ref="D18:D46" si="13">+C18/$C$20</f>
        <v>0.2333850299101623</v>
      </c>
      <c r="E18" s="33">
        <f>+'COLOMBIA USD'!E18+'EL SALVADOR USD'!E18+'VENEZUELA USD'!E18+'PANAMA USD'!E18</f>
        <v>47969.761268148177</v>
      </c>
      <c r="F18" s="35">
        <f t="shared" si="1"/>
        <v>0.22161523126686047</v>
      </c>
      <c r="G18" s="42">
        <f t="shared" si="2"/>
        <v>0.92517832760164254</v>
      </c>
      <c r="H18" s="33">
        <f>+'COLOMBIA USD'!H18+'EL SALVADOR USD'!H18+'VENEZUELA USD'!H18+'PANAMA USD'!H18</f>
        <v>36179.161960284197</v>
      </c>
      <c r="I18" s="35">
        <f t="shared" si="3"/>
        <v>0.13423409597327898</v>
      </c>
      <c r="J18" s="42">
        <f t="shared" si="4"/>
        <v>0.32589476010547597</v>
      </c>
      <c r="K18" s="33">
        <f>+'COLOMBIA USD'!K18+'EL SALVADOR USD'!K18+'VENEZUELA USD'!K18+'PANAMA USD'!K18</f>
        <v>51849.205539110611</v>
      </c>
      <c r="L18" s="35">
        <f t="shared" si="5"/>
        <v>0.2333850299101623</v>
      </c>
      <c r="M18" s="33">
        <f>+'COLOMBIA USD'!M18+'EL SALVADOR USD'!M18+'VENEZUELA USD'!M18+'PANAMA USD'!M18</f>
        <v>47969.761268148177</v>
      </c>
      <c r="N18" s="35">
        <f t="shared" si="6"/>
        <v>0.22161523126686047</v>
      </c>
      <c r="O18" s="35">
        <f t="shared" si="7"/>
        <v>0.92517832760164254</v>
      </c>
      <c r="P18" s="33">
        <f>+'COLOMBIA USD'!P18+'EL SALVADOR USD'!P18+'VENEZUELA USD'!P18+'PANAMA USD'!P18</f>
        <v>36179.161960284197</v>
      </c>
      <c r="Q18" s="35">
        <f t="shared" si="8"/>
        <v>0.14198261527332565</v>
      </c>
      <c r="R18" s="42">
        <f t="shared" si="9"/>
        <v>0.32589476010547597</v>
      </c>
      <c r="V18" s="3" t="s">
        <v>42</v>
      </c>
      <c r="W18" s="33">
        <f>W8+W15</f>
        <v>49832.254221242853</v>
      </c>
      <c r="X18" s="33">
        <f>'COLOMBIA USD'!Y21+'EL SALVADOR USD'!X21+'VENEZUELA USD'!X19+'PANAMA USD'!W21</f>
        <v>107418.87959555472</v>
      </c>
      <c r="Y18" s="33">
        <f t="shared" ref="Y18" si="14">Y8+Y15</f>
        <v>57229.552270096974</v>
      </c>
      <c r="Z18" s="33">
        <f>Z8+Z15</f>
        <v>36348.792581249436</v>
      </c>
      <c r="AA18" s="33" t="e">
        <f>AA8+AA15</f>
        <v>#VALUE!</v>
      </c>
      <c r="AB18" s="33">
        <f>AB8+AB15</f>
        <v>66549.554923674543</v>
      </c>
      <c r="AC18" s="63">
        <f>+AB18-Z18</f>
        <v>30200.762342425107</v>
      </c>
      <c r="AD18" s="68">
        <f t="shared" si="11"/>
        <v>1.8308601248560923</v>
      </c>
      <c r="AE18" s="68" t="e">
        <f t="shared" si="10"/>
        <v>#VALUE!</v>
      </c>
      <c r="AF18" s="55"/>
      <c r="AG18" s="55">
        <f>+'COLOMBIA USD'!Y21+'EL SALVADOR USD'!X21+'VENEZUELA USD'!X19+'PANAMA USD'!W21</f>
        <v>107418.87959555472</v>
      </c>
      <c r="AH18" s="55">
        <f>+'COLOMBIA USD'!X21+'EL SALVADOR USD'!W21+'VENEZUELA USD'!Y19+'PANAMA USD'!V21</f>
        <v>57659.594067380189</v>
      </c>
      <c r="AI18" s="55">
        <f>+'COLOMBIA USD'!AB21+'EL SALVADOR USD'!AA21+'VENEZUELA USD'!AC19+'PANAMA USD'!Z21</f>
        <v>29422.306058211769</v>
      </c>
      <c r="AK18" s="55">
        <f>+'COLOMBIA USD'!AA21+'EL SALVADOR USD'!Z21+'VENEZUELA USD'!AB19+'PANAMA USD'!Y21</f>
        <v>69169.865103512813</v>
      </c>
    </row>
    <row r="19" spans="2:37" x14ac:dyDescent="0.2">
      <c r="B19" s="3" t="s">
        <v>84</v>
      </c>
      <c r="C19" s="33">
        <f>+'COLOMBIA USD'!C19+'EL SALVADOR USD'!C19+'VENEZUELA USD'!C19+'PANAMA USD'!C19</f>
        <v>0</v>
      </c>
      <c r="D19" s="35">
        <f t="shared" si="13"/>
        <v>0</v>
      </c>
      <c r="E19" s="33">
        <f>+'COLOMBIA USD'!E19+'EL SALVADOR USD'!E19+'VENEZUELA USD'!E19+'PANAMA USD'!E19</f>
        <v>0</v>
      </c>
      <c r="F19" s="35">
        <f t="shared" si="1"/>
        <v>0</v>
      </c>
      <c r="G19" s="35" t="str">
        <f t="shared" si="2"/>
        <v/>
      </c>
      <c r="H19" s="33">
        <f>+'COLOMBIA USD'!H19+'EL SALVADOR USD'!H19+'VENEZUELA USD'!H19+'PANAMA USD'!H19</f>
        <v>14708.866564297425</v>
      </c>
      <c r="I19" s="35"/>
      <c r="J19" s="35">
        <f t="shared" si="4"/>
        <v>-1</v>
      </c>
      <c r="K19" s="33">
        <f>+'COLOMBIA USD'!K19+'EL SALVADOR USD'!K19+'VENEZUELA USD'!K19+'PANAMA USD'!K19</f>
        <v>0</v>
      </c>
      <c r="L19" s="35">
        <f t="shared" si="5"/>
        <v>0</v>
      </c>
      <c r="M19" s="33">
        <f>+'COLOMBIA USD'!M19+'EL SALVADOR USD'!M19+'VENEZUELA USD'!M19+'PANAMA USD'!M19</f>
        <v>0</v>
      </c>
      <c r="N19" s="35">
        <f t="shared" si="6"/>
        <v>0</v>
      </c>
      <c r="O19" s="35"/>
      <c r="P19" s="33">
        <f>+'COLOMBIA USD'!P19+'EL SALVADOR USD'!P19+'VENEZUELA USD'!P19+'PANAMA USD'!P19</f>
        <v>0</v>
      </c>
      <c r="Q19" s="35">
        <f t="shared" si="8"/>
        <v>0</v>
      </c>
      <c r="R19" s="35"/>
      <c r="V19" s="3" t="s">
        <v>44</v>
      </c>
      <c r="W19" s="33">
        <f>'COLOMBIA USD'!W23+'EL SALVADOR USD'!V23+'VENEZUELA USD'!W20+'PANAMA USD'!U23</f>
        <v>0</v>
      </c>
      <c r="X19" s="33">
        <f>'COLOMBIA USD'!Y23+'EL SALVADOR USD'!X23+'VENEZUELA USD'!X20+'PANAMA USD'!W23</f>
        <v>0</v>
      </c>
      <c r="Y19" s="33">
        <f>'COLOMBIA USD'!X23+'EL SALVADOR USD'!W23+'VENEZUELA USD'!Y20+'PANAMA USD'!V23</f>
        <v>0</v>
      </c>
      <c r="Z19" s="33">
        <f>'COLOMBIA USD'!Z23+'EL SALVADOR USD'!Y23+'VENEZUELA USD'!Z20+'PANAMA USD'!X23</f>
        <v>0</v>
      </c>
      <c r="AA19" s="33">
        <f>'COLOMBIA USD'!AD23+'EL SALVADOR USD'!AC23+'VENEZUELA USD'!AA20+'PANAMA USD'!AB23</f>
        <v>6730</v>
      </c>
      <c r="AB19" s="33">
        <f>'COLOMBIA USD'!AA23+'EL SALVADOR USD'!Z23+'VENEZUELA USD'!AB20+'PANAMA USD'!Y23</f>
        <v>1325</v>
      </c>
      <c r="AC19" s="63">
        <f t="shared" ref="AC19:AC22" si="15">+AB19-Z19</f>
        <v>1325</v>
      </c>
      <c r="AD19" s="68" t="str">
        <f t="shared" si="11"/>
        <v/>
      </c>
      <c r="AE19" s="68">
        <f t="shared" si="10"/>
        <v>-0.80312035661218428</v>
      </c>
      <c r="AF19" s="55"/>
      <c r="AG19" s="55">
        <f>+'COLOMBIA USD'!Y23+'EL SALVADOR USD'!X23+'VENEZUELA USD'!X20+'PANAMA USD'!W23</f>
        <v>0</v>
      </c>
      <c r="AH19" s="55">
        <f>+'COLOMBIA USD'!X23+'EL SALVADOR USD'!W23+'VENEZUELA USD'!Y20+'PANAMA USD'!V23</f>
        <v>0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1325</v>
      </c>
    </row>
    <row r="20" spans="2:37" x14ac:dyDescent="0.2">
      <c r="B20" s="21" t="s">
        <v>41</v>
      </c>
      <c r="C20" s="69">
        <f>SUM(C10:C19)</f>
        <v>222161.65946491557</v>
      </c>
      <c r="D20" s="45">
        <f t="shared" si="13"/>
        <v>1</v>
      </c>
      <c r="E20" s="69">
        <f>SUM(E10:E19)</f>
        <v>216455.16417770422</v>
      </c>
      <c r="F20" s="45">
        <f t="shared" si="1"/>
        <v>1</v>
      </c>
      <c r="G20" s="45">
        <f t="shared" si="2"/>
        <v>0.9743137708776769</v>
      </c>
      <c r="H20" s="69">
        <f>SUM(H10:H19)</f>
        <v>269522.89355370728</v>
      </c>
      <c r="I20" s="45">
        <f>+H22/$H$22</f>
        <v>1</v>
      </c>
      <c r="J20" s="45">
        <f t="shared" si="4"/>
        <v>-0.19689507142156129</v>
      </c>
      <c r="K20" s="69">
        <f>SUM(K10:K19)</f>
        <v>222161.65946491557</v>
      </c>
      <c r="L20" s="45">
        <f t="shared" si="5"/>
        <v>1</v>
      </c>
      <c r="M20" s="69">
        <f>SUM(M10:M19)</f>
        <v>216455.16417770422</v>
      </c>
      <c r="N20" s="45">
        <f t="shared" si="6"/>
        <v>1</v>
      </c>
      <c r="O20" s="45">
        <f>IF(K20=0,"",(M20-K20)/ABS(K20)+1)</f>
        <v>0.9743137708776769</v>
      </c>
      <c r="P20" s="69">
        <f>SUM(P10:P19)</f>
        <v>254814.02698940987</v>
      </c>
      <c r="Q20" s="45">
        <f t="shared" si="8"/>
        <v>1</v>
      </c>
      <c r="R20" s="45">
        <f>IF(P20=0,"",(M20-P20)/ABS(P20))</f>
        <v>-0.15053670029436744</v>
      </c>
      <c r="V20" s="3" t="s">
        <v>46</v>
      </c>
      <c r="W20" s="33">
        <f>'COLOMBIA USD'!W25+'EL SALVADOR USD'!V25+'VENEZUELA USD'!W21+'PANAMA USD'!U25</f>
        <v>80327.210411979162</v>
      </c>
      <c r="X20" s="33">
        <f>'COLOMBIA USD'!Y25+'EL SALVADOR USD'!X25+'VENEZUELA USD'!X21+'PANAMA USD'!W25</f>
        <v>81069.581987152938</v>
      </c>
      <c r="Y20" s="33">
        <f>'COLOMBIA USD'!X25+'EL SALVADOR USD'!W25+'VENEZUELA USD'!Y21+'PANAMA USD'!V25</f>
        <v>85491.78610457055</v>
      </c>
      <c r="Z20" s="33">
        <f>'COLOMBIA USD'!Z25+'EL SALVADOR USD'!Y25+'VENEZUELA USD'!Z21+'PANAMA USD'!X25</f>
        <v>79875.956493483856</v>
      </c>
      <c r="AA20" s="33">
        <f>'COLOMBIA USD'!AD25+'EL SALVADOR USD'!AC25+'VENEZUELA USD'!AA21+'PANAMA USD'!AB25</f>
        <v>89665.06181009367</v>
      </c>
      <c r="AB20" s="33">
        <f>'COLOMBIA USD'!AA25+'EL SALVADOR USD'!Z25+'VENEZUELA USD'!AB21+'PANAMA USD'!Y25</f>
        <v>95718.767939251295</v>
      </c>
      <c r="AC20" s="63">
        <f t="shared" si="15"/>
        <v>15842.811445767438</v>
      </c>
      <c r="AD20" s="68">
        <f t="shared" si="11"/>
        <v>1.1983426820943279</v>
      </c>
      <c r="AE20" s="68">
        <f t="shared" si="10"/>
        <v>6.7514659633861468E-2</v>
      </c>
      <c r="AF20" s="55"/>
      <c r="AG20" s="55">
        <f>+'COLOMBIA USD'!Y25+'EL SALVADOR USD'!X25+'VENEZUELA USD'!X21+'PANAMA USD'!W25</f>
        <v>81069.581987152938</v>
      </c>
      <c r="AH20" s="55">
        <f>+'COLOMBIA USD'!X25+'EL SALVADOR USD'!W25+'VENEZUELA USD'!Y21+'PANAMA USD'!V25</f>
        <v>85491.78610457055</v>
      </c>
      <c r="AI20" s="55">
        <f>+'COLOMBIA USD'!AB25+'EL SALVADOR USD'!AA25+'VENEZUELA USD'!AC21+'PANAMA USD'!Z25</f>
        <v>10209.232640304637</v>
      </c>
      <c r="AK20" s="55">
        <f>+'COLOMBIA USD'!AA25+'EL SALVADOR USD'!Z25+'VENEZUELA USD'!AB21+'PANAMA USD'!Y25</f>
        <v>95718.767939251295</v>
      </c>
    </row>
    <row r="21" spans="2:37" x14ac:dyDescent="0.2">
      <c r="B21" s="3"/>
      <c r="C21" s="33"/>
      <c r="D21" s="35"/>
      <c r="E21" s="33"/>
      <c r="F21" s="35"/>
      <c r="G21" s="35"/>
      <c r="H21" s="33"/>
      <c r="I21" s="35"/>
      <c r="J21" s="35"/>
      <c r="K21" s="33"/>
      <c r="L21" s="35"/>
      <c r="M21" s="33"/>
      <c r="N21" s="35"/>
      <c r="O21" s="35"/>
      <c r="P21" s="33"/>
      <c r="Q21" s="35"/>
      <c r="R21" s="35"/>
      <c r="V21" s="3" t="s">
        <v>49</v>
      </c>
      <c r="W21" s="33">
        <f>'COLOMBIA USD'!W27+'EL SALVADOR USD'!V27+'VENEZUELA USD'!W22+'PANAMA USD'!U27</f>
        <v>-44501.751465868241</v>
      </c>
      <c r="X21" s="33">
        <f>'COLOMBIA USD'!Y27+'EL SALVADOR USD'!X27+'VENEZUELA USD'!X22+'PANAMA USD'!W27</f>
        <v>23293.318348385081</v>
      </c>
      <c r="Y21" s="33">
        <f>'COLOMBIA USD'!X27+'EL SALVADOR USD'!W27+'VENEZUELA USD'!Y22+'PANAMA USD'!V27</f>
        <v>-46795.318050742157</v>
      </c>
      <c r="Z21" s="33">
        <f>'COLOMBIA USD'!Z27+'EL SALVADOR USD'!Y27+'VENEZUELA USD'!Z22+'PANAMA USD'!X27</f>
        <v>-44501.751465868241</v>
      </c>
      <c r="AA21" s="33">
        <f>'COLOMBIA USD'!AD27+'EL SALVADOR USD'!AC27+'VENEZUELA USD'!AA22+'PANAMA USD'!AB27</f>
        <v>23293.318348385081</v>
      </c>
      <c r="AB21" s="33">
        <f>'COLOMBIA USD'!AA27+'EL SALVADOR USD'!Z27+'VENEZUELA USD'!AB22+'PANAMA USD'!Y27</f>
        <v>-46795.318050742157</v>
      </c>
      <c r="AC21" s="63">
        <f t="shared" si="15"/>
        <v>-2293.5665848739154</v>
      </c>
      <c r="AD21" s="68">
        <f t="shared" si="11"/>
        <v>0.94846120637222509</v>
      </c>
      <c r="AE21" s="68">
        <f t="shared" si="10"/>
        <v>-3.0089588503815072</v>
      </c>
      <c r="AF21" s="55"/>
      <c r="AG21" s="55">
        <f>+'COLOMBIA USD'!Y27+'EL SALVADOR USD'!X27+'VENEZUELA USD'!X22+'PANAMA USD'!W27</f>
        <v>23293.318348385081</v>
      </c>
      <c r="AH21" s="55">
        <f>+'COLOMBIA USD'!X27+'EL SALVADOR USD'!W27+'VENEZUELA USD'!Y22+'PANAMA USD'!V27</f>
        <v>-46795.318050742157</v>
      </c>
      <c r="AI21" s="55">
        <f>+'COLOMBIA USD'!AB27+'EL SALVADOR USD'!AA27+'VENEZUELA USD'!AC22+'PANAMA USD'!Z27</f>
        <v>-2293.5665848739154</v>
      </c>
      <c r="AK21" s="55">
        <f>+'COLOMBIA USD'!AA27+'EL SALVADOR USD'!Z27+'VENEZUELA USD'!AB22+'PANAMA USD'!Y27</f>
        <v>-46795.318050742157</v>
      </c>
    </row>
    <row r="22" spans="2:37" x14ac:dyDescent="0.2">
      <c r="B22" s="3" t="s">
        <v>43</v>
      </c>
      <c r="C22" s="33">
        <f>+'COLOMBIA USD'!C22+'EL SALVADOR USD'!C22+'VENEZUELA USD'!C22+'PANAMA USD'!C22</f>
        <v>20409.195558731131</v>
      </c>
      <c r="D22" s="35">
        <f t="shared" si="13"/>
        <v>9.1866416590006661E-2</v>
      </c>
      <c r="E22" s="33">
        <f>+'COLOMBIA USD'!E22+'EL SALVADOR USD'!E22+'VENEZUELA USD'!E22+'PANAMA USD'!E22</f>
        <v>25768.452102171224</v>
      </c>
      <c r="F22" s="35">
        <f>+E22/$E$20</f>
        <v>0.11904752746400625</v>
      </c>
      <c r="G22" s="35">
        <f>IF(C22=0,"",(E22-C22)/ABS(C22)+1)</f>
        <v>1.2625902881873943</v>
      </c>
      <c r="H22" s="33">
        <f>+'COLOMBIA USD'!H22+'EL SALVADOR USD'!H22+'VENEZUELA USD'!H22+'PANAMA USD'!H22</f>
        <v>20501.686448221117</v>
      </c>
      <c r="I22" s="35">
        <f t="shared" ref="I22:I46" si="16">+H22/$H$20</f>
        <v>7.606658632186207E-2</v>
      </c>
      <c r="J22" s="35">
        <f>IF(H22=0,"",(E22-H22)/ABS(H22))</f>
        <v>0.25689426415001543</v>
      </c>
      <c r="K22" s="33">
        <f>+'COLOMBIA USD'!K22+'EL SALVADOR USD'!K22+'VENEZUELA USD'!K22+'PANAMA USD'!K22</f>
        <v>20409.195558731131</v>
      </c>
      <c r="L22" s="35">
        <f t="shared" si="5"/>
        <v>9.1866416590006661E-2</v>
      </c>
      <c r="M22" s="33">
        <f>+'COLOMBIA USD'!M22+'EL SALVADOR USD'!M22+'VENEZUELA USD'!M22+'PANAMA USD'!M22</f>
        <v>25768.452102171224</v>
      </c>
      <c r="N22" s="35">
        <f>+M22/$M$20</f>
        <v>0.11904752746400625</v>
      </c>
      <c r="O22" s="35">
        <f>IF(K22=0,"",(M22-K22)/ABS(K22)+1)</f>
        <v>1.2625902881873943</v>
      </c>
      <c r="P22" s="33">
        <f>+'COLOMBIA USD'!P22+'EL SALVADOR USD'!P22+'VENEZUELA USD'!P22+'PANAMA USD'!P22</f>
        <v>20501.686448221117</v>
      </c>
      <c r="Q22" s="35">
        <f t="shared" si="8"/>
        <v>8.0457448478977067E-2</v>
      </c>
      <c r="R22" s="35">
        <f>IF(P22=0,"",(M22-P22)/ABS(P22))</f>
        <v>0.25689426415001543</v>
      </c>
      <c r="V22" s="3" t="s">
        <v>51</v>
      </c>
      <c r="W22" s="33">
        <f>'COLOMBIA USD'!W28+'EL SALVADOR USD'!V28+'VENEZUELA USD'!W23+'PANAMA USD'!U28</f>
        <v>0</v>
      </c>
      <c r="X22" s="33">
        <f>'COLOMBIA USD'!Y28+'EL SALVADOR USD'!X28+'VENEZUELA USD'!X23+'PANAMA USD'!W28</f>
        <v>0</v>
      </c>
      <c r="Y22" s="33">
        <f>'COLOMBIA USD'!X28+'EL SALVADOR USD'!W28+'VENEZUELA USD'!Y23+'PANAMA USD'!V28</f>
        <v>0</v>
      </c>
      <c r="Z22" s="33">
        <f>'COLOMBIA USD'!Z28+'EL SALVADOR USD'!Y28+'VENEZUELA USD'!Z23+'PANAMA USD'!X28</f>
        <v>0</v>
      </c>
      <c r="AA22" s="33" t="e">
        <f>'COLOMBIA USD'!AD28+'EL SALVADOR USD'!AC28+'VENEZUELA USD'!AA23+'PANAMA USD'!AB28</f>
        <v>#VALUE!</v>
      </c>
      <c r="AB22" s="33">
        <f>'COLOMBIA USD'!AA28+'EL SALVADOR USD'!Z28+'VENEZUELA USD'!AB23+'PANAMA USD'!Y28</f>
        <v>0</v>
      </c>
      <c r="AC22" s="63">
        <f t="shared" si="15"/>
        <v>0</v>
      </c>
      <c r="AD22" s="68" t="str">
        <f t="shared" si="11"/>
        <v/>
      </c>
      <c r="AE22" s="68" t="e">
        <f t="shared" si="10"/>
        <v>#VALUE!</v>
      </c>
      <c r="AF22" s="55"/>
      <c r="AG22" s="55">
        <f>+'COLOMBIA USD'!Y28+'EL SALVADOR USD'!X28+'VENEZUELA USD'!X23+'PANAMA USD'!W28</f>
        <v>0</v>
      </c>
      <c r="AH22" s="55">
        <f>+'COLOMBIA USD'!X28+'EL SALVADOR USD'!W28+'VENEZUELA USD'!Y23+'PANAMA USD'!V28</f>
        <v>0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0</v>
      </c>
    </row>
    <row r="23" spans="2:37" x14ac:dyDescent="0.2">
      <c r="B23" s="3"/>
      <c r="C23" s="33"/>
      <c r="D23" s="35"/>
      <c r="E23" s="33"/>
      <c r="F23" s="35"/>
      <c r="G23" s="35"/>
      <c r="H23" s="33"/>
      <c r="I23" s="35"/>
      <c r="J23" s="35"/>
      <c r="K23" s="33"/>
      <c r="L23" s="35"/>
      <c r="M23" s="33"/>
      <c r="N23" s="35"/>
      <c r="O23" s="35"/>
      <c r="P23" s="33"/>
      <c r="Q23" s="35"/>
      <c r="R23" s="35"/>
      <c r="V23" s="3" t="s">
        <v>53</v>
      </c>
      <c r="W23" s="33">
        <f>W18-W19-W20-W21-W22</f>
        <v>14006.795275131932</v>
      </c>
      <c r="X23" s="33">
        <f t="shared" ref="X23:AB23" si="17">X18-X19-X20-X21-X22</f>
        <v>3055.9792600167057</v>
      </c>
      <c r="Y23" s="33">
        <f t="shared" si="17"/>
        <v>18533.08421626858</v>
      </c>
      <c r="Z23" s="33">
        <f t="shared" si="17"/>
        <v>974.58755363382079</v>
      </c>
      <c r="AA23" s="33" t="e">
        <f t="shared" si="17"/>
        <v>#VALUE!</v>
      </c>
      <c r="AB23" s="33">
        <f t="shared" si="17"/>
        <v>16301.105035165405</v>
      </c>
      <c r="AC23" s="63">
        <f t="shared" ref="AC23" si="18">Y23-W23</f>
        <v>4526.2889411366486</v>
      </c>
      <c r="AD23" s="68">
        <f t="shared" ref="AD23" si="19">IF(W23=0,"",(Y23-W23)/ABS(W23)+1)</f>
        <v>1.3231495036678913</v>
      </c>
      <c r="AE23" s="68">
        <f t="shared" ref="AE23" si="20">IF(X23=0,"",(Y23-X23)/ABS(X23))</f>
        <v>5.0645320662834825</v>
      </c>
      <c r="AF23" s="55"/>
      <c r="AG23" s="55">
        <f>+'COLOMBIA USD'!Y30+'EL SALVADOR USD'!X30+'VENEZUELA USD'!X24+'PANAMA USD'!W30</f>
        <v>3706.7299612211245</v>
      </c>
      <c r="AH23" s="55">
        <f>+'COLOMBIA USD'!X30+'EL SALVADOR USD'!W30+'VENEZUELA USD'!Y24+'PANAMA USD'!V30</f>
        <v>19619.962069208181</v>
      </c>
      <c r="AI23" s="55">
        <f>+'COLOMBIA USD'!AB30+'EL SALVADOR USD'!AA30+'VENEZUELA USD'!AC24+'PANAMA USD'!Z30</f>
        <v>20921.958772847578</v>
      </c>
      <c r="AK23" s="55">
        <f>+'COLOMBIA USD'!AA30+'EL SALVADOR USD'!Z30+'VENEZUELA USD'!AB24+'PANAMA USD'!Y30</f>
        <v>19619.812069208154</v>
      </c>
    </row>
    <row r="24" spans="2:37" x14ac:dyDescent="0.2">
      <c r="B24" s="3" t="s">
        <v>45</v>
      </c>
      <c r="C24" s="33">
        <f>+C20-C22</f>
        <v>201752.46390618445</v>
      </c>
      <c r="D24" s="35">
        <f t="shared" si="13"/>
        <v>0.90813358340999339</v>
      </c>
      <c r="E24" s="33">
        <f>+E20-E22</f>
        <v>190686.712075533</v>
      </c>
      <c r="F24" s="35">
        <f>+E24/$E$20</f>
        <v>0.88095247253599374</v>
      </c>
      <c r="G24" s="35">
        <f>IF(C24=0,"",(E24-C24)/ABS(C24)+1)</f>
        <v>0.94515183796814961</v>
      </c>
      <c r="H24" s="33">
        <f>+H20-H22</f>
        <v>249021.20710548616</v>
      </c>
      <c r="I24" s="35">
        <f t="shared" si="16"/>
        <v>0.92393341367813786</v>
      </c>
      <c r="J24" s="35">
        <f>IF(H24=0,"",(E24-H24)/ABS(H24))</f>
        <v>-0.23425512914344876</v>
      </c>
      <c r="K24" s="33">
        <f>+K20-K22</f>
        <v>201752.46390618445</v>
      </c>
      <c r="L24" s="35">
        <f t="shared" si="5"/>
        <v>0.90813358340999339</v>
      </c>
      <c r="M24" s="33">
        <f>+M20-M22</f>
        <v>190686.712075533</v>
      </c>
      <c r="N24" s="35">
        <f>+M24/$M$20</f>
        <v>0.88095247253599374</v>
      </c>
      <c r="O24" s="35">
        <f>IF(K24=0,"",(M24-K24)/ABS(K24)+1)</f>
        <v>0.94515183796814961</v>
      </c>
      <c r="P24" s="33">
        <f>+P20-P22</f>
        <v>234312.34054118875</v>
      </c>
      <c r="Q24" s="35">
        <f t="shared" si="8"/>
        <v>0.91954255152102293</v>
      </c>
      <c r="R24" s="35">
        <f>IF(P24=0,"",(M24-P24)/ABS(P24))</f>
        <v>-0.18618579100398255</v>
      </c>
      <c r="W24" s="55">
        <f>+'COLOMBIA USD'!W30+'EL SALVADOR USD'!V30+'VENEZUELA USD'!W24+'PANAMA USD'!U30</f>
        <v>14671.85329636057</v>
      </c>
      <c r="X24" s="55">
        <f>+'COLOMBIA USD'!Y30+'EL SALVADOR USD'!X30+'VENEZUELA USD'!X24+'PANAMA USD'!W30</f>
        <v>3706.7299612211245</v>
      </c>
      <c r="Y24" s="55">
        <f>+'COLOMBIA USD'!X30+'EL SALVADOR USD'!W30+'VENEZUELA USD'!Y24+'PANAMA USD'!V30</f>
        <v>19619.962069208181</v>
      </c>
      <c r="Z24" s="55">
        <f>+'COLOMBIA USD'!Z30+'EL SALVADOR USD'!Y30+'VENEZUELA USD'!Z24+'PANAMA USD'!X30</f>
        <v>770.85329636057122</v>
      </c>
      <c r="AA24" s="55">
        <f>+'COLOMBIA USD'!AD30+'EL SALVADOR USD'!AC30+'VENEZUELA USD'!AA24+'PANAMA USD'!AB30</f>
        <v>3707.319961221132</v>
      </c>
      <c r="AB24" s="55">
        <f>+'COLOMBIA USD'!AA30+'EL SALVADOR USD'!Z30+'VENEZUELA USD'!AB24+'PANAMA USD'!Y30</f>
        <v>19619.812069208154</v>
      </c>
      <c r="AC24" s="55">
        <f>+'COLOMBIA USD'!AB30+'EL SALVADOR USD'!AA30+'VENEZUELA USD'!AC24+'PANAMA USD'!Z30</f>
        <v>20921.958772847578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3"/>
      <c r="D25" s="35"/>
      <c r="E25" s="33"/>
      <c r="F25" s="35"/>
      <c r="G25" s="35"/>
      <c r="H25" s="33"/>
      <c r="I25" s="35"/>
      <c r="J25" s="35"/>
      <c r="K25" s="33"/>
      <c r="L25" s="35"/>
      <c r="M25" s="33"/>
      <c r="N25" s="35"/>
      <c r="O25" s="35"/>
      <c r="P25" s="33"/>
      <c r="Q25" s="35"/>
      <c r="R25" s="35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47</v>
      </c>
      <c r="C26" s="33">
        <f>+'COLOMBIA USD'!C26+'EL SALVADOR USD'!C26+'VENEZUELA USD'!C26+'PANAMA USD'!C26</f>
        <v>39890.442652512676</v>
      </c>
      <c r="D26" s="35">
        <f t="shared" si="13"/>
        <v>0.17955592674537207</v>
      </c>
      <c r="E26" s="33">
        <f>+'COLOMBIA USD'!E26+'EL SALVADOR USD'!E26+'VENEZUELA USD'!E26+'PANAMA USD'!E26</f>
        <v>42570.451291327066</v>
      </c>
      <c r="F26" s="35">
        <f>+E26/$E$20</f>
        <v>0.19667098936192531</v>
      </c>
      <c r="G26" s="35">
        <f>IF(C26=0,"",(E26-C26)/ABS(C26)+1)</f>
        <v>1.0671842291187406</v>
      </c>
      <c r="H26" s="33">
        <f>+'COLOMBIA USD'!H26+'EL SALVADOR USD'!H26+'VENEZUELA USD'!H26+'PANAMA USD'!H26</f>
        <v>51224.799710623251</v>
      </c>
      <c r="I26" s="35">
        <f t="shared" si="16"/>
        <v>0.19005732327675456</v>
      </c>
      <c r="J26" s="35">
        <f>IF(H26=0,"",(E26-H26)/ABS(H26))</f>
        <v>-0.16894840913358228</v>
      </c>
      <c r="K26" s="33">
        <f>+'COLOMBIA USD'!K26+'EL SALVADOR USD'!K26+'VENEZUELA USD'!K26+'PANAMA USD'!K26</f>
        <v>39890.442652512676</v>
      </c>
      <c r="L26" s="35">
        <f t="shared" si="5"/>
        <v>0.17955592674537207</v>
      </c>
      <c r="M26" s="33">
        <f>+'COLOMBIA USD'!M26+'EL SALVADOR USD'!M26+'VENEZUELA USD'!M26+'PANAMA USD'!M26</f>
        <v>42570.451291327066</v>
      </c>
      <c r="N26" s="35">
        <f>+M26/$M$20</f>
        <v>0.19667098936192531</v>
      </c>
      <c r="O26" s="35">
        <f>IF(K26=0,"",(M26-K26)/ABS(K26)+1)</f>
        <v>1.0671842291187406</v>
      </c>
      <c r="P26" s="33">
        <f>+'COLOMBIA USD'!P26+'EL SALVADOR USD'!P26+'VENEZUELA USD'!P26+'PANAMA USD'!P26</f>
        <v>51224.799710623251</v>
      </c>
      <c r="Q26" s="35">
        <f t="shared" si="8"/>
        <v>0.20102817853411251</v>
      </c>
      <c r="R26" s="35">
        <f>IF(P26=0,"",(M26-P26)/ABS(P26))</f>
        <v>-0.16894840913358228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48</v>
      </c>
      <c r="C27" s="33">
        <f>+'COLOMBIA USD'!C27+'EL SALVADOR USD'!C27+'VENEZUELA USD'!C27+'PANAMA USD'!C27</f>
        <v>77543.012033162086</v>
      </c>
      <c r="D27" s="35">
        <f t="shared" si="13"/>
        <v>0.3490386785007244</v>
      </c>
      <c r="E27" s="33">
        <f>+'COLOMBIA USD'!E27+'EL SALVADOR USD'!E27+'VENEZUELA USD'!E27+'PANAMA USD'!E27</f>
        <v>74675.075633420944</v>
      </c>
      <c r="F27" s="35">
        <f>+E27/$E$20</f>
        <v>0.34499096345012398</v>
      </c>
      <c r="G27" s="35">
        <f>IF(C27=0,"",(E27-C27)/ABS(C27)+1)</f>
        <v>0.96301489554578257</v>
      </c>
      <c r="H27" s="33">
        <f>+'COLOMBIA USD'!H27+'EL SALVADOR USD'!H27+'VENEZUELA USD'!H27+'PANAMA USD'!H27</f>
        <v>91937.91622860897</v>
      </c>
      <c r="I27" s="35">
        <f t="shared" si="16"/>
        <v>0.34111356930163222</v>
      </c>
      <c r="J27" s="35">
        <f>IF(H27=0,"",(E27-H27)/ABS(H27))</f>
        <v>-0.18776628080478755</v>
      </c>
      <c r="K27" s="33">
        <f>+'COLOMBIA USD'!K27+'EL SALVADOR USD'!K27+'VENEZUELA USD'!K27+'PANAMA USD'!K27</f>
        <v>77543.012033162086</v>
      </c>
      <c r="L27" s="35">
        <f t="shared" si="5"/>
        <v>0.3490386785007244</v>
      </c>
      <c r="M27" s="33">
        <f>+'COLOMBIA USD'!M27+'EL SALVADOR USD'!M27+'VENEZUELA USD'!M27+'PANAMA USD'!M27</f>
        <v>74675.075633420944</v>
      </c>
      <c r="N27" s="35">
        <f>+M27/$M$20</f>
        <v>0.34499096345012398</v>
      </c>
      <c r="O27" s="35">
        <f>IF(K27=0,"",(M27-K27)/ABS(K27)+1)</f>
        <v>0.96301489554578257</v>
      </c>
      <c r="P27" s="33">
        <f>+'COLOMBIA USD'!P27+'EL SALVADOR USD'!P27+'VENEZUELA USD'!P27+'PANAMA USD'!P27</f>
        <v>91937.91622860897</v>
      </c>
      <c r="Q27" s="35">
        <f t="shared" si="8"/>
        <v>0.36080398443854084</v>
      </c>
      <c r="R27" s="35">
        <f>IF(P27=0,"",(M27-P27)/ABS(P27))</f>
        <v>-0.18776628080478755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50</v>
      </c>
      <c r="C28" s="33">
        <f>SUM(C26:C27)</f>
        <v>117433.45468567476</v>
      </c>
      <c r="D28" s="35">
        <f t="shared" si="13"/>
        <v>0.52859460524609647</v>
      </c>
      <c r="E28" s="33">
        <f>SUM(E26:E27)</f>
        <v>117245.526924748</v>
      </c>
      <c r="F28" s="35">
        <f>+E28/$E$20</f>
        <v>0.54166195281204932</v>
      </c>
      <c r="G28" s="35">
        <f>IF(C28=0,"",(E28-C28)/ABS(C28)+1)</f>
        <v>0.99839970848656567</v>
      </c>
      <c r="H28" s="33">
        <f>SUM(H26:H27)</f>
        <v>143162.71593923221</v>
      </c>
      <c r="I28" s="35">
        <f t="shared" si="16"/>
        <v>0.53117089257838668</v>
      </c>
      <c r="J28" s="35">
        <f>IF(H28=0,"",(E28-H28)/ABS(H28))</f>
        <v>-0.18103309122387135</v>
      </c>
      <c r="K28" s="33">
        <f>SUM(K26:K27)</f>
        <v>117433.45468567476</v>
      </c>
      <c r="L28" s="35">
        <f t="shared" si="5"/>
        <v>0.52859460524609647</v>
      </c>
      <c r="M28" s="33">
        <f>SUM(M26:M27)</f>
        <v>117245.526924748</v>
      </c>
      <c r="N28" s="35">
        <f>+M28/$M$20</f>
        <v>0.54166195281204932</v>
      </c>
      <c r="O28" s="35">
        <f>IF(K28=0,"",(M28-K28)/ABS(K28)+1)</f>
        <v>0.99839970848656567</v>
      </c>
      <c r="P28" s="33">
        <f>SUM(P26:P27)</f>
        <v>143162.71593923221</v>
      </c>
      <c r="Q28" s="35">
        <f t="shared" si="8"/>
        <v>0.56183216297265326</v>
      </c>
      <c r="R28" s="35">
        <f>IF(P28=0,"",(M28-P28)/ABS(P28))</f>
        <v>-0.18103309122387135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3"/>
      <c r="D29" s="35"/>
      <c r="E29" s="33"/>
      <c r="F29" s="35"/>
      <c r="G29" s="35"/>
      <c r="H29" s="33"/>
      <c r="I29" s="35"/>
      <c r="J29" s="35"/>
      <c r="K29" s="33"/>
      <c r="L29" s="35"/>
      <c r="M29" s="33"/>
      <c r="N29" s="35"/>
      <c r="O29" s="35"/>
      <c r="P29" s="33"/>
      <c r="Q29" s="35"/>
      <c r="R29" s="35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52</v>
      </c>
      <c r="C30" s="33">
        <f>+'COLOMBIA USD'!C30+'EL SALVADOR USD'!C30+'VENEZUELA USD'!C30+'PANAMA USD'!C30</f>
        <v>13591.235412201017</v>
      </c>
      <c r="D30" s="35">
        <f t="shared" si="13"/>
        <v>6.1177232133285291E-2</v>
      </c>
      <c r="E30" s="33">
        <f>+'COLOMBIA USD'!E30+'EL SALVADOR USD'!E30+'VENEZUELA USD'!E30+'PANAMA USD'!E30</f>
        <v>18832.346415161905</v>
      </c>
      <c r="F30" s="35">
        <f>+E30/$E$20</f>
        <v>8.7003451669561568E-2</v>
      </c>
      <c r="G30" s="35">
        <f>IF(C30=0,"",(E30-C30)/ABS(C30)+1)</f>
        <v>1.3856243265609158</v>
      </c>
      <c r="H30" s="33">
        <f>+'COLOMBIA USD'!H30+'EL SALVADOR USD'!H30+'VENEZUELA USD'!H30+'PANAMA USD'!H30</f>
        <v>23116.325642010353</v>
      </c>
      <c r="I30" s="35">
        <f t="shared" si="16"/>
        <v>8.5767577429944772E-2</v>
      </c>
      <c r="J30" s="35">
        <f>IF(H30=0,"",(E30-H30)/ABS(H30))</f>
        <v>-0.18532267165604285</v>
      </c>
      <c r="K30" s="33">
        <f>+'COLOMBIA USD'!K30+'EL SALVADOR USD'!K30+'VENEZUELA USD'!K30+'PANAMA USD'!K30</f>
        <v>13591.235412201017</v>
      </c>
      <c r="L30" s="35">
        <f t="shared" si="5"/>
        <v>6.1177232133285291E-2</v>
      </c>
      <c r="M30" s="33">
        <f>+'COLOMBIA USD'!M30+'EL SALVADOR USD'!M30+'VENEZUELA USD'!M30+'PANAMA USD'!M30</f>
        <v>18832.346415161905</v>
      </c>
      <c r="N30" s="35">
        <f>+M30/$M$20</f>
        <v>8.7003451669561568E-2</v>
      </c>
      <c r="O30" s="35">
        <f>IF(K30=0,"",(M30-K30)/ABS(K30)+1)</f>
        <v>1.3856243265609158</v>
      </c>
      <c r="P30" s="33">
        <f>+'COLOMBIA USD'!P30+'EL SALVADOR USD'!P30+'VENEZUELA USD'!P30+'PANAMA USD'!P30</f>
        <v>23116.325642010353</v>
      </c>
      <c r="Q30" s="35">
        <f t="shared" si="8"/>
        <v>9.0718418899957465E-2</v>
      </c>
      <c r="R30" s="35">
        <f>IF(P30=0,"",(M30-P30)/ABS(P30))</f>
        <v>-0.18532267165604285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54</v>
      </c>
      <c r="C31" s="33">
        <f>+'COLOMBIA USD'!C31+'EL SALVADOR USD'!C31+'VENEZUELA USD'!C31+'PANAMA USD'!C31</f>
        <v>0</v>
      </c>
      <c r="D31" s="35">
        <f t="shared" si="13"/>
        <v>0</v>
      </c>
      <c r="E31" s="33">
        <f>+'COLOMBIA USD'!E31+'EL SALVADOR USD'!E31+'VENEZUELA USD'!E31+'PANAMA USD'!E31</f>
        <v>1161.5107518011328</v>
      </c>
      <c r="F31" s="35">
        <f>+E31/$E$20</f>
        <v>5.3660570133016632E-3</v>
      </c>
      <c r="G31" s="35" t="str">
        <f>IF(C31=0,"",(E31-C31)/ABS(C31)+1)</f>
        <v/>
      </c>
      <c r="H31" s="33">
        <f>+'COLOMBIA USD'!H31+'EL SALVADOR USD'!H31+'VENEZUELA USD'!H31+'PANAMA USD'!H31</f>
        <v>1712.9987023098884</v>
      </c>
      <c r="I31" s="35">
        <f t="shared" si="16"/>
        <v>6.3556704950874336E-3</v>
      </c>
      <c r="J31" s="35">
        <f>IF(H31=0,"",(E31-H31)/ABS(H31))</f>
        <v>-0.32194300542382387</v>
      </c>
      <c r="K31" s="33">
        <f>+'COLOMBIA USD'!K31+'EL SALVADOR USD'!K31+'VENEZUELA USD'!K31+'PANAMA USD'!K31</f>
        <v>0</v>
      </c>
      <c r="L31" s="35">
        <f t="shared" si="5"/>
        <v>0</v>
      </c>
      <c r="M31" s="33">
        <f>+'COLOMBIA USD'!M31+'EL SALVADOR USD'!M31+'VENEZUELA USD'!M31+'PANAMA USD'!M31</f>
        <v>1161.5107518011328</v>
      </c>
      <c r="N31" s="35">
        <f>+M31/$M$20</f>
        <v>5.3660570133016632E-3</v>
      </c>
      <c r="O31" s="35" t="str">
        <f>IF(K31=0,"",(M31-K31)/ABS(K31)+1)</f>
        <v/>
      </c>
      <c r="P31" s="33">
        <f>+'COLOMBIA USD'!P31+'EL SALVADOR USD'!P31+'VENEZUELA USD'!P31+'PANAMA USD'!P31</f>
        <v>1712.9987023098884</v>
      </c>
      <c r="Q31" s="35">
        <f t="shared" si="8"/>
        <v>6.722544761560873E-3</v>
      </c>
      <c r="R31" s="35">
        <f>IF(P31=0,"",(M31-P31)/ABS(P31))</f>
        <v>-0.32194300542382387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55</v>
      </c>
      <c r="C32" s="33">
        <f>SUM(C30:C31)</f>
        <v>13591.235412201017</v>
      </c>
      <c r="D32" s="35">
        <f t="shared" si="13"/>
        <v>6.1177232133285291E-2</v>
      </c>
      <c r="E32" s="33">
        <f>SUM(E30:E31)</f>
        <v>19993.857166963036</v>
      </c>
      <c r="F32" s="35">
        <f>+E32/$E$20</f>
        <v>9.2369508682863227E-2</v>
      </c>
      <c r="G32" s="35">
        <f>IF(C32=0,"",(E32-C32)/ABS(C32)+1)</f>
        <v>1.4710846042011978</v>
      </c>
      <c r="H32" s="33">
        <f>SUM(H30:H31)</f>
        <v>24829.324344320241</v>
      </c>
      <c r="I32" s="35">
        <f t="shared" si="16"/>
        <v>9.2123247925032209E-2</v>
      </c>
      <c r="J32" s="35">
        <f>IF(H32=0,"",(E32-H32)/ABS(H32))</f>
        <v>-0.1947482384257197</v>
      </c>
      <c r="K32" s="33">
        <f>SUM(K30:K31)</f>
        <v>13591.235412201017</v>
      </c>
      <c r="L32" s="35">
        <f t="shared" si="5"/>
        <v>6.1177232133285291E-2</v>
      </c>
      <c r="M32" s="33">
        <f>SUM(M30:M31)</f>
        <v>19993.857166963036</v>
      </c>
      <c r="N32" s="35">
        <f>+M32/$M$20</f>
        <v>9.2369508682863227E-2</v>
      </c>
      <c r="O32" s="35">
        <f>IF(K32=0,"",(M32-K32)/ABS(K32)+1)</f>
        <v>1.4710846042011978</v>
      </c>
      <c r="P32" s="33">
        <f>SUM(P30:P31)</f>
        <v>24829.324344320241</v>
      </c>
      <c r="Q32" s="35">
        <f t="shared" si="8"/>
        <v>9.7440963661518346E-2</v>
      </c>
      <c r="R32" s="35">
        <f>IF(P32=0,"",(M32-P32)/ABS(P32))</f>
        <v>-0.1947482384257197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3"/>
      <c r="D33" s="35"/>
      <c r="E33" s="33"/>
      <c r="F33" s="35"/>
      <c r="G33" s="35"/>
      <c r="H33" s="33"/>
      <c r="I33" s="35"/>
      <c r="J33" s="35"/>
      <c r="K33" s="33"/>
      <c r="L33" s="35"/>
      <c r="M33" s="33"/>
      <c r="N33" s="35"/>
      <c r="O33" s="35"/>
      <c r="P33" s="33"/>
      <c r="Q33" s="35"/>
      <c r="R33" s="35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56</v>
      </c>
      <c r="C34" s="33">
        <f>C28+C32</f>
        <v>131024.69009787578</v>
      </c>
      <c r="D34" s="35">
        <f t="shared" si="13"/>
        <v>0.58977183737938177</v>
      </c>
      <c r="E34" s="33">
        <f>E28+E32</f>
        <v>137239.38409171105</v>
      </c>
      <c r="F34" s="35">
        <f>+E34/$E$20</f>
        <v>0.63403146149491252</v>
      </c>
      <c r="G34" s="35">
        <f>IF(C34=0,"",(E34-C34)/ABS(C34)+1)</f>
        <v>1.0474314725659177</v>
      </c>
      <c r="H34" s="33">
        <f>H28+H32</f>
        <v>167992.04028355246</v>
      </c>
      <c r="I34" s="35">
        <f t="shared" si="16"/>
        <v>0.62329414050341891</v>
      </c>
      <c r="J34" s="35">
        <f>IF(H34=0,"",(E34-H34)/ABS(H34))</f>
        <v>-0.18306019820899991</v>
      </c>
      <c r="K34" s="33">
        <f>K28+K32</f>
        <v>131024.69009787578</v>
      </c>
      <c r="L34" s="35">
        <f t="shared" si="5"/>
        <v>0.58977183737938177</v>
      </c>
      <c r="M34" s="33">
        <f>M28+M32</f>
        <v>137239.38409171105</v>
      </c>
      <c r="N34" s="35">
        <f>+M34/$M$20</f>
        <v>0.63403146149491252</v>
      </c>
      <c r="O34" s="35">
        <f>IF(K34=0,"",(M34-K34)/ABS(K34)+1)</f>
        <v>1.0474314725659177</v>
      </c>
      <c r="P34" s="33">
        <f>P28+P32</f>
        <v>167992.04028355246</v>
      </c>
      <c r="Q34" s="35">
        <f t="shared" si="8"/>
        <v>0.6592731266341717</v>
      </c>
      <c r="R34" s="35">
        <f>IF(P34=0,"",(M34-P34)/ABS(P34))</f>
        <v>-0.18306019820899991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3"/>
      <c r="D35" s="35"/>
      <c r="E35" s="33"/>
      <c r="F35" s="35"/>
      <c r="G35" s="35"/>
      <c r="H35" s="33"/>
      <c r="I35" s="35"/>
      <c r="J35" s="35"/>
      <c r="K35" s="33"/>
      <c r="L35" s="35"/>
      <c r="M35" s="33"/>
      <c r="N35" s="35"/>
      <c r="O35" s="35"/>
      <c r="P35" s="33"/>
      <c r="Q35" s="35"/>
      <c r="R35" s="35"/>
      <c r="W35" s="55"/>
      <c r="X35" s="55"/>
      <c r="Y35" s="55"/>
      <c r="Z35" s="55"/>
      <c r="AA35" s="55"/>
      <c r="AB35" s="55"/>
      <c r="AC35" s="55"/>
    </row>
    <row r="36" spans="2:29" x14ac:dyDescent="0.2">
      <c r="B36" s="21" t="s">
        <v>57</v>
      </c>
      <c r="C36" s="69">
        <f>C24-C34</f>
        <v>70727.773808308673</v>
      </c>
      <c r="D36" s="45">
        <f t="shared" si="13"/>
        <v>0.31836174603061163</v>
      </c>
      <c r="E36" s="69">
        <f>E24-E34</f>
        <v>53447.327983821946</v>
      </c>
      <c r="F36" s="45">
        <f>+E36/$E$20</f>
        <v>0.24692101104108119</v>
      </c>
      <c r="G36" s="45">
        <f>IF(C36=0,"",(E36-C36)/ABS(C36)+1)</f>
        <v>0.7556766614580378</v>
      </c>
      <c r="H36" s="69">
        <f>H24-H34</f>
        <v>81029.166821933701</v>
      </c>
      <c r="I36" s="45">
        <f t="shared" si="16"/>
        <v>0.30063927317471895</v>
      </c>
      <c r="J36" s="45">
        <f>IF(H36=0,"",(E36-H36)/ABS(H36))</f>
        <v>-0.34039395837210629</v>
      </c>
      <c r="K36" s="69">
        <f>K24-K34</f>
        <v>70727.773808308673</v>
      </c>
      <c r="L36" s="45">
        <f t="shared" si="5"/>
        <v>0.31836174603061163</v>
      </c>
      <c r="M36" s="69">
        <f>+M24-M34</f>
        <v>53447.327983821946</v>
      </c>
      <c r="N36" s="45">
        <f>+M36/$M$20</f>
        <v>0.24692101104108119</v>
      </c>
      <c r="O36" s="45">
        <f>IF(K36=0,"",(M36-K36)/ABS(K36)+1)</f>
        <v>0.7556766614580378</v>
      </c>
      <c r="P36" s="69">
        <f>P24-P34</f>
        <v>66320.300257636292</v>
      </c>
      <c r="Q36" s="45">
        <f t="shared" si="8"/>
        <v>0.26026942488685123</v>
      </c>
      <c r="R36" s="45">
        <f>IF(P36=0,"",(M36-P36)/ABS(P36))</f>
        <v>-0.19410304573119178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3"/>
      <c r="D37" s="35"/>
      <c r="E37" s="33"/>
      <c r="F37" s="35"/>
      <c r="G37" s="35"/>
      <c r="H37" s="33"/>
      <c r="I37" s="35"/>
      <c r="J37" s="35"/>
      <c r="K37" s="33"/>
      <c r="L37" s="35"/>
      <c r="M37" s="33"/>
      <c r="N37" s="35"/>
      <c r="O37" s="35"/>
      <c r="P37" s="33"/>
      <c r="Q37" s="35"/>
      <c r="R37" s="35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58</v>
      </c>
      <c r="C38" s="33">
        <f>+'COLOMBIA USD'!C38+'EL SALVADOR USD'!C38+'VENEZUELA USD'!C38+'PANAMA USD'!C38</f>
        <v>101.16475565082283</v>
      </c>
      <c r="D38" s="35">
        <f t="shared" si="13"/>
        <v>4.5536550228550605E-4</v>
      </c>
      <c r="E38" s="33">
        <f>+'COLOMBIA USD'!E38+'EL SALVADOR USD'!E38+'VENEZUELA USD'!E38+'PANAMA USD'!E38</f>
        <v>4931.1053430576094</v>
      </c>
      <c r="F38" s="35">
        <f>+E38/$E$20</f>
        <v>2.2781185941164687E-2</v>
      </c>
      <c r="G38" s="35">
        <f>IF(C38=0,"",(E38-C38)/ABS(C38)+1)</f>
        <v>48.743312938724053</v>
      </c>
      <c r="H38" s="33">
        <f>+'COLOMBIA USD'!H38+'EL SALVADOR USD'!H38+'VENEZUELA USD'!H38+'PANAMA USD'!H38</f>
        <v>3099.0581005013114</v>
      </c>
      <c r="I38" s="35">
        <f t="shared" si="16"/>
        <v>1.1498311181063987E-2</v>
      </c>
      <c r="J38" s="35">
        <f>IF(H38=0,"",(E38-H38)/ABS(H38))</f>
        <v>0.59116259945560279</v>
      </c>
      <c r="K38" s="33">
        <f>+'COLOMBIA USD'!K38+'EL SALVADOR USD'!K38+'VENEZUELA USD'!K38+'PANAMA USD'!K38</f>
        <v>101.16475565082283</v>
      </c>
      <c r="L38" s="35">
        <f t="shared" si="5"/>
        <v>4.5536550228550605E-4</v>
      </c>
      <c r="M38" s="33">
        <f>+'COLOMBIA USD'!M38+'EL SALVADOR USD'!M38+'VENEZUELA USD'!M38+'PANAMA USD'!M38</f>
        <v>4931.1053430576094</v>
      </c>
      <c r="N38" s="35">
        <f>+M38/$M$20</f>
        <v>2.2781185941164687E-2</v>
      </c>
      <c r="O38" s="35">
        <f>IF(K38=0,"",(M38-K38)/ABS(K38)+1)</f>
        <v>48.743312938724053</v>
      </c>
      <c r="P38" s="33">
        <f>+'COLOMBIA USD'!P38+'EL SALVADOR USD'!P38+'VENEZUELA USD'!P38+'PANAMA USD'!P38</f>
        <v>3099.0581005013114</v>
      </c>
      <c r="Q38" s="35">
        <f t="shared" si="8"/>
        <v>1.2162038868567109E-2</v>
      </c>
      <c r="R38" s="35">
        <f>IF(P38=0,"",(M38-P38)/ABS(P38))</f>
        <v>0.59116259945560279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59</v>
      </c>
      <c r="C39" s="33">
        <f>+'COLOMBIA USD'!C39+'EL SALVADOR USD'!C39+'VENEZUELA USD'!C39+'PANAMA USD'!C39</f>
        <v>8309.3463985573817</v>
      </c>
      <c r="D39" s="35">
        <f t="shared" si="13"/>
        <v>3.7402252119338432E-2</v>
      </c>
      <c r="E39" s="33">
        <f>+'COLOMBIA USD'!E39+'EL SALVADOR USD'!E39+'VENEZUELA USD'!E39+'PANAMA USD'!E39</f>
        <v>5707.6366091786913</v>
      </c>
      <c r="F39" s="35">
        <f>+E39/$E$20</f>
        <v>2.636867838594447E-2</v>
      </c>
      <c r="G39" s="35">
        <f>IF(C39=0,"",(E39-C39)/ABS(C39)+1)</f>
        <v>0.68689356965183412</v>
      </c>
      <c r="H39" s="33">
        <f>+'COLOMBIA USD'!H39+'EL SALVADOR USD'!H39+'VENEZUELA USD'!H39+'PANAMA USD'!H39</f>
        <v>8799.1228209188521</v>
      </c>
      <c r="I39" s="35">
        <f t="shared" si="16"/>
        <v>3.2647033077230853E-2</v>
      </c>
      <c r="J39" s="35">
        <f>IF(H39=0,"",(E39-H39)/ABS(H39))</f>
        <v>-0.35134027273611018</v>
      </c>
      <c r="K39" s="33">
        <f>+'COLOMBIA USD'!K39+'EL SALVADOR USD'!K39+'VENEZUELA USD'!K39+'PANAMA USD'!K39</f>
        <v>8309.3463985573817</v>
      </c>
      <c r="L39" s="35">
        <f t="shared" si="5"/>
        <v>3.7402252119338432E-2</v>
      </c>
      <c r="M39" s="33">
        <f>+'COLOMBIA USD'!M39+'EL SALVADOR USD'!M39+'VENEZUELA USD'!M39+'PANAMA USD'!M39</f>
        <v>5707.6366091786913</v>
      </c>
      <c r="N39" s="35">
        <f>+M39/$M$20</f>
        <v>2.636867838594447E-2</v>
      </c>
      <c r="O39" s="35">
        <f>IF(K39=0,"",(M39-K39)/ABS(K39)+1)</f>
        <v>0.68689356965183412</v>
      </c>
      <c r="P39" s="33">
        <f>+'COLOMBIA USD'!P39+'EL SALVADOR USD'!P39+'VENEZUELA USD'!P39+'PANAMA USD'!P39</f>
        <v>8799.1228209188521</v>
      </c>
      <c r="Q39" s="35">
        <f t="shared" si="8"/>
        <v>3.4531548066168843E-2</v>
      </c>
      <c r="R39" s="35">
        <f>IF(P39=0,"",(M39-P39)/ABS(P39))</f>
        <v>-0.35134027273611018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3"/>
      <c r="D40" s="35"/>
      <c r="E40" s="33"/>
      <c r="F40" s="35"/>
      <c r="G40" s="35"/>
      <c r="H40" s="33"/>
      <c r="I40" s="35"/>
      <c r="J40" s="35"/>
      <c r="K40" s="33"/>
      <c r="L40" s="35"/>
      <c r="M40" s="33"/>
      <c r="N40" s="35"/>
      <c r="O40" s="35"/>
      <c r="P40" s="33"/>
      <c r="Q40" s="35"/>
      <c r="R40" s="35"/>
    </row>
    <row r="41" spans="2:29" x14ac:dyDescent="0.2">
      <c r="B41" s="3" t="s">
        <v>60</v>
      </c>
      <c r="C41" s="33">
        <f>C36+C38-C39</f>
        <v>62519.592165402115</v>
      </c>
      <c r="D41" s="35">
        <f t="shared" si="13"/>
        <v>0.2814148594135587</v>
      </c>
      <c r="E41" s="33">
        <f>E36+E38-E39</f>
        <v>52670.796717700861</v>
      </c>
      <c r="F41" s="35">
        <f>+E41/$E$20</f>
        <v>0.2433335185963014</v>
      </c>
      <c r="G41" s="35">
        <f>IF(C41=0,"",(E41-C41)/ABS(C41)+1)</f>
        <v>0.84246865491948131</v>
      </c>
      <c r="H41" s="33">
        <f>H36+H38-H39</f>
        <v>75329.102101516153</v>
      </c>
      <c r="I41" s="35">
        <f t="shared" si="16"/>
        <v>0.27949055127855205</v>
      </c>
      <c r="J41" s="35">
        <f>IF(H41=0,"",(E41-H41)/ABS(H41))</f>
        <v>-0.30079085973014996</v>
      </c>
      <c r="K41" s="33">
        <f>K36+K38-K39</f>
        <v>62519.592165402115</v>
      </c>
      <c r="L41" s="35">
        <f t="shared" si="5"/>
        <v>0.2814148594135587</v>
      </c>
      <c r="M41" s="33">
        <f>+'COLOMBIA USD'!M41+'EL SALVADOR USD'!M41+'VENEZUELA USD'!M41+'PANAMA USD'!M41</f>
        <v>6653.4988932160959</v>
      </c>
      <c r="N41" s="35">
        <f>+M41/$M$20</f>
        <v>3.0738462251488449E-2</v>
      </c>
      <c r="O41" s="35">
        <f>IF(K41=0,"",(M41-K41)/ABS(K41)+1)</f>
        <v>0.10642262149781101</v>
      </c>
      <c r="P41" s="33">
        <f>+'COLOMBIA USD'!P41+'EL SALVADOR USD'!P41+'VENEZUELA USD'!P41+'PANAMA USD'!P41</f>
        <v>-24935.068832559835</v>
      </c>
      <c r="Q41" s="35">
        <f t="shared" si="8"/>
        <v>-9.7855950581543699E-2</v>
      </c>
      <c r="R41" s="35">
        <f>IF(P41=0,"",(M41-P41)/ABS(P41))</f>
        <v>1.266832986822481</v>
      </c>
    </row>
    <row r="42" spans="2:29" x14ac:dyDescent="0.2">
      <c r="B42" s="3" t="s">
        <v>46</v>
      </c>
      <c r="C42" s="33">
        <f>+'COLOMBIA USD'!C42+'EL SALVADOR USD'!C42+'VENEZUELA USD'!C42+'PANAMA USD'!C42</f>
        <v>5333.3786986946125</v>
      </c>
      <c r="D42" s="35">
        <f t="shared" si="13"/>
        <v>2.4006746760625794E-2</v>
      </c>
      <c r="E42" s="33">
        <f>+'COLOMBIA USD'!E42+'EL SALVADOR USD'!E42+'VENEZUELA USD'!E42+'PANAMA USD'!E42</f>
        <v>1230.5252807466543</v>
      </c>
      <c r="F42" s="35">
        <f>+E42/$E$20</f>
        <v>5.684896848829276E-3</v>
      </c>
      <c r="G42" s="35">
        <f>IF(C42=0,"",(E42-C42)/ABS(C42)+1)</f>
        <v>0.2307215276214748</v>
      </c>
      <c r="H42" s="33">
        <f>+'COLOMBIA USD'!H42+'EL SALVADOR USD'!H42+'VENEZUELA USD'!H42+'PANAMA USD'!H42</f>
        <v>6693.3129333992656</v>
      </c>
      <c r="I42" s="35">
        <f t="shared" si="16"/>
        <v>2.4833930970192344E-2</v>
      </c>
      <c r="J42" s="35">
        <f>IF(H42=0,"",(E42-H42)/ABS(H42))</f>
        <v>-0.81615602124227593</v>
      </c>
      <c r="K42" s="33">
        <f>+'COLOMBIA USD'!K42+'EL SALVADOR USD'!K42+'VENEZUELA USD'!K42+'PANAMA USD'!K42</f>
        <v>5333.3786986946125</v>
      </c>
      <c r="L42" s="35">
        <f t="shared" si="5"/>
        <v>2.4006746760625794E-2</v>
      </c>
      <c r="M42" s="33">
        <f>+'COLOMBIA USD'!M42+'EL SALVADOR USD'!M42+'VENEZUELA USD'!M42+'PANAMA USD'!M42</f>
        <v>1230.5252807466543</v>
      </c>
      <c r="N42" s="35">
        <f>+M42/$M$20</f>
        <v>5.684896848829276E-3</v>
      </c>
      <c r="O42" s="35">
        <f>IF(K42=0,"",(M42-K42)/ABS(K42)+1)</f>
        <v>0.2307215276214748</v>
      </c>
      <c r="P42" s="33">
        <f>+'COLOMBIA USD'!P42+'EL SALVADOR USD'!P42+'VENEZUELA USD'!P42+'PANAMA USD'!P42</f>
        <v>6693.3129333992656</v>
      </c>
      <c r="Q42" s="35">
        <f t="shared" si="8"/>
        <v>2.6267443015126641E-2</v>
      </c>
      <c r="R42" s="35">
        <f>IF(P42=0,"",(M42-P42)/ABS(P42))</f>
        <v>-0.81615602124227593</v>
      </c>
    </row>
    <row r="43" spans="2:29" x14ac:dyDescent="0.2">
      <c r="B43" s="21" t="s">
        <v>61</v>
      </c>
      <c r="C43" s="69">
        <f>+C41-C42</f>
        <v>57186.213466707501</v>
      </c>
      <c r="D43" s="45">
        <f t="shared" si="13"/>
        <v>0.2574081126529329</v>
      </c>
      <c r="E43" s="69">
        <f>E41-E42</f>
        <v>51440.271436954208</v>
      </c>
      <c r="F43" s="45">
        <f>+E43/$E$20</f>
        <v>0.23764862174747212</v>
      </c>
      <c r="G43" s="45">
        <f>IF(C43=0,"",(E43-C43)/ABS(C43)+1)</f>
        <v>0.89952225053161727</v>
      </c>
      <c r="H43" s="69">
        <f>+H41-H42</f>
        <v>68635.789168116884</v>
      </c>
      <c r="I43" s="45">
        <f t="shared" si="16"/>
        <v>0.25465662030835973</v>
      </c>
      <c r="J43" s="45">
        <f>IF(H43=0,"",(E43-H43)/ABS(H43))</f>
        <v>-0.25053281880454348</v>
      </c>
      <c r="K43" s="69">
        <f>+K41-K42</f>
        <v>57186.213466707501</v>
      </c>
      <c r="L43" s="45">
        <f t="shared" si="5"/>
        <v>0.2574081126529329</v>
      </c>
      <c r="M43" s="69">
        <f>+M41-M42</f>
        <v>5422.9736124694418</v>
      </c>
      <c r="N43" s="45">
        <f>+M43/$M$20</f>
        <v>2.5053565402659173E-2</v>
      </c>
      <c r="O43" s="45">
        <f>IF(K43=0,"",(M43-K43)/ABS(K43)+1)</f>
        <v>9.4830087248678696E-2</v>
      </c>
      <c r="P43" s="69">
        <f>P41-P42</f>
        <v>-31628.3817659591</v>
      </c>
      <c r="Q43" s="45">
        <f t="shared" si="8"/>
        <v>-0.12412339359667034</v>
      </c>
      <c r="R43" s="45">
        <f>IF(P43=0,"",(M43-P43)/ABS(P43))</f>
        <v>1.1714590917928676</v>
      </c>
    </row>
    <row r="44" spans="2:29" x14ac:dyDescent="0.2">
      <c r="B44" s="3"/>
      <c r="C44" s="33"/>
      <c r="D44" s="35"/>
      <c r="E44" s="33"/>
      <c r="F44" s="35"/>
      <c r="G44" s="35"/>
      <c r="H44" s="33"/>
      <c r="I44" s="35"/>
      <c r="J44" s="35"/>
      <c r="K44" s="33"/>
      <c r="L44" s="35"/>
      <c r="M44" s="33"/>
      <c r="N44" s="35"/>
      <c r="O44" s="35"/>
      <c r="P44" s="33"/>
      <c r="Q44" s="35"/>
      <c r="R44" s="35"/>
    </row>
    <row r="45" spans="2:29" x14ac:dyDescent="0.2">
      <c r="B45" s="3" t="s">
        <v>87</v>
      </c>
      <c r="C45" s="33">
        <f>+'COLOMBIA USD'!C45+'EL SALVADOR USD'!C45+'VENEZUELA USD'!C45+'PANAMA USD'!C45</f>
        <v>33998.843183287405</v>
      </c>
      <c r="D45" s="35">
        <f t="shared" si="13"/>
        <v>0.15303650173110361</v>
      </c>
      <c r="E45" s="33">
        <f>+'COLOMBIA USD'!E45+'EL SALVADOR USD'!E45+'VENEZUELA USD'!E45+'PANAMA USD'!E45</f>
        <v>26062.453889697965</v>
      </c>
      <c r="F45" s="35">
        <f>+E45/$E$20</f>
        <v>0.12040578467465599</v>
      </c>
      <c r="G45" s="35">
        <f>IF(C45=0,"",(E45-C45)/ABS(C45)+1)</f>
        <v>0.76656884321609264</v>
      </c>
      <c r="H45" s="33">
        <f>+'COLOMBIA USD'!H45+'EL SALVADOR USD'!H45+'VENEZUELA USD'!H45+'PANAMA USD'!H45</f>
        <v>47565.775796438436</v>
      </c>
      <c r="I45" s="35">
        <f t="shared" si="16"/>
        <v>0.17648139335874302</v>
      </c>
      <c r="J45" s="35">
        <f>IF(H45=0,"",(E45-H45)/ABS(H45))</f>
        <v>-0.4520755006449525</v>
      </c>
      <c r="K45" s="33">
        <f>+'COLOMBIA USD'!K45+'EL SALVADOR USD'!K45+'VENEZUELA USD'!K45+'PANAMA USD'!K45</f>
        <v>33998.843183287405</v>
      </c>
      <c r="L45" s="35">
        <f t="shared" si="5"/>
        <v>0.15303650173110361</v>
      </c>
      <c r="M45" s="33">
        <f>+'COLOMBIA USD'!M45+'EL SALVADOR USD'!M45+'VENEZUELA USD'!M45+'PANAMA USD'!M45</f>
        <v>26062.453889697965</v>
      </c>
      <c r="N45" s="35">
        <f>+M45/$M$20</f>
        <v>0.12040578467465599</v>
      </c>
      <c r="O45" s="35">
        <f>IF(K45=0,"",(M45-K45)/ABS(K45)+1)</f>
        <v>0.76656884321609264</v>
      </c>
      <c r="P45" s="33">
        <f>+'COLOMBIA USD'!P45+'EL SALVADOR USD'!P45+'VENEZUELA USD'!P45+'PANAMA USD'!P45</f>
        <v>47565.775796438436</v>
      </c>
      <c r="Q45" s="35">
        <f t="shared" si="8"/>
        <v>0.18666859261407645</v>
      </c>
      <c r="R45" s="35">
        <f>IF(P45=0,"",(M45-P45)/ABS(P45))</f>
        <v>-0.4520755006449525</v>
      </c>
    </row>
    <row r="46" spans="2:29" x14ac:dyDescent="0.2">
      <c r="B46" s="3" t="s">
        <v>37</v>
      </c>
      <c r="C46" s="33">
        <f>+'COLOMBIA USD'!C46+'EL SALVADOR USD'!C46+'VENEZUELA USD'!C46+'PANAMA USD'!C46</f>
        <v>106846.31349732912</v>
      </c>
      <c r="D46" s="35">
        <f t="shared" si="13"/>
        <v>0.48093948233314582</v>
      </c>
      <c r="E46" s="33">
        <f>+'COLOMBIA USD'!E46+'EL SALVADOR USD'!E46+'VENEZUELA USD'!E46+'PANAMA USD'!E46</f>
        <v>106118.05111566414</v>
      </c>
      <c r="F46" s="35">
        <f>+E46/$E$20</f>
        <v>0.4902541896784865</v>
      </c>
      <c r="G46" s="35">
        <f>IF(C46=0,"",(E46-C46)/ABS(C46)+1)</f>
        <v>0.99318401957140823</v>
      </c>
      <c r="H46" s="33">
        <f>+'COLOMBIA USD'!H46+'EL SALVADOR USD'!H46+'VENEZUELA USD'!H46+'PANAMA USD'!H46</f>
        <v>118502.86197824219</v>
      </c>
      <c r="I46" s="35">
        <f t="shared" si="16"/>
        <v>0.43967642383086974</v>
      </c>
      <c r="J46" s="35">
        <f>IF(H46=0,"",(E46-H46)/ABS(H46))</f>
        <v>-0.10451064772471037</v>
      </c>
      <c r="K46" s="33">
        <f>+'COLOMBIA USD'!K46+'EL SALVADOR USD'!K46+'VENEZUELA USD'!K46+'PANAMA USD'!K46</f>
        <v>106846.31349732912</v>
      </c>
      <c r="L46" s="35">
        <f t="shared" si="5"/>
        <v>0.48093948233314582</v>
      </c>
      <c r="M46" s="33">
        <f>+'COLOMBIA USD'!M46+'EL SALVADOR USD'!M46+'VENEZUELA USD'!M46+'PANAMA USD'!M46</f>
        <v>106118.05111566414</v>
      </c>
      <c r="N46" s="35">
        <f>+M46/$M$20</f>
        <v>0.4902541896784865</v>
      </c>
      <c r="O46" s="35">
        <f>IF(K46=0,"",(M46-K46)/ABS(K46)+1)</f>
        <v>0.99318401957140823</v>
      </c>
      <c r="P46" s="33">
        <f>+'COLOMBIA USD'!P46+'EL SALVADOR USD'!P46+'VENEZUELA USD'!P46+'PANAMA USD'!P46</f>
        <v>118502.86197824219</v>
      </c>
      <c r="Q46" s="35">
        <f t="shared" si="8"/>
        <v>0.46505627409266287</v>
      </c>
      <c r="R46" s="35">
        <f>IF(P46=0,"",(M46-P46)/ABS(P46))</f>
        <v>-0.10451064772471037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6B68-B3DC-437B-98F6-F09F65DC58EB}">
  <dimension ref="A6:V595"/>
  <sheetViews>
    <sheetView topLeftCell="A59" workbookViewId="0">
      <selection activeCell="A60" sqref="A60:A87"/>
    </sheetView>
  </sheetViews>
  <sheetFormatPr baseColWidth="10" defaultColWidth="11.42578125" defaultRowHeight="12" x14ac:dyDescent="0.2"/>
  <cols>
    <col min="1" max="1" width="40.85546875" style="125" customWidth="1"/>
    <col min="2" max="2" width="44.42578125" style="125" customWidth="1"/>
    <col min="3" max="3" width="29.140625" style="125" customWidth="1"/>
    <col min="4" max="4" width="8" style="125" customWidth="1"/>
    <col min="5" max="5" width="22.85546875" style="125" bestFit="1" customWidth="1"/>
    <col min="6" max="6" width="36.42578125" style="125" bestFit="1" customWidth="1"/>
    <col min="7" max="7" width="13.42578125" style="127" bestFit="1" customWidth="1"/>
    <col min="8" max="18" width="30.5703125" style="127" bestFit="1" customWidth="1"/>
    <col min="19" max="19" width="14.140625" style="127" bestFit="1" customWidth="1"/>
    <col min="20" max="22" width="11.42578125" style="127"/>
    <col min="23" max="16384" width="11.42578125" style="125"/>
  </cols>
  <sheetData>
    <row r="6" spans="1:2" x14ac:dyDescent="0.2">
      <c r="A6" s="123" t="s">
        <v>160</v>
      </c>
      <c r="B6" s="124" t="s">
        <v>161</v>
      </c>
    </row>
    <row r="7" spans="1:2" x14ac:dyDescent="0.2">
      <c r="A7" s="123" t="s">
        <v>68</v>
      </c>
      <c r="B7" s="124" t="s">
        <v>162</v>
      </c>
    </row>
    <row r="8" spans="1:2" x14ac:dyDescent="0.2">
      <c r="A8" s="123" t="s">
        <v>70</v>
      </c>
      <c r="B8" s="124" t="s">
        <v>163</v>
      </c>
    </row>
    <row r="9" spans="1:2" x14ac:dyDescent="0.2">
      <c r="A9" s="123" t="s">
        <v>81</v>
      </c>
      <c r="B9" s="124" t="s">
        <v>164</v>
      </c>
    </row>
    <row r="10" spans="1:2" x14ac:dyDescent="0.2">
      <c r="A10" s="123" t="s">
        <v>165</v>
      </c>
      <c r="B10" s="124" t="s">
        <v>166</v>
      </c>
    </row>
    <row r="11" spans="1:2" x14ac:dyDescent="0.2">
      <c r="A11" s="123">
        <v>4170250500</v>
      </c>
      <c r="B11" s="124" t="s">
        <v>167</v>
      </c>
    </row>
    <row r="12" spans="1:2" x14ac:dyDescent="0.2">
      <c r="A12" s="123" t="s">
        <v>83</v>
      </c>
      <c r="B12" s="124" t="s">
        <v>168</v>
      </c>
    </row>
    <row r="13" spans="1:2" x14ac:dyDescent="0.2">
      <c r="A13" s="123" t="s">
        <v>169</v>
      </c>
      <c r="B13" s="124" t="s">
        <v>170</v>
      </c>
    </row>
    <row r="14" spans="1:2" x14ac:dyDescent="0.2">
      <c r="A14" s="123" t="s">
        <v>76</v>
      </c>
      <c r="B14" s="124" t="s">
        <v>171</v>
      </c>
    </row>
    <row r="15" spans="1:2" x14ac:dyDescent="0.2">
      <c r="A15" s="123">
        <v>4155951000</v>
      </c>
      <c r="B15" s="124" t="s">
        <v>172</v>
      </c>
    </row>
    <row r="16" spans="1:2" x14ac:dyDescent="0.2">
      <c r="A16" s="123" t="s">
        <v>79</v>
      </c>
      <c r="B16" s="124" t="s">
        <v>173</v>
      </c>
    </row>
    <row r="33" spans="1:19" x14ac:dyDescent="0.2">
      <c r="B33" s="126" t="s">
        <v>174</v>
      </c>
      <c r="D33" s="125" t="s">
        <v>175</v>
      </c>
    </row>
    <row r="34" spans="1:19" x14ac:dyDescent="0.2">
      <c r="A34" s="125" t="s">
        <v>176</v>
      </c>
      <c r="B34" s="126" t="s">
        <v>177</v>
      </c>
    </row>
    <row r="35" spans="1:19" x14ac:dyDescent="0.2">
      <c r="A35" s="125" t="s">
        <v>178</v>
      </c>
      <c r="B35" s="126" t="s">
        <v>179</v>
      </c>
    </row>
    <row r="36" spans="1:19" x14ac:dyDescent="0.2">
      <c r="A36" s="125" t="s">
        <v>180</v>
      </c>
      <c r="B36" s="126" t="s">
        <v>181</v>
      </c>
    </row>
    <row r="37" spans="1:19" x14ac:dyDescent="0.2">
      <c r="A37" s="125" t="s">
        <v>182</v>
      </c>
      <c r="B37" s="126" t="s">
        <v>183</v>
      </c>
    </row>
    <row r="38" spans="1:19" x14ac:dyDescent="0.2">
      <c r="B38" s="126"/>
    </row>
    <row r="39" spans="1:19" x14ac:dyDescent="0.2">
      <c r="B39" s="126"/>
    </row>
    <row r="40" spans="1:19" x14ac:dyDescent="0.2">
      <c r="B40" s="126"/>
    </row>
    <row r="41" spans="1:19" x14ac:dyDescent="0.2">
      <c r="B41" s="126" t="s">
        <v>184</v>
      </c>
      <c r="G41" s="125"/>
      <c r="H41" s="125"/>
      <c r="I41" s="125"/>
      <c r="J41" s="125"/>
      <c r="K41" s="125"/>
      <c r="L41" s="125"/>
      <c r="M41" s="125"/>
      <c r="N41" s="125"/>
      <c r="O41" s="125"/>
      <c r="P41" s="125"/>
      <c r="Q41" s="125"/>
      <c r="R41" s="125"/>
      <c r="S41" s="125"/>
    </row>
    <row r="42" spans="1:19" x14ac:dyDescent="0.2">
      <c r="A42" s="128"/>
      <c r="B42" s="125" t="s">
        <v>185</v>
      </c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</row>
    <row r="43" spans="1:19" x14ac:dyDescent="0.2">
      <c r="A43" s="128" t="s">
        <v>186</v>
      </c>
      <c r="B43" s="124" t="s">
        <v>187</v>
      </c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</row>
    <row r="44" spans="1:19" x14ac:dyDescent="0.2">
      <c r="A44" s="125" t="s">
        <v>188</v>
      </c>
      <c r="B44" s="124" t="s">
        <v>189</v>
      </c>
      <c r="G44" s="125"/>
    </row>
    <row r="45" spans="1:19" x14ac:dyDescent="0.2">
      <c r="A45" s="128" t="s">
        <v>190</v>
      </c>
      <c r="B45" s="124" t="s">
        <v>191</v>
      </c>
      <c r="G45" s="125"/>
    </row>
    <row r="46" spans="1:19" x14ac:dyDescent="0.2">
      <c r="A46" s="123" t="s">
        <v>192</v>
      </c>
      <c r="B46" s="124" t="s">
        <v>193</v>
      </c>
      <c r="G46" s="125"/>
    </row>
    <row r="47" spans="1:19" x14ac:dyDescent="0.2">
      <c r="A47" s="123" t="s">
        <v>194</v>
      </c>
      <c r="B47" s="124" t="s">
        <v>195</v>
      </c>
    </row>
    <row r="48" spans="1:19" x14ac:dyDescent="0.2">
      <c r="A48" s="128" t="s">
        <v>196</v>
      </c>
      <c r="B48" s="124" t="s">
        <v>197</v>
      </c>
    </row>
    <row r="49" spans="1:5" x14ac:dyDescent="0.2">
      <c r="A49" s="128" t="s">
        <v>198</v>
      </c>
      <c r="B49" s="124" t="s">
        <v>199</v>
      </c>
    </row>
    <row r="50" spans="1:5" x14ac:dyDescent="0.2">
      <c r="A50" s="128" t="s">
        <v>200</v>
      </c>
      <c r="B50" s="124" t="s">
        <v>201</v>
      </c>
    </row>
    <row r="51" spans="1:5" x14ac:dyDescent="0.2">
      <c r="A51" s="129" t="s">
        <v>202</v>
      </c>
      <c r="B51" s="124" t="s">
        <v>203</v>
      </c>
    </row>
    <row r="52" spans="1:5" x14ac:dyDescent="0.2">
      <c r="A52" s="128" t="s">
        <v>204</v>
      </c>
      <c r="B52" s="124" t="s">
        <v>205</v>
      </c>
    </row>
    <row r="53" spans="1:5" x14ac:dyDescent="0.2">
      <c r="A53" s="123" t="s">
        <v>206</v>
      </c>
      <c r="B53" s="124" t="s">
        <v>207</v>
      </c>
    </row>
    <row r="54" spans="1:5" x14ac:dyDescent="0.2">
      <c r="A54" s="123" t="s">
        <v>208</v>
      </c>
      <c r="B54" s="124" t="s">
        <v>209</v>
      </c>
    </row>
    <row r="55" spans="1:5" x14ac:dyDescent="0.2">
      <c r="A55" s="123" t="s">
        <v>210</v>
      </c>
      <c r="B55" s="124" t="s">
        <v>211</v>
      </c>
    </row>
    <row r="56" spans="1:5" x14ac:dyDescent="0.2">
      <c r="A56" s="128" t="s">
        <v>212</v>
      </c>
      <c r="B56" s="124" t="s">
        <v>213</v>
      </c>
    </row>
    <row r="57" spans="1:5" x14ac:dyDescent="0.2">
      <c r="A57" s="123" t="s">
        <v>214</v>
      </c>
      <c r="B57" s="124" t="s">
        <v>215</v>
      </c>
    </row>
    <row r="58" spans="1:5" x14ac:dyDescent="0.2">
      <c r="A58" s="129" t="s">
        <v>216</v>
      </c>
      <c r="B58" s="130" t="s">
        <v>217</v>
      </c>
    </row>
    <row r="59" spans="1:5" x14ac:dyDescent="0.2">
      <c r="A59" s="128"/>
      <c r="B59" s="130" t="s">
        <v>218</v>
      </c>
      <c r="C59" s="125" t="str">
        <f>+Paramet!B4</f>
        <v>202601</v>
      </c>
    </row>
    <row r="60" spans="1:5" x14ac:dyDescent="0.2">
      <c r="A60" s="128" t="s">
        <v>219</v>
      </c>
      <c r="B60" s="124" t="s">
        <v>220</v>
      </c>
      <c r="C60" s="131"/>
      <c r="D60" s="131"/>
      <c r="E60" s="132"/>
    </row>
    <row r="61" spans="1:5" x14ac:dyDescent="0.2">
      <c r="A61" s="125" t="s">
        <v>221</v>
      </c>
      <c r="B61" s="124" t="s">
        <v>222</v>
      </c>
      <c r="C61" s="131"/>
      <c r="D61" s="131"/>
      <c r="E61" s="132"/>
    </row>
    <row r="62" spans="1:5" x14ac:dyDescent="0.2">
      <c r="A62" s="128" t="s">
        <v>223</v>
      </c>
      <c r="B62" s="124" t="s">
        <v>224</v>
      </c>
      <c r="C62" s="131"/>
      <c r="D62" s="131"/>
      <c r="E62" s="132"/>
    </row>
    <row r="63" spans="1:5" x14ac:dyDescent="0.2">
      <c r="A63" s="128" t="s">
        <v>225</v>
      </c>
      <c r="B63" s="124" t="s">
        <v>226</v>
      </c>
      <c r="C63" s="131"/>
      <c r="D63" s="131"/>
      <c r="E63" s="132"/>
    </row>
    <row r="64" spans="1:5" x14ac:dyDescent="0.2">
      <c r="A64" s="128" t="s">
        <v>227</v>
      </c>
      <c r="B64" s="124" t="s">
        <v>228</v>
      </c>
      <c r="C64" s="131"/>
      <c r="D64" s="131"/>
      <c r="E64" s="132"/>
    </row>
    <row r="65" spans="1:5" x14ac:dyDescent="0.2">
      <c r="A65" s="128" t="s">
        <v>229</v>
      </c>
      <c r="B65" s="124" t="s">
        <v>230</v>
      </c>
      <c r="C65" s="131"/>
      <c r="D65" s="131"/>
      <c r="E65" s="132"/>
    </row>
    <row r="66" spans="1:5" x14ac:dyDescent="0.2">
      <c r="A66" s="128" t="s">
        <v>231</v>
      </c>
      <c r="B66" s="124" t="s">
        <v>232</v>
      </c>
      <c r="C66" s="131"/>
      <c r="D66" s="131"/>
      <c r="E66" s="132"/>
    </row>
    <row r="67" spans="1:5" x14ac:dyDescent="0.2">
      <c r="A67" s="128" t="s">
        <v>233</v>
      </c>
      <c r="B67" s="124" t="s">
        <v>234</v>
      </c>
      <c r="C67" s="131"/>
      <c r="D67" s="131"/>
      <c r="E67" s="132"/>
    </row>
    <row r="68" spans="1:5" x14ac:dyDescent="0.2">
      <c r="A68" s="123" t="s">
        <v>235</v>
      </c>
      <c r="B68" s="124" t="s">
        <v>236</v>
      </c>
      <c r="C68" s="131"/>
      <c r="D68" s="131"/>
      <c r="E68" s="132"/>
    </row>
    <row r="69" spans="1:5" x14ac:dyDescent="0.2">
      <c r="A69" s="128" t="s">
        <v>237</v>
      </c>
      <c r="B69" s="124" t="s">
        <v>238</v>
      </c>
      <c r="C69" s="131"/>
      <c r="D69" s="131"/>
      <c r="E69" s="132"/>
    </row>
    <row r="70" spans="1:5" x14ac:dyDescent="0.2">
      <c r="A70" s="128" t="s">
        <v>239</v>
      </c>
      <c r="B70" s="124" t="s">
        <v>240</v>
      </c>
      <c r="C70" s="131"/>
      <c r="D70" s="131"/>
      <c r="E70" s="132"/>
    </row>
    <row r="71" spans="1:5" x14ac:dyDescent="0.2">
      <c r="A71" s="128" t="s">
        <v>241</v>
      </c>
      <c r="B71" s="124" t="s">
        <v>242</v>
      </c>
      <c r="C71" s="131"/>
      <c r="D71" s="131"/>
      <c r="E71" s="132"/>
    </row>
    <row r="72" spans="1:5" x14ac:dyDescent="0.2">
      <c r="A72" s="128" t="s">
        <v>243</v>
      </c>
      <c r="B72" s="124" t="s">
        <v>244</v>
      </c>
      <c r="C72" s="131"/>
      <c r="D72" s="131"/>
      <c r="E72" s="132"/>
    </row>
    <row r="73" spans="1:5" x14ac:dyDescent="0.2">
      <c r="A73" s="123" t="s">
        <v>245</v>
      </c>
      <c r="B73" s="124" t="s">
        <v>246</v>
      </c>
      <c r="C73" s="131"/>
      <c r="D73" s="131"/>
      <c r="E73" s="132"/>
    </row>
    <row r="74" spans="1:5" x14ac:dyDescent="0.2">
      <c r="A74" s="128" t="s">
        <v>247</v>
      </c>
      <c r="B74" s="124" t="s">
        <v>248</v>
      </c>
      <c r="C74" s="131"/>
      <c r="D74" s="131"/>
      <c r="E74" s="132"/>
    </row>
    <row r="75" spans="1:5" x14ac:dyDescent="0.2">
      <c r="A75" s="123" t="s">
        <v>249</v>
      </c>
      <c r="B75" s="124" t="s">
        <v>250</v>
      </c>
      <c r="C75" s="131"/>
      <c r="D75" s="131"/>
      <c r="E75" s="132"/>
    </row>
    <row r="76" spans="1:5" x14ac:dyDescent="0.2">
      <c r="A76" s="128" t="s">
        <v>251</v>
      </c>
      <c r="B76" s="124" t="s">
        <v>252</v>
      </c>
      <c r="C76" s="131"/>
      <c r="D76" s="131"/>
      <c r="E76" s="132"/>
    </row>
    <row r="77" spans="1:5" x14ac:dyDescent="0.2">
      <c r="A77" s="128" t="s">
        <v>253</v>
      </c>
      <c r="B77" s="124" t="s">
        <v>254</v>
      </c>
      <c r="C77" s="131"/>
      <c r="D77" s="131"/>
      <c r="E77" s="132"/>
    </row>
    <row r="78" spans="1:5" x14ac:dyDescent="0.2">
      <c r="A78" s="128" t="s">
        <v>255</v>
      </c>
      <c r="B78" s="124" t="s">
        <v>256</v>
      </c>
      <c r="C78" s="131"/>
      <c r="D78" s="131"/>
      <c r="E78" s="132"/>
    </row>
    <row r="79" spans="1:5" x14ac:dyDescent="0.2">
      <c r="A79" s="128" t="s">
        <v>257</v>
      </c>
      <c r="B79" s="124" t="s">
        <v>258</v>
      </c>
      <c r="C79" s="131"/>
      <c r="D79" s="131"/>
      <c r="E79" s="132"/>
    </row>
    <row r="80" spans="1:5" x14ac:dyDescent="0.2">
      <c r="A80" s="128" t="s">
        <v>259</v>
      </c>
      <c r="B80" s="124" t="s">
        <v>260</v>
      </c>
      <c r="C80" s="131"/>
      <c r="D80" s="131"/>
      <c r="E80" s="132"/>
    </row>
    <row r="81" spans="1:5" x14ac:dyDescent="0.2">
      <c r="A81" s="128" t="s">
        <v>261</v>
      </c>
      <c r="B81" s="124" t="s">
        <v>262</v>
      </c>
      <c r="C81" s="131"/>
      <c r="D81" s="131"/>
      <c r="E81" s="132"/>
    </row>
    <row r="82" spans="1:5" x14ac:dyDescent="0.2">
      <c r="A82" s="123" t="s">
        <v>263</v>
      </c>
      <c r="B82" s="124" t="s">
        <v>264</v>
      </c>
      <c r="C82" s="131"/>
      <c r="D82" s="131"/>
      <c r="E82" s="132"/>
    </row>
    <row r="83" spans="1:5" x14ac:dyDescent="0.2">
      <c r="A83" s="128" t="s">
        <v>265</v>
      </c>
      <c r="B83" s="124" t="s">
        <v>266</v>
      </c>
      <c r="C83" s="131"/>
      <c r="D83" s="131"/>
      <c r="E83" s="132"/>
    </row>
    <row r="84" spans="1:5" x14ac:dyDescent="0.2">
      <c r="A84" s="128" t="s">
        <v>267</v>
      </c>
      <c r="B84" s="124" t="s">
        <v>268</v>
      </c>
      <c r="C84" s="131"/>
      <c r="D84" s="131"/>
      <c r="E84" s="132"/>
    </row>
    <row r="85" spans="1:5" x14ac:dyDescent="0.2">
      <c r="A85" s="128" t="s">
        <v>269</v>
      </c>
      <c r="B85" s="124" t="s">
        <v>270</v>
      </c>
      <c r="C85" s="131"/>
      <c r="D85" s="131"/>
      <c r="E85" s="132"/>
    </row>
    <row r="86" spans="1:5" x14ac:dyDescent="0.2">
      <c r="A86" s="133" t="s">
        <v>271</v>
      </c>
      <c r="B86" s="124" t="s">
        <v>272</v>
      </c>
      <c r="C86" s="131"/>
      <c r="D86" s="131"/>
      <c r="E86" s="132"/>
    </row>
    <row r="87" spans="1:5" x14ac:dyDescent="0.2">
      <c r="A87" s="128" t="s">
        <v>273</v>
      </c>
      <c r="B87" s="124" t="s">
        <v>274</v>
      </c>
      <c r="C87" s="131"/>
      <c r="D87" s="131"/>
      <c r="E87" s="132"/>
    </row>
    <row r="88" spans="1:5" x14ac:dyDescent="0.2">
      <c r="A88" s="128"/>
      <c r="B88" s="130" t="s">
        <v>275</v>
      </c>
      <c r="C88" s="132"/>
      <c r="D88" s="134"/>
      <c r="E88" s="135"/>
    </row>
    <row r="89" spans="1:5" x14ac:dyDescent="0.2">
      <c r="A89" s="128" t="s">
        <v>276</v>
      </c>
      <c r="B89" s="124" t="s">
        <v>277</v>
      </c>
    </row>
    <row r="90" spans="1:5" x14ac:dyDescent="0.2">
      <c r="A90" s="123">
        <v>5105180100</v>
      </c>
      <c r="B90" s="124" t="s">
        <v>278</v>
      </c>
    </row>
    <row r="91" spans="1:5" x14ac:dyDescent="0.2">
      <c r="A91" s="125" t="s">
        <v>279</v>
      </c>
      <c r="B91" s="124" t="s">
        <v>280</v>
      </c>
    </row>
    <row r="92" spans="1:5" x14ac:dyDescent="0.2">
      <c r="A92" s="123">
        <v>5105480100</v>
      </c>
      <c r="B92" s="124" t="s">
        <v>281</v>
      </c>
    </row>
    <row r="93" spans="1:5" x14ac:dyDescent="0.2">
      <c r="A93" s="128" t="s">
        <v>282</v>
      </c>
      <c r="B93" s="124" t="s">
        <v>283</v>
      </c>
    </row>
    <row r="94" spans="1:5" x14ac:dyDescent="0.2">
      <c r="A94" s="128" t="s">
        <v>284</v>
      </c>
      <c r="B94" s="124" t="s">
        <v>285</v>
      </c>
    </row>
    <row r="95" spans="1:5" x14ac:dyDescent="0.2">
      <c r="A95" s="128"/>
      <c r="B95" s="130" t="s">
        <v>286</v>
      </c>
    </row>
    <row r="96" spans="1:5" x14ac:dyDescent="0.2">
      <c r="A96" s="123">
        <v>5105180000</v>
      </c>
      <c r="B96" s="124" t="s">
        <v>287</v>
      </c>
      <c r="C96" s="131"/>
      <c r="E96" s="132"/>
    </row>
    <row r="97" spans="1:5" x14ac:dyDescent="0.2">
      <c r="A97" s="128" t="s">
        <v>288</v>
      </c>
      <c r="B97" s="124" t="s">
        <v>289</v>
      </c>
      <c r="C97" s="131"/>
      <c r="E97" s="132"/>
    </row>
    <row r="98" spans="1:5" x14ac:dyDescent="0.2">
      <c r="A98" s="128" t="s">
        <v>290</v>
      </c>
      <c r="B98" s="124" t="s">
        <v>291</v>
      </c>
      <c r="C98" s="131"/>
      <c r="E98" s="132"/>
    </row>
    <row r="99" spans="1:5" x14ac:dyDescent="0.2">
      <c r="A99" s="128" t="s">
        <v>292</v>
      </c>
      <c r="B99" s="124" t="s">
        <v>293</v>
      </c>
      <c r="C99" s="131"/>
      <c r="E99" s="132"/>
    </row>
    <row r="100" spans="1:5" x14ac:dyDescent="0.2">
      <c r="A100" s="123" t="s">
        <v>294</v>
      </c>
      <c r="B100" s="124" t="s">
        <v>295</v>
      </c>
      <c r="C100" s="131"/>
      <c r="E100" s="132"/>
    </row>
    <row r="101" spans="1:5" x14ac:dyDescent="0.2">
      <c r="A101" s="128" t="s">
        <v>296</v>
      </c>
      <c r="B101" s="124" t="s">
        <v>297</v>
      </c>
      <c r="C101" s="131"/>
      <c r="E101" s="132"/>
    </row>
    <row r="102" spans="1:5" x14ac:dyDescent="0.2">
      <c r="A102" s="128" t="s">
        <v>298</v>
      </c>
      <c r="B102" s="124" t="s">
        <v>299</v>
      </c>
      <c r="C102" s="131"/>
      <c r="E102" s="132"/>
    </row>
    <row r="103" spans="1:5" x14ac:dyDescent="0.2">
      <c r="A103" s="123" t="s">
        <v>300</v>
      </c>
      <c r="B103" s="124" t="s">
        <v>301</v>
      </c>
      <c r="C103" s="131"/>
      <c r="E103" s="132"/>
    </row>
    <row r="104" spans="1:5" x14ac:dyDescent="0.2">
      <c r="A104" s="123" t="s">
        <v>302</v>
      </c>
      <c r="B104" s="124" t="s">
        <v>303</v>
      </c>
      <c r="C104" s="131"/>
      <c r="E104" s="132"/>
    </row>
    <row r="105" spans="1:5" x14ac:dyDescent="0.2">
      <c r="A105" s="123">
        <v>5120100000</v>
      </c>
      <c r="B105" s="124" t="s">
        <v>304</v>
      </c>
      <c r="C105" s="131"/>
      <c r="E105" s="132"/>
    </row>
    <row r="106" spans="1:5" x14ac:dyDescent="0.2">
      <c r="A106" s="128" t="s">
        <v>305</v>
      </c>
      <c r="B106" s="124" t="s">
        <v>306</v>
      </c>
      <c r="C106" s="131"/>
      <c r="E106" s="132"/>
    </row>
    <row r="107" spans="1:5" x14ac:dyDescent="0.2">
      <c r="A107" s="128" t="s">
        <v>307</v>
      </c>
      <c r="B107" s="124" t="s">
        <v>308</v>
      </c>
      <c r="C107" s="131"/>
      <c r="E107" s="132"/>
    </row>
    <row r="108" spans="1:5" x14ac:dyDescent="0.2">
      <c r="A108" s="128" t="s">
        <v>309</v>
      </c>
      <c r="B108" s="124" t="s">
        <v>310</v>
      </c>
      <c r="C108" s="131"/>
      <c r="E108" s="132"/>
    </row>
    <row r="109" spans="1:5" x14ac:dyDescent="0.2">
      <c r="A109" s="128" t="s">
        <v>311</v>
      </c>
      <c r="B109" s="124" t="s">
        <v>312</v>
      </c>
      <c r="C109" s="131"/>
      <c r="E109" s="132"/>
    </row>
    <row r="110" spans="1:5" x14ac:dyDescent="0.2">
      <c r="A110" s="128" t="s">
        <v>313</v>
      </c>
      <c r="B110" s="124" t="s">
        <v>314</v>
      </c>
      <c r="C110" s="131"/>
      <c r="E110" s="132"/>
    </row>
    <row r="111" spans="1:5" x14ac:dyDescent="0.2">
      <c r="A111" s="128" t="s">
        <v>315</v>
      </c>
      <c r="B111" s="124" t="s">
        <v>316</v>
      </c>
      <c r="C111" s="131"/>
      <c r="E111" s="132"/>
    </row>
    <row r="112" spans="1:5" x14ac:dyDescent="0.2">
      <c r="A112" s="128" t="s">
        <v>317</v>
      </c>
      <c r="B112" s="124" t="s">
        <v>318</v>
      </c>
      <c r="C112" s="131"/>
      <c r="E112" s="132"/>
    </row>
    <row r="113" spans="1:11" x14ac:dyDescent="0.2">
      <c r="A113" s="128" t="s">
        <v>319</v>
      </c>
      <c r="B113" s="124" t="s">
        <v>320</v>
      </c>
      <c r="C113" s="131"/>
      <c r="E113" s="132"/>
    </row>
    <row r="114" spans="1:11" x14ac:dyDescent="0.2">
      <c r="A114" s="128" t="s">
        <v>321</v>
      </c>
      <c r="B114" s="124" t="s">
        <v>322</v>
      </c>
      <c r="C114" s="131"/>
      <c r="E114" s="132"/>
    </row>
    <row r="115" spans="1:11" x14ac:dyDescent="0.2">
      <c r="A115" s="128" t="s">
        <v>323</v>
      </c>
      <c r="B115" s="124" t="s">
        <v>324</v>
      </c>
      <c r="C115" s="131"/>
      <c r="E115" s="132"/>
    </row>
    <row r="116" spans="1:11" x14ac:dyDescent="0.2">
      <c r="A116" s="123" t="s">
        <v>325</v>
      </c>
      <c r="B116" s="124" t="s">
        <v>326</v>
      </c>
      <c r="C116" s="131"/>
      <c r="E116" s="132"/>
    </row>
    <row r="117" spans="1:11" x14ac:dyDescent="0.2">
      <c r="A117" s="128" t="s">
        <v>327</v>
      </c>
      <c r="B117" s="124" t="s">
        <v>328</v>
      </c>
      <c r="C117" s="131"/>
      <c r="E117" s="132"/>
    </row>
    <row r="118" spans="1:11" x14ac:dyDescent="0.2">
      <c r="A118" s="128" t="s">
        <v>329</v>
      </c>
      <c r="B118" s="124" t="s">
        <v>330</v>
      </c>
      <c r="C118" s="131"/>
      <c r="E118" s="132"/>
    </row>
    <row r="119" spans="1:11" x14ac:dyDescent="0.2">
      <c r="A119" s="128" t="s">
        <v>331</v>
      </c>
      <c r="B119" s="124" t="s">
        <v>332</v>
      </c>
      <c r="C119" s="131"/>
      <c r="E119" s="132"/>
    </row>
    <row r="120" spans="1:11" x14ac:dyDescent="0.2">
      <c r="A120" s="128" t="s">
        <v>333</v>
      </c>
      <c r="B120" s="124" t="s">
        <v>334</v>
      </c>
      <c r="C120" s="131"/>
      <c r="E120" s="132"/>
    </row>
    <row r="121" spans="1:11" x14ac:dyDescent="0.2">
      <c r="A121" s="123" t="s">
        <v>335</v>
      </c>
      <c r="B121" s="124" t="s">
        <v>336</v>
      </c>
      <c r="C121" s="131"/>
      <c r="E121" s="132"/>
    </row>
    <row r="122" spans="1:11" x14ac:dyDescent="0.2">
      <c r="A122" s="128" t="s">
        <v>337</v>
      </c>
      <c r="B122" s="124" t="s">
        <v>338</v>
      </c>
      <c r="C122" s="131"/>
      <c r="E122" s="132"/>
    </row>
    <row r="123" spans="1:11" x14ac:dyDescent="0.2">
      <c r="A123" s="128" t="s">
        <v>339</v>
      </c>
      <c r="B123" s="124" t="s">
        <v>340</v>
      </c>
      <c r="C123" s="131"/>
      <c r="E123" s="132"/>
    </row>
    <row r="124" spans="1:11" x14ac:dyDescent="0.2">
      <c r="A124" s="128" t="s">
        <v>341</v>
      </c>
      <c r="B124" s="124" t="s">
        <v>342</v>
      </c>
      <c r="C124" s="131"/>
      <c r="E124" s="132"/>
    </row>
    <row r="125" spans="1:11" x14ac:dyDescent="0.2">
      <c r="A125" s="128" t="s">
        <v>343</v>
      </c>
      <c r="B125" s="124" t="s">
        <v>344</v>
      </c>
      <c r="C125" s="131"/>
      <c r="E125" s="132"/>
    </row>
    <row r="126" spans="1:11" x14ac:dyDescent="0.2">
      <c r="A126" s="128" t="s">
        <v>345</v>
      </c>
      <c r="B126" s="124" t="s">
        <v>346</v>
      </c>
      <c r="C126" s="131"/>
      <c r="E126" s="125" t="s">
        <v>347</v>
      </c>
      <c r="G126" s="125"/>
      <c r="H126" s="125"/>
      <c r="I126" s="125"/>
      <c r="J126" s="125"/>
      <c r="K126" s="125"/>
    </row>
    <row r="127" spans="1:11" x14ac:dyDescent="0.2">
      <c r="A127" s="128"/>
      <c r="B127" s="130" t="s">
        <v>348</v>
      </c>
      <c r="C127" s="132"/>
      <c r="D127" s="132"/>
      <c r="E127" s="125" t="s">
        <v>349</v>
      </c>
      <c r="F127" s="125" t="s">
        <v>350</v>
      </c>
      <c r="G127" s="125" t="s">
        <v>116</v>
      </c>
      <c r="H127" s="125"/>
      <c r="I127" s="125"/>
      <c r="J127" s="125"/>
      <c r="K127" s="125"/>
    </row>
    <row r="128" spans="1:11" x14ac:dyDescent="0.2">
      <c r="A128" s="128" t="s">
        <v>351</v>
      </c>
      <c r="B128" s="124" t="s">
        <v>352</v>
      </c>
      <c r="E128" s="125" t="s">
        <v>353</v>
      </c>
      <c r="F128" s="125" t="s">
        <v>354</v>
      </c>
      <c r="G128" s="136">
        <v>-2083333</v>
      </c>
      <c r="H128" s="125"/>
      <c r="I128" s="125"/>
      <c r="J128" s="125"/>
      <c r="K128" s="125"/>
    </row>
    <row r="129" spans="1:11" x14ac:dyDescent="0.2">
      <c r="A129" s="128" t="s">
        <v>355</v>
      </c>
      <c r="B129" s="124" t="s">
        <v>356</v>
      </c>
      <c r="E129" s="125" t="s">
        <v>357</v>
      </c>
      <c r="G129" s="136">
        <v>-2083333</v>
      </c>
      <c r="H129" s="125"/>
      <c r="I129" s="125"/>
      <c r="J129" s="125"/>
      <c r="K129" s="125"/>
    </row>
    <row r="130" spans="1:11" x14ac:dyDescent="0.2">
      <c r="A130" s="123">
        <v>5110358000</v>
      </c>
      <c r="B130" s="124" t="s">
        <v>358</v>
      </c>
      <c r="G130" s="125"/>
      <c r="H130" s="125"/>
      <c r="I130" s="125"/>
      <c r="J130" s="125"/>
      <c r="K130" s="125"/>
    </row>
    <row r="131" spans="1:11" x14ac:dyDescent="0.2">
      <c r="A131" s="128"/>
      <c r="B131" s="130" t="s">
        <v>359</v>
      </c>
      <c r="G131" s="125"/>
      <c r="H131" s="125"/>
      <c r="I131" s="125"/>
      <c r="J131" s="125"/>
      <c r="K131" s="125"/>
    </row>
    <row r="132" spans="1:11" x14ac:dyDescent="0.2">
      <c r="A132" s="128" t="s">
        <v>360</v>
      </c>
      <c r="B132" s="124" t="s">
        <v>361</v>
      </c>
      <c r="G132" s="125"/>
      <c r="H132" s="125"/>
      <c r="I132" s="125"/>
      <c r="J132" s="125"/>
      <c r="K132" s="125"/>
    </row>
    <row r="133" spans="1:11" x14ac:dyDescent="0.2">
      <c r="A133" s="128" t="s">
        <v>362</v>
      </c>
      <c r="B133" s="124" t="s">
        <v>363</v>
      </c>
      <c r="G133" s="125"/>
      <c r="H133" s="125"/>
      <c r="I133" s="125"/>
      <c r="J133" s="125"/>
      <c r="K133" s="125"/>
    </row>
    <row r="134" spans="1:11" x14ac:dyDescent="0.2">
      <c r="A134" s="128" t="s">
        <v>364</v>
      </c>
      <c r="B134" s="124" t="s">
        <v>365</v>
      </c>
      <c r="G134" s="125"/>
      <c r="H134" s="125"/>
      <c r="I134" s="125"/>
      <c r="J134" s="125"/>
      <c r="K134" s="125"/>
    </row>
    <row r="135" spans="1:11" x14ac:dyDescent="0.2">
      <c r="A135" s="128" t="s">
        <v>366</v>
      </c>
      <c r="B135" s="124" t="s">
        <v>367</v>
      </c>
      <c r="G135" s="125"/>
      <c r="H135" s="125"/>
      <c r="I135" s="125"/>
      <c r="J135" s="125"/>
      <c r="K135" s="125"/>
    </row>
    <row r="136" spans="1:11" x14ac:dyDescent="0.2">
      <c r="G136" s="125"/>
      <c r="H136" s="125"/>
      <c r="I136" s="125"/>
      <c r="J136" s="125"/>
      <c r="K136" s="125"/>
    </row>
    <row r="137" spans="1:11" x14ac:dyDescent="0.2">
      <c r="A137" s="128"/>
      <c r="B137" s="130" t="s">
        <v>368</v>
      </c>
      <c r="G137" s="125"/>
      <c r="H137" s="125"/>
      <c r="I137" s="125"/>
      <c r="J137" s="125"/>
      <c r="K137" s="125"/>
    </row>
    <row r="138" spans="1:11" x14ac:dyDescent="0.2">
      <c r="A138" s="128" t="s">
        <v>369</v>
      </c>
      <c r="B138" s="124" t="s">
        <v>370</v>
      </c>
      <c r="G138" s="125"/>
      <c r="H138" s="125"/>
      <c r="I138" s="125"/>
      <c r="J138" s="125"/>
      <c r="K138" s="125"/>
    </row>
    <row r="139" spans="1:11" x14ac:dyDescent="0.2">
      <c r="A139" s="128" t="s">
        <v>371</v>
      </c>
      <c r="B139" s="124" t="s">
        <v>372</v>
      </c>
      <c r="G139" s="125"/>
      <c r="H139" s="125"/>
      <c r="I139" s="125"/>
      <c r="J139" s="125"/>
      <c r="K139" s="125"/>
    </row>
    <row r="140" spans="1:11" x14ac:dyDescent="0.2">
      <c r="A140" s="128" t="s">
        <v>373</v>
      </c>
      <c r="B140" s="124" t="s">
        <v>374</v>
      </c>
      <c r="G140" s="125"/>
      <c r="H140" s="125"/>
      <c r="I140" s="125"/>
      <c r="J140" s="125"/>
      <c r="K140" s="125"/>
    </row>
    <row r="141" spans="1:11" x14ac:dyDescent="0.2">
      <c r="A141" s="137" t="s">
        <v>375</v>
      </c>
      <c r="B141" s="124" t="s">
        <v>376</v>
      </c>
      <c r="G141" s="125"/>
    </row>
    <row r="142" spans="1:11" x14ac:dyDescent="0.2">
      <c r="A142" s="137"/>
      <c r="B142" s="130" t="s">
        <v>377</v>
      </c>
      <c r="G142" s="125"/>
    </row>
    <row r="143" spans="1:11" x14ac:dyDescent="0.2">
      <c r="A143" s="128" t="s">
        <v>378</v>
      </c>
      <c r="B143" s="124" t="s">
        <v>379</v>
      </c>
      <c r="G143" s="125"/>
    </row>
    <row r="144" spans="1:11" x14ac:dyDescent="0.2">
      <c r="A144" s="128"/>
      <c r="B144" s="130" t="s">
        <v>380</v>
      </c>
      <c r="G144" s="125"/>
    </row>
    <row r="145" spans="1:7" x14ac:dyDescent="0.2">
      <c r="A145" s="128"/>
      <c r="B145" s="130" t="s">
        <v>381</v>
      </c>
      <c r="G145" s="125"/>
    </row>
    <row r="146" spans="1:7" x14ac:dyDescent="0.2">
      <c r="A146" s="128"/>
      <c r="B146" s="130" t="s">
        <v>382</v>
      </c>
      <c r="G146" s="125"/>
    </row>
    <row r="147" spans="1:7" x14ac:dyDescent="0.2">
      <c r="A147" s="128" t="s">
        <v>383</v>
      </c>
      <c r="B147" s="124" t="s">
        <v>384</v>
      </c>
      <c r="G147" s="125"/>
    </row>
    <row r="148" spans="1:7" x14ac:dyDescent="0.2">
      <c r="G148" s="125"/>
    </row>
    <row r="149" spans="1:7" x14ac:dyDescent="0.2">
      <c r="G149" s="125"/>
    </row>
    <row r="150" spans="1:7" x14ac:dyDescent="0.2">
      <c r="B150" s="125" t="s">
        <v>385</v>
      </c>
    </row>
    <row r="151" spans="1:7" x14ac:dyDescent="0.2">
      <c r="A151" s="128" t="s">
        <v>386</v>
      </c>
      <c r="B151" s="124" t="s">
        <v>187</v>
      </c>
    </row>
    <row r="152" spans="1:7" x14ac:dyDescent="0.2">
      <c r="A152" s="125" t="s">
        <v>387</v>
      </c>
      <c r="B152" s="124" t="s">
        <v>189</v>
      </c>
    </row>
    <row r="153" spans="1:7" x14ac:dyDescent="0.2">
      <c r="A153" s="128" t="s">
        <v>388</v>
      </c>
      <c r="B153" s="124" t="s">
        <v>220</v>
      </c>
    </row>
    <row r="154" spans="1:7" x14ac:dyDescent="0.2">
      <c r="A154" s="125" t="s">
        <v>389</v>
      </c>
      <c r="B154" s="124" t="s">
        <v>222</v>
      </c>
    </row>
    <row r="155" spans="1:7" x14ac:dyDescent="0.2">
      <c r="A155" s="128" t="s">
        <v>276</v>
      </c>
      <c r="B155" s="124" t="s">
        <v>277</v>
      </c>
    </row>
    <row r="156" spans="1:7" x14ac:dyDescent="0.2">
      <c r="A156" s="123">
        <v>5105180100</v>
      </c>
      <c r="B156" s="124" t="s">
        <v>278</v>
      </c>
    </row>
    <row r="157" spans="1:7" x14ac:dyDescent="0.2">
      <c r="A157" s="125" t="s">
        <v>279</v>
      </c>
      <c r="B157" s="124" t="s">
        <v>280</v>
      </c>
    </row>
    <row r="158" spans="1:7" x14ac:dyDescent="0.2">
      <c r="A158" s="123">
        <v>5105180000</v>
      </c>
      <c r="B158" s="124" t="s">
        <v>287</v>
      </c>
    </row>
    <row r="159" spans="1:7" x14ac:dyDescent="0.2">
      <c r="A159" s="128" t="s">
        <v>288</v>
      </c>
      <c r="B159" s="124" t="s">
        <v>289</v>
      </c>
    </row>
    <row r="160" spans="1:7" x14ac:dyDescent="0.2">
      <c r="A160" s="128" t="s">
        <v>290</v>
      </c>
      <c r="B160" s="124" t="s">
        <v>291</v>
      </c>
    </row>
    <row r="161" spans="1:5" x14ac:dyDescent="0.2">
      <c r="A161" s="128" t="s">
        <v>292</v>
      </c>
      <c r="B161" s="124" t="s">
        <v>293</v>
      </c>
    </row>
    <row r="164" spans="1:5" x14ac:dyDescent="0.2">
      <c r="B164" s="125" t="s">
        <v>390</v>
      </c>
    </row>
    <row r="165" spans="1:5" x14ac:dyDescent="0.2">
      <c r="A165" s="125" t="s">
        <v>391</v>
      </c>
      <c r="B165" s="125" t="s">
        <v>197</v>
      </c>
    </row>
    <row r="166" spans="1:5" x14ac:dyDescent="0.2">
      <c r="A166" s="125" t="s">
        <v>282</v>
      </c>
      <c r="B166" s="125" t="s">
        <v>283</v>
      </c>
    </row>
    <row r="167" spans="1:5" x14ac:dyDescent="0.2">
      <c r="A167" s="125" t="s">
        <v>284</v>
      </c>
      <c r="B167" s="125" t="s">
        <v>285</v>
      </c>
    </row>
    <row r="173" spans="1:5" x14ac:dyDescent="0.2">
      <c r="A173" s="138" t="s">
        <v>392</v>
      </c>
    </row>
    <row r="174" spans="1:5" x14ac:dyDescent="0.2">
      <c r="A174" s="126" t="s">
        <v>393</v>
      </c>
      <c r="E174" s="125" t="s">
        <v>394</v>
      </c>
    </row>
    <row r="175" spans="1:5" x14ac:dyDescent="0.2">
      <c r="A175" s="125" t="s">
        <v>395</v>
      </c>
      <c r="B175" s="125" t="s">
        <v>396</v>
      </c>
    </row>
    <row r="176" spans="1:5" x14ac:dyDescent="0.2">
      <c r="A176" s="125">
        <v>4155950000</v>
      </c>
      <c r="B176" s="125" t="s">
        <v>397</v>
      </c>
    </row>
    <row r="177" spans="1:5" x14ac:dyDescent="0.2">
      <c r="A177" s="125">
        <v>4155950100</v>
      </c>
      <c r="B177" s="125" t="s">
        <v>398</v>
      </c>
    </row>
    <row r="178" spans="1:5" x14ac:dyDescent="0.2">
      <c r="A178" s="125">
        <v>4155951500</v>
      </c>
      <c r="B178" s="125" t="s">
        <v>399</v>
      </c>
    </row>
    <row r="179" spans="1:5" x14ac:dyDescent="0.2">
      <c r="A179" s="125">
        <v>4135950900</v>
      </c>
      <c r="B179" s="125" t="s">
        <v>400</v>
      </c>
    </row>
    <row r="180" spans="1:5" x14ac:dyDescent="0.2">
      <c r="A180" s="125">
        <v>4135950000</v>
      </c>
      <c r="B180" s="125" t="s">
        <v>401</v>
      </c>
      <c r="E180" s="125">
        <v>4135950000</v>
      </c>
    </row>
    <row r="181" spans="1:5" x14ac:dyDescent="0.2">
      <c r="A181" s="125">
        <v>4155950500</v>
      </c>
      <c r="B181" s="125" t="s">
        <v>401</v>
      </c>
    </row>
    <row r="182" spans="1:5" x14ac:dyDescent="0.2">
      <c r="A182" s="125">
        <v>4170250300</v>
      </c>
      <c r="B182" s="125" t="s">
        <v>401</v>
      </c>
    </row>
    <row r="183" spans="1:5" x14ac:dyDescent="0.2">
      <c r="A183" s="125" t="s">
        <v>402</v>
      </c>
      <c r="B183" s="125" t="s">
        <v>403</v>
      </c>
    </row>
    <row r="184" spans="1:5" x14ac:dyDescent="0.2">
      <c r="A184" s="125">
        <v>6135950000</v>
      </c>
      <c r="B184" s="125" t="s">
        <v>404</v>
      </c>
    </row>
    <row r="186" spans="1:5" x14ac:dyDescent="0.2">
      <c r="B186" s="125" t="s">
        <v>405</v>
      </c>
    </row>
    <row r="187" spans="1:5" x14ac:dyDescent="0.2">
      <c r="A187" s="125">
        <v>5205180100</v>
      </c>
      <c r="B187" s="125" t="s">
        <v>406</v>
      </c>
      <c r="C187" s="125" t="s">
        <v>407</v>
      </c>
    </row>
    <row r="188" spans="1:5" x14ac:dyDescent="0.2">
      <c r="A188" s="125">
        <v>5205361000</v>
      </c>
      <c r="B188" s="125" t="s">
        <v>408</v>
      </c>
      <c r="C188" s="125" t="s">
        <v>409</v>
      </c>
      <c r="D188" s="125" t="s">
        <v>116</v>
      </c>
    </row>
    <row r="189" spans="1:5" x14ac:dyDescent="0.2">
      <c r="A189" s="125">
        <v>5205391000</v>
      </c>
      <c r="B189" s="125" t="s">
        <v>408</v>
      </c>
      <c r="C189" s="125" t="s">
        <v>410</v>
      </c>
      <c r="D189" s="125">
        <v>4638.9799999999996</v>
      </c>
    </row>
    <row r="190" spans="1:5" x14ac:dyDescent="0.2">
      <c r="A190" s="125">
        <v>5205422000</v>
      </c>
      <c r="B190" s="125" t="s">
        <v>408</v>
      </c>
      <c r="C190" s="125" t="s">
        <v>411</v>
      </c>
      <c r="D190" s="125">
        <v>1230.26</v>
      </c>
    </row>
    <row r="191" spans="1:5" x14ac:dyDescent="0.2">
      <c r="A191" s="125">
        <v>5205691000</v>
      </c>
      <c r="B191" s="125" t="s">
        <v>408</v>
      </c>
      <c r="C191" s="125" t="s">
        <v>412</v>
      </c>
      <c r="D191" s="125">
        <v>307.56</v>
      </c>
    </row>
    <row r="192" spans="1:5" x14ac:dyDescent="0.2">
      <c r="A192" s="125">
        <v>5205701000</v>
      </c>
      <c r="B192" s="125" t="s">
        <v>408</v>
      </c>
      <c r="C192" s="125" t="s">
        <v>413</v>
      </c>
      <c r="D192" s="125">
        <v>896.8</v>
      </c>
    </row>
    <row r="193" spans="1:4" x14ac:dyDescent="0.2">
      <c r="A193" s="125">
        <v>5160200000</v>
      </c>
      <c r="B193" s="125" t="s">
        <v>414</v>
      </c>
      <c r="C193" s="125" t="s">
        <v>415</v>
      </c>
      <c r="D193" s="125">
        <v>604.20000000000005</v>
      </c>
    </row>
    <row r="194" spans="1:4" x14ac:dyDescent="0.2">
      <c r="A194" s="125">
        <v>5260100000</v>
      </c>
      <c r="B194" s="125" t="s">
        <v>414</v>
      </c>
      <c r="C194" s="125" t="s">
        <v>416</v>
      </c>
      <c r="D194" s="125">
        <v>27.16</v>
      </c>
    </row>
    <row r="195" spans="1:4" x14ac:dyDescent="0.2">
      <c r="A195" s="125">
        <v>5260200000</v>
      </c>
      <c r="B195" s="125" t="s">
        <v>414</v>
      </c>
      <c r="C195" s="125" t="s">
        <v>357</v>
      </c>
      <c r="D195" s="125">
        <v>7704.96</v>
      </c>
    </row>
    <row r="196" spans="1:4" x14ac:dyDescent="0.2">
      <c r="A196" s="125">
        <v>5260150000</v>
      </c>
      <c r="B196" s="125" t="s">
        <v>414</v>
      </c>
    </row>
    <row r="197" spans="1:4" x14ac:dyDescent="0.2">
      <c r="A197" s="125">
        <v>5260350000</v>
      </c>
      <c r="B197" s="125" t="s">
        <v>414</v>
      </c>
    </row>
    <row r="198" spans="1:4" x14ac:dyDescent="0.2">
      <c r="A198" s="125">
        <v>5160150000</v>
      </c>
      <c r="B198" s="125" t="s">
        <v>417</v>
      </c>
    </row>
    <row r="199" spans="1:4" x14ac:dyDescent="0.2">
      <c r="A199" s="125">
        <v>5145150100</v>
      </c>
      <c r="B199" s="125" t="s">
        <v>418</v>
      </c>
    </row>
    <row r="200" spans="1:4" x14ac:dyDescent="0.2">
      <c r="A200" s="125">
        <v>5235300000</v>
      </c>
      <c r="B200" s="125" t="s">
        <v>418</v>
      </c>
    </row>
    <row r="201" spans="1:4" x14ac:dyDescent="0.2">
      <c r="A201" s="125">
        <v>5245100000</v>
      </c>
      <c r="B201" s="125" t="s">
        <v>418</v>
      </c>
    </row>
    <row r="202" spans="1:4" x14ac:dyDescent="0.2">
      <c r="A202" s="125">
        <v>5245150000</v>
      </c>
      <c r="B202" s="125" t="s">
        <v>418</v>
      </c>
    </row>
    <row r="203" spans="1:4" x14ac:dyDescent="0.2">
      <c r="A203" s="125">
        <v>5245150100</v>
      </c>
      <c r="B203" s="125" t="s">
        <v>418</v>
      </c>
    </row>
    <row r="204" spans="1:4" x14ac:dyDescent="0.2">
      <c r="A204" s="125">
        <v>5245200000</v>
      </c>
      <c r="B204" s="125" t="s">
        <v>418</v>
      </c>
    </row>
    <row r="205" spans="1:4" x14ac:dyDescent="0.2">
      <c r="A205" s="125">
        <v>5245250000</v>
      </c>
      <c r="B205" s="125" t="s">
        <v>418</v>
      </c>
    </row>
    <row r="206" spans="1:4" x14ac:dyDescent="0.2">
      <c r="A206" s="125">
        <v>5250050000</v>
      </c>
      <c r="B206" s="125" t="s">
        <v>418</v>
      </c>
    </row>
    <row r="207" spans="1:4" x14ac:dyDescent="0.2">
      <c r="A207" s="125">
        <v>5250100000</v>
      </c>
      <c r="B207" s="125" t="s">
        <v>418</v>
      </c>
    </row>
    <row r="208" spans="1:4" x14ac:dyDescent="0.2">
      <c r="A208" s="125">
        <v>5250950000</v>
      </c>
      <c r="B208" s="125" t="s">
        <v>418</v>
      </c>
    </row>
    <row r="209" spans="1:2" x14ac:dyDescent="0.2">
      <c r="A209" s="125">
        <v>5295250000</v>
      </c>
      <c r="B209" s="125" t="s">
        <v>418</v>
      </c>
    </row>
    <row r="210" spans="1:2" x14ac:dyDescent="0.2">
      <c r="A210" s="125">
        <v>5295950300</v>
      </c>
      <c r="B210" s="125" t="s">
        <v>418</v>
      </c>
    </row>
    <row r="211" spans="1:2" x14ac:dyDescent="0.2">
      <c r="A211" s="125">
        <v>5235050000</v>
      </c>
      <c r="B211" s="125" t="s">
        <v>419</v>
      </c>
    </row>
    <row r="212" spans="1:2" x14ac:dyDescent="0.2">
      <c r="A212" s="125">
        <v>5235200000</v>
      </c>
      <c r="B212" s="125" t="s">
        <v>419</v>
      </c>
    </row>
    <row r="213" spans="1:2" x14ac:dyDescent="0.2">
      <c r="A213" s="125">
        <v>5235950100</v>
      </c>
      <c r="B213" s="125" t="s">
        <v>419</v>
      </c>
    </row>
    <row r="214" spans="1:2" x14ac:dyDescent="0.2">
      <c r="A214" s="125">
        <v>5235950400</v>
      </c>
      <c r="B214" s="125" t="s">
        <v>419</v>
      </c>
    </row>
    <row r="215" spans="1:2" x14ac:dyDescent="0.2">
      <c r="A215" s="125">
        <v>5235950500</v>
      </c>
      <c r="B215" s="125" t="s">
        <v>419</v>
      </c>
    </row>
    <row r="216" spans="1:2" x14ac:dyDescent="0.2">
      <c r="A216" s="125">
        <v>5235950600</v>
      </c>
      <c r="B216" s="125" t="s">
        <v>419</v>
      </c>
    </row>
    <row r="217" spans="1:2" x14ac:dyDescent="0.2">
      <c r="A217" s="125">
        <v>5235950600</v>
      </c>
      <c r="B217" s="125" t="s">
        <v>419</v>
      </c>
    </row>
    <row r="218" spans="1:2" x14ac:dyDescent="0.2">
      <c r="A218" s="125">
        <v>5235950600</v>
      </c>
      <c r="B218" s="125" t="s">
        <v>419</v>
      </c>
    </row>
    <row r="219" spans="1:2" x14ac:dyDescent="0.2">
      <c r="A219" s="125">
        <v>5295950500</v>
      </c>
      <c r="B219" s="125" t="s">
        <v>419</v>
      </c>
    </row>
    <row r="220" spans="1:2" x14ac:dyDescent="0.2">
      <c r="A220" s="125">
        <v>5295950100</v>
      </c>
      <c r="B220" s="125" t="s">
        <v>420</v>
      </c>
    </row>
    <row r="221" spans="1:2" x14ac:dyDescent="0.2">
      <c r="A221" s="125">
        <v>5299100000</v>
      </c>
      <c r="B221" s="125" t="s">
        <v>421</v>
      </c>
    </row>
    <row r="222" spans="1:2" x14ac:dyDescent="0.2">
      <c r="A222" s="125">
        <v>5160100000</v>
      </c>
      <c r="B222" s="125" t="s">
        <v>422</v>
      </c>
    </row>
    <row r="223" spans="1:2" x14ac:dyDescent="0.2">
      <c r="B223" s="125" t="s">
        <v>423</v>
      </c>
    </row>
    <row r="224" spans="1:2" x14ac:dyDescent="0.2">
      <c r="A224" s="125">
        <v>5205630100</v>
      </c>
      <c r="B224" s="125" t="s">
        <v>424</v>
      </c>
    </row>
    <row r="225" spans="1:2" x14ac:dyDescent="0.2">
      <c r="A225" s="125">
        <v>5205630200</v>
      </c>
      <c r="B225" s="125" t="s">
        <v>424</v>
      </c>
    </row>
    <row r="226" spans="1:2" x14ac:dyDescent="0.2">
      <c r="A226" s="125">
        <v>5205060100</v>
      </c>
      <c r="B226" s="125" t="s">
        <v>425</v>
      </c>
    </row>
    <row r="227" spans="1:2" x14ac:dyDescent="0.2">
      <c r="A227" s="125">
        <v>5205150100</v>
      </c>
      <c r="B227" s="125" t="s">
        <v>425</v>
      </c>
    </row>
    <row r="228" spans="1:2" x14ac:dyDescent="0.2">
      <c r="A228" s="125">
        <v>5205360100</v>
      </c>
      <c r="B228" s="125" t="s">
        <v>426</v>
      </c>
    </row>
    <row r="229" spans="1:2" x14ac:dyDescent="0.2">
      <c r="A229" s="125">
        <v>5205390100</v>
      </c>
      <c r="B229" s="125" t="s">
        <v>426</v>
      </c>
    </row>
    <row r="230" spans="1:2" x14ac:dyDescent="0.2">
      <c r="A230" s="125">
        <v>5205600100</v>
      </c>
      <c r="B230" s="125" t="s">
        <v>426</v>
      </c>
    </row>
    <row r="231" spans="1:2" x14ac:dyDescent="0.2">
      <c r="A231" s="125">
        <v>5205690100</v>
      </c>
      <c r="B231" s="125" t="s">
        <v>426</v>
      </c>
    </row>
    <row r="232" spans="1:2" x14ac:dyDescent="0.2">
      <c r="A232" s="125">
        <v>5205700100</v>
      </c>
      <c r="B232" s="125" t="s">
        <v>426</v>
      </c>
    </row>
    <row r="233" spans="1:2" x14ac:dyDescent="0.2">
      <c r="A233" s="125">
        <v>5205700100</v>
      </c>
      <c r="B233" s="125" t="s">
        <v>426</v>
      </c>
    </row>
    <row r="234" spans="1:2" x14ac:dyDescent="0.2">
      <c r="A234" s="125">
        <v>5205700200</v>
      </c>
      <c r="B234" s="125" t="s">
        <v>426</v>
      </c>
    </row>
    <row r="235" spans="1:2" x14ac:dyDescent="0.2">
      <c r="A235" s="125">
        <v>5205780100</v>
      </c>
      <c r="B235" s="125" t="s">
        <v>426</v>
      </c>
    </row>
    <row r="236" spans="1:2" x14ac:dyDescent="0.2">
      <c r="A236" s="125">
        <v>5205660100</v>
      </c>
      <c r="B236" s="125" t="s">
        <v>427</v>
      </c>
    </row>
    <row r="237" spans="1:2" x14ac:dyDescent="0.2">
      <c r="A237" s="125">
        <v>5210250000</v>
      </c>
      <c r="B237" s="125" t="s">
        <v>428</v>
      </c>
    </row>
    <row r="238" spans="1:2" x14ac:dyDescent="0.2">
      <c r="A238" s="125">
        <v>5210350000</v>
      </c>
      <c r="B238" s="125" t="s">
        <v>428</v>
      </c>
    </row>
    <row r="239" spans="1:2" x14ac:dyDescent="0.2">
      <c r="A239" s="125">
        <v>5210950000</v>
      </c>
      <c r="B239" s="125" t="s">
        <v>428</v>
      </c>
    </row>
    <row r="240" spans="1:2" x14ac:dyDescent="0.2">
      <c r="A240" s="125">
        <v>5115950000</v>
      </c>
      <c r="B240" s="125" t="s">
        <v>429</v>
      </c>
    </row>
    <row r="241" spans="1:2" x14ac:dyDescent="0.2">
      <c r="A241" s="125">
        <v>5215100000</v>
      </c>
      <c r="B241" s="125" t="s">
        <v>429</v>
      </c>
    </row>
    <row r="242" spans="1:2" x14ac:dyDescent="0.2">
      <c r="A242" s="125">
        <v>5215950000</v>
      </c>
      <c r="B242" s="125" t="s">
        <v>429</v>
      </c>
    </row>
    <row r="243" spans="1:2" x14ac:dyDescent="0.2">
      <c r="A243" s="125">
        <v>5240100000</v>
      </c>
      <c r="B243" s="125" t="s">
        <v>429</v>
      </c>
    </row>
    <row r="244" spans="1:2" x14ac:dyDescent="0.2">
      <c r="A244" s="125">
        <v>5240150000</v>
      </c>
      <c r="B244" s="125" t="s">
        <v>429</v>
      </c>
    </row>
    <row r="245" spans="1:2" x14ac:dyDescent="0.2">
      <c r="A245" s="125">
        <v>5245400000</v>
      </c>
      <c r="B245" s="125" t="s">
        <v>430</v>
      </c>
    </row>
    <row r="246" spans="1:2" x14ac:dyDescent="0.2">
      <c r="A246" s="125">
        <v>5295350000</v>
      </c>
      <c r="B246" s="125" t="s">
        <v>430</v>
      </c>
    </row>
    <row r="247" spans="1:2" x14ac:dyDescent="0.2">
      <c r="A247" s="125">
        <v>5295100000</v>
      </c>
      <c r="B247" s="125" t="s">
        <v>431</v>
      </c>
    </row>
    <row r="248" spans="1:2" x14ac:dyDescent="0.2">
      <c r="A248" s="125">
        <v>5295300000</v>
      </c>
      <c r="B248" s="125" t="s">
        <v>431</v>
      </c>
    </row>
    <row r="249" spans="1:2" x14ac:dyDescent="0.2">
      <c r="A249" s="125">
        <v>5235600000</v>
      </c>
      <c r="B249" s="125" t="s">
        <v>432</v>
      </c>
    </row>
    <row r="250" spans="1:2" x14ac:dyDescent="0.2">
      <c r="A250" s="125">
        <v>5235350000</v>
      </c>
      <c r="B250" s="125" t="s">
        <v>433</v>
      </c>
    </row>
    <row r="251" spans="1:2" x14ac:dyDescent="0.2">
      <c r="A251" s="125">
        <v>5235400100</v>
      </c>
      <c r="B251" s="125" t="s">
        <v>433</v>
      </c>
    </row>
    <row r="252" spans="1:2" x14ac:dyDescent="0.2">
      <c r="A252" s="125">
        <v>5235400200</v>
      </c>
      <c r="B252" s="125" t="s">
        <v>433</v>
      </c>
    </row>
    <row r="253" spans="1:2" x14ac:dyDescent="0.2">
      <c r="A253" s="125">
        <v>5235450000</v>
      </c>
      <c r="B253" s="125" t="s">
        <v>433</v>
      </c>
    </row>
    <row r="254" spans="1:2" x14ac:dyDescent="0.2">
      <c r="A254" s="125">
        <v>5230250000</v>
      </c>
      <c r="B254" s="125" t="s">
        <v>434</v>
      </c>
    </row>
    <row r="255" spans="1:2" x14ac:dyDescent="0.2">
      <c r="A255" s="125">
        <v>5230950000</v>
      </c>
      <c r="B255" s="125" t="s">
        <v>434</v>
      </c>
    </row>
    <row r="256" spans="1:2" x14ac:dyDescent="0.2">
      <c r="A256" s="125">
        <v>5295700000</v>
      </c>
      <c r="B256" s="125" t="s">
        <v>434</v>
      </c>
    </row>
    <row r="257" spans="1:2" x14ac:dyDescent="0.2">
      <c r="A257" s="125">
        <v>5225100000</v>
      </c>
      <c r="B257" s="125" t="s">
        <v>435</v>
      </c>
    </row>
    <row r="258" spans="1:2" x14ac:dyDescent="0.2">
      <c r="A258" s="125">
        <v>5205480100</v>
      </c>
      <c r="B258" s="125" t="s">
        <v>436</v>
      </c>
    </row>
    <row r="259" spans="1:2" x14ac:dyDescent="0.2">
      <c r="A259" s="125">
        <v>5205480200</v>
      </c>
      <c r="B259" s="125" t="s">
        <v>436</v>
      </c>
    </row>
    <row r="260" spans="1:2" x14ac:dyDescent="0.2">
      <c r="A260" s="125">
        <v>5205481000</v>
      </c>
      <c r="B260" s="125" t="s">
        <v>436</v>
      </c>
    </row>
    <row r="261" spans="1:2" x14ac:dyDescent="0.2">
      <c r="A261" s="125">
        <v>5205481100</v>
      </c>
      <c r="B261" s="125" t="s">
        <v>436</v>
      </c>
    </row>
    <row r="262" spans="1:2" x14ac:dyDescent="0.2">
      <c r="A262" s="125">
        <v>5205210100</v>
      </c>
      <c r="B262" s="125" t="s">
        <v>437</v>
      </c>
    </row>
    <row r="263" spans="1:2" x14ac:dyDescent="0.2">
      <c r="A263" s="125">
        <v>5205210200</v>
      </c>
      <c r="B263" s="125" t="s">
        <v>437</v>
      </c>
    </row>
    <row r="264" spans="1:2" x14ac:dyDescent="0.2">
      <c r="A264" s="125">
        <v>5255050100</v>
      </c>
      <c r="B264" s="125" t="s">
        <v>437</v>
      </c>
    </row>
    <row r="265" spans="1:2" x14ac:dyDescent="0.2">
      <c r="A265" s="125">
        <v>5255060100</v>
      </c>
      <c r="B265" s="125" t="s">
        <v>437</v>
      </c>
    </row>
    <row r="266" spans="1:2" x14ac:dyDescent="0.2">
      <c r="A266" s="125">
        <v>5255150100</v>
      </c>
      <c r="B266" s="125" t="s">
        <v>437</v>
      </c>
    </row>
    <row r="267" spans="1:2" x14ac:dyDescent="0.2">
      <c r="A267" s="125">
        <v>5255200100</v>
      </c>
      <c r="B267" s="125" t="s">
        <v>437</v>
      </c>
    </row>
    <row r="268" spans="1:2" x14ac:dyDescent="0.2">
      <c r="A268" s="125">
        <v>5255200200</v>
      </c>
      <c r="B268" s="125" t="s">
        <v>437</v>
      </c>
    </row>
    <row r="269" spans="1:2" x14ac:dyDescent="0.2">
      <c r="A269" s="125">
        <v>5255950100</v>
      </c>
      <c r="B269" s="125" t="s">
        <v>437</v>
      </c>
    </row>
    <row r="270" spans="1:2" x14ac:dyDescent="0.2">
      <c r="A270" s="125">
        <v>5240050000</v>
      </c>
      <c r="B270" s="125" t="s">
        <v>438</v>
      </c>
    </row>
    <row r="271" spans="1:2" x14ac:dyDescent="0.2">
      <c r="A271" s="125">
        <v>5240200400</v>
      </c>
      <c r="B271" s="125" t="s">
        <v>438</v>
      </c>
    </row>
    <row r="272" spans="1:2" x14ac:dyDescent="0.2">
      <c r="A272" s="125">
        <v>5220050000</v>
      </c>
      <c r="B272" s="125" t="s">
        <v>439</v>
      </c>
    </row>
    <row r="273" spans="1:2" x14ac:dyDescent="0.2">
      <c r="A273" s="125">
        <v>5220100000</v>
      </c>
      <c r="B273" s="125" t="s">
        <v>439</v>
      </c>
    </row>
    <row r="274" spans="1:2" x14ac:dyDescent="0.2">
      <c r="A274" s="125">
        <v>5220100100</v>
      </c>
      <c r="B274" s="125" t="s">
        <v>439</v>
      </c>
    </row>
    <row r="275" spans="1:2" x14ac:dyDescent="0.2">
      <c r="A275" s="125">
        <v>5220950000</v>
      </c>
      <c r="B275" s="125" t="s">
        <v>439</v>
      </c>
    </row>
    <row r="278" spans="1:2" x14ac:dyDescent="0.2">
      <c r="B278" s="125" t="s">
        <v>440</v>
      </c>
    </row>
    <row r="279" spans="1:2" x14ac:dyDescent="0.2">
      <c r="A279" s="125">
        <v>5105060000</v>
      </c>
      <c r="B279" s="125" t="s">
        <v>441</v>
      </c>
    </row>
    <row r="280" spans="1:2" x14ac:dyDescent="0.2">
      <c r="A280" s="125">
        <v>5105150000</v>
      </c>
      <c r="B280" s="125" t="s">
        <v>441</v>
      </c>
    </row>
    <row r="281" spans="1:2" x14ac:dyDescent="0.2">
      <c r="A281" s="125">
        <v>5105360000</v>
      </c>
      <c r="B281" s="125" t="s">
        <v>442</v>
      </c>
    </row>
    <row r="282" spans="1:2" x14ac:dyDescent="0.2">
      <c r="A282" s="125">
        <v>5105390000</v>
      </c>
      <c r="B282" s="125" t="s">
        <v>442</v>
      </c>
    </row>
    <row r="283" spans="1:2" x14ac:dyDescent="0.2">
      <c r="A283" s="125">
        <v>5105600000</v>
      </c>
      <c r="B283" s="125" t="s">
        <v>442</v>
      </c>
    </row>
    <row r="284" spans="1:2" x14ac:dyDescent="0.2">
      <c r="A284" s="125">
        <v>5105690000</v>
      </c>
      <c r="B284" s="125" t="s">
        <v>442</v>
      </c>
    </row>
    <row r="285" spans="1:2" x14ac:dyDescent="0.2">
      <c r="A285" s="125">
        <v>5105700000</v>
      </c>
      <c r="B285" s="125" t="s">
        <v>442</v>
      </c>
    </row>
    <row r="286" spans="1:2" x14ac:dyDescent="0.2">
      <c r="A286" s="125">
        <v>5105780000</v>
      </c>
      <c r="B286" s="125" t="s">
        <v>442</v>
      </c>
    </row>
    <row r="287" spans="1:2" x14ac:dyDescent="0.2">
      <c r="A287" s="125">
        <v>5105950000</v>
      </c>
      <c r="B287" s="125" t="s">
        <v>442</v>
      </c>
    </row>
    <row r="288" spans="1:2" x14ac:dyDescent="0.2">
      <c r="A288" s="125">
        <v>5105180000</v>
      </c>
      <c r="B288" s="125" t="s">
        <v>443</v>
      </c>
    </row>
    <row r="289" spans="1:2" x14ac:dyDescent="0.2">
      <c r="A289" s="125">
        <v>5105630000</v>
      </c>
      <c r="B289" s="125" t="s">
        <v>444</v>
      </c>
    </row>
    <row r="290" spans="1:2" x14ac:dyDescent="0.2">
      <c r="A290" s="125">
        <v>5105391000</v>
      </c>
      <c r="B290" s="125" t="s">
        <v>445</v>
      </c>
    </row>
    <row r="291" spans="1:2" x14ac:dyDescent="0.2">
      <c r="A291" s="125">
        <v>5105691000</v>
      </c>
      <c r="B291" s="125" t="s">
        <v>445</v>
      </c>
    </row>
    <row r="292" spans="1:2" x14ac:dyDescent="0.2">
      <c r="A292" s="125">
        <v>5105701000</v>
      </c>
      <c r="B292" s="125" t="s">
        <v>445</v>
      </c>
    </row>
    <row r="293" spans="1:2" x14ac:dyDescent="0.2">
      <c r="A293" s="125">
        <v>5135050000</v>
      </c>
      <c r="B293" s="125" t="s">
        <v>419</v>
      </c>
    </row>
    <row r="294" spans="1:2" x14ac:dyDescent="0.2">
      <c r="A294" s="125">
        <v>5135150000</v>
      </c>
      <c r="B294" s="125" t="s">
        <v>419</v>
      </c>
    </row>
    <row r="295" spans="1:2" x14ac:dyDescent="0.2">
      <c r="A295" s="125">
        <v>5135200000</v>
      </c>
      <c r="B295" s="125" t="s">
        <v>419</v>
      </c>
    </row>
    <row r="296" spans="1:2" x14ac:dyDescent="0.2">
      <c r="A296" s="125">
        <v>5135950500</v>
      </c>
      <c r="B296" s="125" t="s">
        <v>419</v>
      </c>
    </row>
    <row r="297" spans="1:2" x14ac:dyDescent="0.2">
      <c r="A297" s="125">
        <v>5120100000</v>
      </c>
      <c r="B297" s="125" t="s">
        <v>446</v>
      </c>
    </row>
    <row r="298" spans="1:2" x14ac:dyDescent="0.2">
      <c r="A298" s="125">
        <v>5105660000</v>
      </c>
      <c r="B298" s="125" t="s">
        <v>447</v>
      </c>
    </row>
    <row r="299" spans="1:2" x14ac:dyDescent="0.2">
      <c r="A299" s="125">
        <v>5155960000</v>
      </c>
      <c r="B299" s="125" t="s">
        <v>447</v>
      </c>
    </row>
    <row r="300" spans="1:2" x14ac:dyDescent="0.2">
      <c r="A300" s="125">
        <v>5195950300</v>
      </c>
      <c r="B300" s="125" t="s">
        <v>448</v>
      </c>
    </row>
    <row r="301" spans="1:2" x14ac:dyDescent="0.2">
      <c r="A301" s="125">
        <v>5110100000</v>
      </c>
      <c r="B301" s="125" t="s">
        <v>449</v>
      </c>
    </row>
    <row r="302" spans="1:2" x14ac:dyDescent="0.2">
      <c r="A302" s="125">
        <v>5110200000</v>
      </c>
      <c r="B302" s="125" t="s">
        <v>449</v>
      </c>
    </row>
    <row r="303" spans="1:2" x14ac:dyDescent="0.2">
      <c r="A303" s="125">
        <v>5110250000</v>
      </c>
      <c r="B303" s="125" t="s">
        <v>449</v>
      </c>
    </row>
    <row r="304" spans="1:2" x14ac:dyDescent="0.2">
      <c r="A304" s="125">
        <v>5110300000</v>
      </c>
      <c r="B304" s="125" t="s">
        <v>449</v>
      </c>
    </row>
    <row r="305" spans="1:2" x14ac:dyDescent="0.2">
      <c r="A305" s="125">
        <v>5110350000</v>
      </c>
      <c r="B305" s="125" t="s">
        <v>449</v>
      </c>
    </row>
    <row r="306" spans="1:2" x14ac:dyDescent="0.2">
      <c r="A306" s="125">
        <v>5110950000</v>
      </c>
      <c r="B306" s="125" t="s">
        <v>449</v>
      </c>
    </row>
    <row r="307" spans="1:2" x14ac:dyDescent="0.2">
      <c r="A307" s="125">
        <v>5130</v>
      </c>
      <c r="B307" s="125" t="s">
        <v>450</v>
      </c>
    </row>
    <row r="308" spans="1:2" x14ac:dyDescent="0.2">
      <c r="A308" s="125">
        <v>5145400000</v>
      </c>
      <c r="B308" s="125" t="s">
        <v>451</v>
      </c>
    </row>
    <row r="309" spans="1:2" x14ac:dyDescent="0.2">
      <c r="A309" s="125">
        <v>5195350000</v>
      </c>
      <c r="B309" s="125" t="s">
        <v>451</v>
      </c>
    </row>
    <row r="310" spans="1:2" x14ac:dyDescent="0.2">
      <c r="A310" s="125">
        <v>5195300000</v>
      </c>
      <c r="B310" s="125" t="s">
        <v>431</v>
      </c>
    </row>
    <row r="311" spans="1:2" x14ac:dyDescent="0.2">
      <c r="A311" s="125">
        <v>5135350000</v>
      </c>
      <c r="B311" s="125" t="s">
        <v>452</v>
      </c>
    </row>
    <row r="312" spans="1:2" x14ac:dyDescent="0.2">
      <c r="A312" s="125">
        <v>5145050000</v>
      </c>
      <c r="B312" s="125" t="s">
        <v>453</v>
      </c>
    </row>
    <row r="313" spans="1:2" x14ac:dyDescent="0.2">
      <c r="A313" s="125">
        <v>5145100000</v>
      </c>
      <c r="B313" s="125" t="s">
        <v>453</v>
      </c>
    </row>
    <row r="314" spans="1:2" x14ac:dyDescent="0.2">
      <c r="A314" s="125">
        <v>5145200000</v>
      </c>
      <c r="B314" s="125" t="s">
        <v>453</v>
      </c>
    </row>
    <row r="315" spans="1:2" x14ac:dyDescent="0.2">
      <c r="A315" s="125">
        <v>5145250000</v>
      </c>
      <c r="B315" s="125" t="s">
        <v>453</v>
      </c>
    </row>
    <row r="316" spans="1:2" x14ac:dyDescent="0.2">
      <c r="A316" s="125">
        <v>5150050000</v>
      </c>
      <c r="B316" s="125" t="s">
        <v>453</v>
      </c>
    </row>
    <row r="317" spans="1:2" x14ac:dyDescent="0.2">
      <c r="A317" s="125">
        <v>5150100000</v>
      </c>
      <c r="B317" s="125" t="s">
        <v>453</v>
      </c>
    </row>
    <row r="318" spans="1:2" x14ac:dyDescent="0.2">
      <c r="A318" s="125">
        <v>5150150000</v>
      </c>
      <c r="B318" s="125" t="s">
        <v>453</v>
      </c>
    </row>
    <row r="319" spans="1:2" x14ac:dyDescent="0.2">
      <c r="A319" s="125">
        <v>5150950000</v>
      </c>
      <c r="B319" s="125" t="s">
        <v>453</v>
      </c>
    </row>
    <row r="320" spans="1:2" x14ac:dyDescent="0.2">
      <c r="A320" s="125">
        <v>5195150000</v>
      </c>
      <c r="B320" s="125" t="s">
        <v>453</v>
      </c>
    </row>
    <row r="321" spans="1:2" x14ac:dyDescent="0.2">
      <c r="A321" s="125">
        <v>5195250000</v>
      </c>
      <c r="B321" s="125" t="s">
        <v>453</v>
      </c>
    </row>
    <row r="322" spans="1:2" x14ac:dyDescent="0.2">
      <c r="A322" s="125">
        <v>5195400000</v>
      </c>
      <c r="B322" s="125" t="s">
        <v>453</v>
      </c>
    </row>
    <row r="323" spans="1:2" x14ac:dyDescent="0.2">
      <c r="A323" s="139">
        <v>5140050000</v>
      </c>
      <c r="B323" s="125" t="s">
        <v>454</v>
      </c>
    </row>
    <row r="324" spans="1:2" x14ac:dyDescent="0.2">
      <c r="A324" s="139">
        <v>5140100000</v>
      </c>
      <c r="B324" s="125" t="s">
        <v>455</v>
      </c>
    </row>
    <row r="325" spans="1:2" x14ac:dyDescent="0.2">
      <c r="A325" s="125">
        <v>5105210000</v>
      </c>
      <c r="B325" s="125" t="s">
        <v>456</v>
      </c>
    </row>
    <row r="326" spans="1:2" x14ac:dyDescent="0.2">
      <c r="A326" s="125">
        <v>5155050000</v>
      </c>
      <c r="B326" s="125" t="s">
        <v>456</v>
      </c>
    </row>
    <row r="327" spans="1:2" x14ac:dyDescent="0.2">
      <c r="A327" s="125">
        <v>5155060000</v>
      </c>
      <c r="B327" s="125" t="s">
        <v>456</v>
      </c>
    </row>
    <row r="328" spans="1:2" x14ac:dyDescent="0.2">
      <c r="A328" s="125">
        <v>5155150000</v>
      </c>
      <c r="B328" s="125" t="s">
        <v>456</v>
      </c>
    </row>
    <row r="329" spans="1:2" x14ac:dyDescent="0.2">
      <c r="A329" s="125">
        <v>5155200000</v>
      </c>
      <c r="B329" s="125" t="s">
        <v>456</v>
      </c>
    </row>
    <row r="330" spans="1:2" x14ac:dyDescent="0.2">
      <c r="A330" s="125">
        <v>5155950000</v>
      </c>
      <c r="B330" s="125" t="s">
        <v>456</v>
      </c>
    </row>
    <row r="332" spans="1:2" x14ac:dyDescent="0.2">
      <c r="B332" s="125" t="s">
        <v>457</v>
      </c>
    </row>
    <row r="333" spans="1:2" x14ac:dyDescent="0.2">
      <c r="A333" s="125">
        <v>5135950300</v>
      </c>
      <c r="B333" s="125" t="s">
        <v>458</v>
      </c>
    </row>
    <row r="334" spans="1:2" x14ac:dyDescent="0.2">
      <c r="A334" s="125">
        <v>5198530000</v>
      </c>
      <c r="B334" s="125" t="s">
        <v>458</v>
      </c>
    </row>
    <row r="335" spans="1:2" x14ac:dyDescent="0.2">
      <c r="A335" s="125">
        <v>5398050000</v>
      </c>
      <c r="B335" s="125" t="s">
        <v>458</v>
      </c>
    </row>
    <row r="336" spans="1:2" x14ac:dyDescent="0.2">
      <c r="A336" s="125">
        <v>5398210000</v>
      </c>
      <c r="B336" s="125" t="s">
        <v>459</v>
      </c>
    </row>
    <row r="337" spans="1:2" x14ac:dyDescent="0.2">
      <c r="A337" s="125">
        <v>5110358000</v>
      </c>
      <c r="B337" s="125" t="s">
        <v>460</v>
      </c>
    </row>
    <row r="338" spans="1:2" x14ac:dyDescent="0.2">
      <c r="A338" s="125">
        <v>5210358000</v>
      </c>
      <c r="B338" s="125" t="s">
        <v>460</v>
      </c>
    </row>
    <row r="340" spans="1:2" x14ac:dyDescent="0.2">
      <c r="B340" s="125" t="s">
        <v>461</v>
      </c>
    </row>
    <row r="341" spans="1:2" x14ac:dyDescent="0.2">
      <c r="A341" s="125">
        <v>4210200100</v>
      </c>
      <c r="B341" s="125" t="s">
        <v>462</v>
      </c>
    </row>
    <row r="342" spans="1:2" x14ac:dyDescent="0.2">
      <c r="A342" s="125">
        <v>4210200200</v>
      </c>
      <c r="B342" s="125" t="s">
        <v>462</v>
      </c>
    </row>
    <row r="343" spans="1:2" x14ac:dyDescent="0.2">
      <c r="A343" s="125">
        <v>4210200400</v>
      </c>
      <c r="B343" s="125" t="s">
        <v>463</v>
      </c>
    </row>
    <row r="344" spans="1:2" x14ac:dyDescent="0.2">
      <c r="A344" s="125">
        <v>4210200500</v>
      </c>
      <c r="B344" s="125" t="s">
        <v>463</v>
      </c>
    </row>
    <row r="345" spans="1:2" x14ac:dyDescent="0.2">
      <c r="A345" s="125">
        <v>4210200501</v>
      </c>
      <c r="B345" s="125" t="s">
        <v>463</v>
      </c>
    </row>
    <row r="346" spans="1:2" x14ac:dyDescent="0.2">
      <c r="A346" s="125">
        <v>4210201000</v>
      </c>
      <c r="B346" s="125" t="s">
        <v>463</v>
      </c>
    </row>
    <row r="347" spans="1:2" x14ac:dyDescent="0.2">
      <c r="A347" s="125">
        <v>4210201001</v>
      </c>
      <c r="B347" s="125" t="s">
        <v>463</v>
      </c>
    </row>
    <row r="348" spans="1:2" x14ac:dyDescent="0.2">
      <c r="A348" s="125">
        <v>4210201100</v>
      </c>
      <c r="B348" s="125" t="s">
        <v>463</v>
      </c>
    </row>
    <row r="349" spans="1:2" x14ac:dyDescent="0.2">
      <c r="A349" s="125">
        <v>4210051000</v>
      </c>
      <c r="B349" s="125" t="s">
        <v>464</v>
      </c>
    </row>
    <row r="350" spans="1:2" x14ac:dyDescent="0.2">
      <c r="A350" s="125">
        <v>4210201000</v>
      </c>
      <c r="B350" s="125" t="s">
        <v>464</v>
      </c>
    </row>
    <row r="351" spans="1:2" x14ac:dyDescent="0.2">
      <c r="A351" s="125">
        <v>4210400000</v>
      </c>
      <c r="B351" s="125" t="s">
        <v>464</v>
      </c>
    </row>
    <row r="352" spans="1:2" x14ac:dyDescent="0.2">
      <c r="A352" s="125">
        <v>4245010000</v>
      </c>
      <c r="B352" s="125" t="s">
        <v>464</v>
      </c>
    </row>
    <row r="353" spans="1:2" x14ac:dyDescent="0.2">
      <c r="A353" s="125">
        <v>4250500100</v>
      </c>
      <c r="B353" s="125" t="s">
        <v>464</v>
      </c>
    </row>
    <row r="354" spans="1:2" x14ac:dyDescent="0.2">
      <c r="A354" s="125">
        <v>4250500200</v>
      </c>
      <c r="B354" s="125" t="s">
        <v>464</v>
      </c>
    </row>
    <row r="355" spans="1:2" x14ac:dyDescent="0.2">
      <c r="A355" s="125">
        <v>4250500300</v>
      </c>
      <c r="B355" s="125" t="s">
        <v>464</v>
      </c>
    </row>
    <row r="356" spans="1:2" x14ac:dyDescent="0.2">
      <c r="A356" s="125">
        <v>4250506600</v>
      </c>
      <c r="B356" s="125" t="s">
        <v>464</v>
      </c>
    </row>
    <row r="357" spans="1:2" x14ac:dyDescent="0.2">
      <c r="A357" s="125">
        <v>4255200000</v>
      </c>
      <c r="B357" s="125" t="s">
        <v>464</v>
      </c>
    </row>
    <row r="358" spans="1:2" x14ac:dyDescent="0.2">
      <c r="A358" s="125">
        <v>4295050000</v>
      </c>
      <c r="B358" s="125" t="s">
        <v>464</v>
      </c>
    </row>
    <row r="359" spans="1:2" x14ac:dyDescent="0.2">
      <c r="A359" s="125">
        <v>4295810000</v>
      </c>
      <c r="B359" s="125" t="s">
        <v>464</v>
      </c>
    </row>
    <row r="361" spans="1:2" x14ac:dyDescent="0.2">
      <c r="B361" s="125" t="s">
        <v>465</v>
      </c>
    </row>
    <row r="362" spans="1:2" x14ac:dyDescent="0.2">
      <c r="A362" s="125">
        <v>5305350000</v>
      </c>
      <c r="B362" s="125" t="s">
        <v>466</v>
      </c>
    </row>
    <row r="363" spans="1:2" x14ac:dyDescent="0.2">
      <c r="A363" s="125">
        <v>5310150000</v>
      </c>
      <c r="B363" s="125" t="s">
        <v>466</v>
      </c>
    </row>
    <row r="364" spans="1:2" x14ac:dyDescent="0.2">
      <c r="A364" s="125">
        <v>5310300000</v>
      </c>
      <c r="B364" s="125" t="s">
        <v>466</v>
      </c>
    </row>
    <row r="365" spans="1:2" x14ac:dyDescent="0.2">
      <c r="A365" s="125">
        <v>5310350000</v>
      </c>
      <c r="B365" s="125" t="s">
        <v>466</v>
      </c>
    </row>
    <row r="366" spans="1:2" x14ac:dyDescent="0.2">
      <c r="A366" s="125">
        <v>5313050000</v>
      </c>
      <c r="B366" s="125" t="s">
        <v>466</v>
      </c>
    </row>
    <row r="367" spans="1:2" x14ac:dyDescent="0.2">
      <c r="A367" s="125">
        <v>5315150200</v>
      </c>
      <c r="B367" s="125" t="s">
        <v>466</v>
      </c>
    </row>
    <row r="368" spans="1:2" x14ac:dyDescent="0.2">
      <c r="A368" s="125">
        <v>5315160000</v>
      </c>
      <c r="B368" s="125" t="s">
        <v>466</v>
      </c>
    </row>
    <row r="369" spans="1:3" x14ac:dyDescent="0.2">
      <c r="A369" s="125">
        <v>5315200000</v>
      </c>
      <c r="B369" s="125" t="s">
        <v>466</v>
      </c>
    </row>
    <row r="370" spans="1:3" x14ac:dyDescent="0.2">
      <c r="A370" s="125">
        <v>5315200100</v>
      </c>
      <c r="B370" s="125" t="s">
        <v>466</v>
      </c>
    </row>
    <row r="371" spans="1:3" x14ac:dyDescent="0.2">
      <c r="A371" s="125">
        <v>5315950000</v>
      </c>
      <c r="B371" s="125" t="s">
        <v>466</v>
      </c>
    </row>
    <row r="372" spans="1:3" x14ac:dyDescent="0.2">
      <c r="A372" s="125">
        <v>5395200000</v>
      </c>
      <c r="B372" s="125" t="s">
        <v>466</v>
      </c>
    </row>
    <row r="373" spans="1:3" x14ac:dyDescent="0.2">
      <c r="A373" s="125">
        <v>5395300000</v>
      </c>
      <c r="B373" s="125" t="s">
        <v>466</v>
      </c>
    </row>
    <row r="374" spans="1:3" x14ac:dyDescent="0.2">
      <c r="A374" s="125">
        <v>5395950000</v>
      </c>
      <c r="B374" s="125" t="s">
        <v>466</v>
      </c>
    </row>
    <row r="375" spans="1:3" x14ac:dyDescent="0.2">
      <c r="A375" s="125">
        <v>5305250500</v>
      </c>
      <c r="B375" s="125" t="s">
        <v>467</v>
      </c>
    </row>
    <row r="376" spans="1:3" x14ac:dyDescent="0.2">
      <c r="A376" s="125">
        <v>5305050000</v>
      </c>
      <c r="B376" s="125" t="s">
        <v>468</v>
      </c>
      <c r="C376" s="125">
        <v>5305050000</v>
      </c>
    </row>
    <row r="377" spans="1:3" x14ac:dyDescent="0.2">
      <c r="A377" s="125">
        <v>5305150000</v>
      </c>
      <c r="B377" s="125" t="s">
        <v>468</v>
      </c>
      <c r="C377" s="125">
        <v>5305200100</v>
      </c>
    </row>
    <row r="378" spans="1:3" x14ac:dyDescent="0.2">
      <c r="A378" s="125">
        <v>5305200100</v>
      </c>
      <c r="B378" s="125" t="s">
        <v>468</v>
      </c>
      <c r="C378" s="125">
        <v>5305202200</v>
      </c>
    </row>
    <row r="379" spans="1:3" x14ac:dyDescent="0.2">
      <c r="A379" s="125">
        <v>5305200200</v>
      </c>
      <c r="B379" s="125" t="s">
        <v>468</v>
      </c>
      <c r="C379" s="125">
        <v>5305150000</v>
      </c>
    </row>
    <row r="380" spans="1:3" x14ac:dyDescent="0.2">
      <c r="A380" s="125">
        <v>5305200300</v>
      </c>
      <c r="B380" s="125" t="s">
        <v>468</v>
      </c>
      <c r="C380" s="125">
        <v>5305200101</v>
      </c>
    </row>
    <row r="381" spans="1:3" x14ac:dyDescent="0.2">
      <c r="A381" s="125">
        <v>5305200400</v>
      </c>
      <c r="B381" s="125" t="s">
        <v>468</v>
      </c>
    </row>
    <row r="382" spans="1:3" x14ac:dyDescent="0.2">
      <c r="A382" s="125">
        <v>5305950000</v>
      </c>
      <c r="B382" s="125" t="s">
        <v>468</v>
      </c>
    </row>
    <row r="383" spans="1:3" x14ac:dyDescent="0.2">
      <c r="A383" s="125">
        <v>5315150000</v>
      </c>
      <c r="B383" s="125" t="s">
        <v>468</v>
      </c>
    </row>
    <row r="385" spans="1:2" x14ac:dyDescent="0.2">
      <c r="A385" s="125">
        <v>5405050100</v>
      </c>
      <c r="B385" s="125" t="s">
        <v>469</v>
      </c>
    </row>
    <row r="389" spans="1:2" x14ac:dyDescent="0.2">
      <c r="B389" s="125" t="s">
        <v>385</v>
      </c>
    </row>
    <row r="390" spans="1:2" x14ac:dyDescent="0.2">
      <c r="A390" s="125">
        <v>5205180100</v>
      </c>
      <c r="B390" s="125" t="s">
        <v>406</v>
      </c>
    </row>
    <row r="391" spans="1:2" x14ac:dyDescent="0.2">
      <c r="A391" s="125">
        <v>5205361000</v>
      </c>
      <c r="B391" s="125" t="s">
        <v>408</v>
      </c>
    </row>
    <row r="392" spans="1:2" x14ac:dyDescent="0.2">
      <c r="A392" s="125">
        <v>5205391000</v>
      </c>
      <c r="B392" s="125" t="s">
        <v>408</v>
      </c>
    </row>
    <row r="393" spans="1:2" x14ac:dyDescent="0.2">
      <c r="A393" s="125">
        <v>5205422000</v>
      </c>
      <c r="B393" s="125" t="s">
        <v>408</v>
      </c>
    </row>
    <row r="394" spans="1:2" x14ac:dyDescent="0.2">
      <c r="A394" s="125">
        <v>5205691000</v>
      </c>
      <c r="B394" s="125" t="s">
        <v>408</v>
      </c>
    </row>
    <row r="395" spans="1:2" x14ac:dyDescent="0.2">
      <c r="A395" s="125">
        <v>5205701000</v>
      </c>
      <c r="B395" s="125" t="s">
        <v>408</v>
      </c>
    </row>
    <row r="396" spans="1:2" x14ac:dyDescent="0.2">
      <c r="A396" s="125">
        <v>5205060100</v>
      </c>
      <c r="B396" s="125" t="s">
        <v>425</v>
      </c>
    </row>
    <row r="397" spans="1:2" x14ac:dyDescent="0.2">
      <c r="A397" s="125">
        <v>5205150100</v>
      </c>
      <c r="B397" s="125" t="s">
        <v>425</v>
      </c>
    </row>
    <row r="398" spans="1:2" x14ac:dyDescent="0.2">
      <c r="A398" s="125">
        <v>5205360100</v>
      </c>
      <c r="B398" s="125" t="s">
        <v>426</v>
      </c>
    </row>
    <row r="399" spans="1:2" x14ac:dyDescent="0.2">
      <c r="A399" s="125">
        <v>5205390100</v>
      </c>
      <c r="B399" s="125" t="s">
        <v>426</v>
      </c>
    </row>
    <row r="400" spans="1:2" x14ac:dyDescent="0.2">
      <c r="A400" s="125">
        <v>5205600100</v>
      </c>
      <c r="B400" s="125" t="s">
        <v>426</v>
      </c>
    </row>
    <row r="401" spans="1:2" x14ac:dyDescent="0.2">
      <c r="A401" s="125">
        <v>5205690100</v>
      </c>
      <c r="B401" s="125" t="s">
        <v>426</v>
      </c>
    </row>
    <row r="402" spans="1:2" x14ac:dyDescent="0.2">
      <c r="A402" s="125">
        <v>5205700100</v>
      </c>
      <c r="B402" s="125" t="s">
        <v>426</v>
      </c>
    </row>
    <row r="403" spans="1:2" x14ac:dyDescent="0.2">
      <c r="A403" s="125">
        <v>5205700100</v>
      </c>
      <c r="B403" s="125" t="s">
        <v>426</v>
      </c>
    </row>
    <row r="404" spans="1:2" x14ac:dyDescent="0.2">
      <c r="A404" s="125">
        <v>5205700200</v>
      </c>
      <c r="B404" s="125" t="s">
        <v>426</v>
      </c>
    </row>
    <row r="405" spans="1:2" x14ac:dyDescent="0.2">
      <c r="A405" s="125">
        <v>5205780100</v>
      </c>
      <c r="B405" s="125" t="s">
        <v>426</v>
      </c>
    </row>
    <row r="406" spans="1:2" x14ac:dyDescent="0.2">
      <c r="A406" s="125">
        <v>5105060000</v>
      </c>
      <c r="B406" s="125" t="s">
        <v>441</v>
      </c>
    </row>
    <row r="407" spans="1:2" x14ac:dyDescent="0.2">
      <c r="A407" s="125">
        <v>5105150000</v>
      </c>
      <c r="B407" s="125" t="s">
        <v>441</v>
      </c>
    </row>
    <row r="408" spans="1:2" x14ac:dyDescent="0.2">
      <c r="A408" s="125">
        <v>5105360000</v>
      </c>
      <c r="B408" s="125" t="s">
        <v>442</v>
      </c>
    </row>
    <row r="409" spans="1:2" x14ac:dyDescent="0.2">
      <c r="A409" s="125">
        <v>5105390000</v>
      </c>
      <c r="B409" s="125" t="s">
        <v>442</v>
      </c>
    </row>
    <row r="410" spans="1:2" x14ac:dyDescent="0.2">
      <c r="A410" s="125">
        <v>5105600000</v>
      </c>
      <c r="B410" s="125" t="s">
        <v>442</v>
      </c>
    </row>
    <row r="411" spans="1:2" x14ac:dyDescent="0.2">
      <c r="A411" s="125">
        <v>5105690000</v>
      </c>
      <c r="B411" s="125" t="s">
        <v>442</v>
      </c>
    </row>
    <row r="412" spans="1:2" x14ac:dyDescent="0.2">
      <c r="A412" s="125">
        <v>5105700000</v>
      </c>
      <c r="B412" s="125" t="s">
        <v>442</v>
      </c>
    </row>
    <row r="413" spans="1:2" x14ac:dyDescent="0.2">
      <c r="A413" s="125">
        <v>5105780000</v>
      </c>
      <c r="B413" s="125" t="s">
        <v>442</v>
      </c>
    </row>
    <row r="414" spans="1:2" x14ac:dyDescent="0.2">
      <c r="A414" s="125">
        <v>5105950000</v>
      </c>
      <c r="B414" s="125" t="s">
        <v>442</v>
      </c>
    </row>
    <row r="415" spans="1:2" x14ac:dyDescent="0.2">
      <c r="A415" s="125">
        <v>5105180000</v>
      </c>
      <c r="B415" s="125" t="s">
        <v>443</v>
      </c>
    </row>
    <row r="416" spans="1:2" x14ac:dyDescent="0.2">
      <c r="A416" s="125">
        <v>5105391000</v>
      </c>
      <c r="B416" s="125" t="s">
        <v>445</v>
      </c>
    </row>
    <row r="417" spans="1:3" x14ac:dyDescent="0.2">
      <c r="A417" s="125">
        <v>5105691000</v>
      </c>
      <c r="B417" s="125" t="s">
        <v>445</v>
      </c>
    </row>
    <row r="418" spans="1:3" x14ac:dyDescent="0.2">
      <c r="A418" s="125">
        <v>5105701000</v>
      </c>
      <c r="B418" s="125" t="s">
        <v>445</v>
      </c>
    </row>
    <row r="421" spans="1:3" x14ac:dyDescent="0.2">
      <c r="A421" s="125">
        <v>5160100000</v>
      </c>
      <c r="B421" s="125" t="s">
        <v>470</v>
      </c>
      <c r="C421" s="125" t="s">
        <v>471</v>
      </c>
    </row>
    <row r="427" spans="1:3" x14ac:dyDescent="0.2">
      <c r="A427" s="126" t="s">
        <v>472</v>
      </c>
    </row>
    <row r="428" spans="1:3" x14ac:dyDescent="0.2">
      <c r="A428" s="125">
        <v>1105050100</v>
      </c>
      <c r="B428" s="125" t="s">
        <v>473</v>
      </c>
      <c r="C428" s="127" t="e">
        <f ca="1">[1]!Consulta(4,"Saldos por cuenta","Saldo Inicial","Periodo","=",Paramet!$B$4,"Cuenta","IN",ctas!A428,"Plan_cuenta","=","NIF")</f>
        <v>#NAME?</v>
      </c>
    </row>
    <row r="429" spans="1:3" x14ac:dyDescent="0.2">
      <c r="A429" s="125">
        <v>1105100200</v>
      </c>
      <c r="B429" s="125" t="s">
        <v>474</v>
      </c>
      <c r="C429" s="127" t="e">
        <f ca="1">[1]!Consulta(4,"Saldos por cuenta","Saldo Inicial","Periodo","=",201908,"Cuenta","IN",ctas!A429,"Plan_cuenta","=","NIF")</f>
        <v>#NAME?</v>
      </c>
    </row>
    <row r="430" spans="1:3" x14ac:dyDescent="0.2">
      <c r="A430" s="125">
        <v>1110050101</v>
      </c>
      <c r="B430" s="125" t="s">
        <v>475</v>
      </c>
      <c r="C430" s="127" t="e">
        <f ca="1">[1]!Consulta(4,"Saldos por cuenta","Saldo Inicial","Periodo","=",201908,"Cuenta","IN",ctas!A430,"Plan_cuenta","=","NIF")</f>
        <v>#NAME?</v>
      </c>
    </row>
    <row r="431" spans="1:3" x14ac:dyDescent="0.2">
      <c r="A431" s="125">
        <v>1110050106</v>
      </c>
      <c r="B431" s="125" t="s">
        <v>476</v>
      </c>
      <c r="C431" s="127" t="e">
        <f ca="1">[1]!Consulta(4,"Saldos por cuenta","Saldo Inicial","Periodo","=",201908,"Cuenta","IN",ctas!A431,"Plan_cuenta","=","NIF")</f>
        <v>#NAME?</v>
      </c>
    </row>
    <row r="432" spans="1:3" x14ac:dyDescent="0.2">
      <c r="A432" s="125">
        <v>1110050108</v>
      </c>
      <c r="B432" s="125" t="s">
        <v>477</v>
      </c>
      <c r="C432" s="127" t="e">
        <f ca="1">[1]!Consulta(4,"Saldos por cuenta","Saldo Inicial","Periodo","=",201908,"Cuenta","IN",ctas!A432,"Plan_cuenta","=","NIF")</f>
        <v>#NAME?</v>
      </c>
    </row>
    <row r="433" spans="1:3" x14ac:dyDescent="0.2">
      <c r="A433" s="125">
        <v>1110050110</v>
      </c>
      <c r="B433" s="125" t="s">
        <v>478</v>
      </c>
      <c r="C433" s="127" t="e">
        <f ca="1">[1]!Consulta(4,"Saldos por cuenta","Saldo Inicial","Periodo","=",201908,"Cuenta","IN",ctas!A433,"Plan_cuenta","=","NIF")</f>
        <v>#NAME?</v>
      </c>
    </row>
    <row r="434" spans="1:3" x14ac:dyDescent="0.2">
      <c r="A434" s="125">
        <v>1110050111</v>
      </c>
      <c r="B434" s="125" t="s">
        <v>479</v>
      </c>
      <c r="C434" s="127" t="e">
        <f ca="1">[1]!Consulta(4,"Saldos por cuenta","Saldo Inicial","Periodo","=",201908,"Cuenta","IN",ctas!A434,"Plan_cuenta","=","NIF")</f>
        <v>#NAME?</v>
      </c>
    </row>
    <row r="435" spans="1:3" x14ac:dyDescent="0.2">
      <c r="A435" s="125">
        <v>1110100101</v>
      </c>
      <c r="B435" s="125" t="s">
        <v>480</v>
      </c>
      <c r="C435" s="127" t="e">
        <f ca="1">[1]!Consulta(4,"Saldos por cuenta","Saldo Inicial","Periodo","=",201908,"Cuenta","IN",ctas!A435,"Plan_cuenta","=","NIF")</f>
        <v>#NAME?</v>
      </c>
    </row>
    <row r="436" spans="1:3" x14ac:dyDescent="0.2">
      <c r="A436" s="125">
        <v>1125100200</v>
      </c>
      <c r="B436" s="125" t="s">
        <v>481</v>
      </c>
      <c r="C436" s="127" t="e">
        <f ca="1">[1]!Consulta(4,"Saldos por cuenta","Saldo Inicial","Periodo","=",201908,"Cuenta","IN",ctas!A436,"Plan_cuenta","=","NIF")</f>
        <v>#NAME?</v>
      </c>
    </row>
    <row r="437" spans="1:3" x14ac:dyDescent="0.2">
      <c r="A437" s="125">
        <v>1130050100</v>
      </c>
      <c r="B437" s="125" t="s">
        <v>482</v>
      </c>
      <c r="C437" s="127" t="e">
        <f ca="1">[1]!Consulta(4,"Saldos por cuenta","Saldo Inicial","Periodo","=",201908,"Cuenta","IN",ctas!A437,"Plan_cuenta","=","NIF")</f>
        <v>#NAME?</v>
      </c>
    </row>
    <row r="438" spans="1:3" x14ac:dyDescent="0.2">
      <c r="A438" s="126"/>
      <c r="C438" s="127" t="e">
        <f ca="1">SUM(C428:C437)</f>
        <v>#NAME?</v>
      </c>
    </row>
    <row r="439" spans="1:3" x14ac:dyDescent="0.2">
      <c r="A439" s="126"/>
    </row>
    <row r="440" spans="1:3" x14ac:dyDescent="0.2">
      <c r="A440" s="125">
        <v>1101</v>
      </c>
      <c r="B440" s="125" t="s">
        <v>483</v>
      </c>
    </row>
    <row r="441" spans="1:3" x14ac:dyDescent="0.2">
      <c r="A441" s="125">
        <v>1102</v>
      </c>
      <c r="B441" s="125" t="s">
        <v>484</v>
      </c>
    </row>
    <row r="442" spans="1:3" x14ac:dyDescent="0.2">
      <c r="A442" s="125">
        <v>1103</v>
      </c>
      <c r="B442" s="125" t="s">
        <v>485</v>
      </c>
    </row>
    <row r="443" spans="1:3" x14ac:dyDescent="0.2">
      <c r="A443" s="125">
        <v>1104</v>
      </c>
      <c r="B443" s="125" t="s">
        <v>486</v>
      </c>
    </row>
    <row r="444" spans="1:3" x14ac:dyDescent="0.2">
      <c r="A444" s="125" t="s">
        <v>487</v>
      </c>
      <c r="B444" s="125" t="s">
        <v>488</v>
      </c>
    </row>
    <row r="445" spans="1:3" x14ac:dyDescent="0.2">
      <c r="A445" s="125">
        <v>1106</v>
      </c>
      <c r="B445" s="125" t="s">
        <v>489</v>
      </c>
    </row>
    <row r="446" spans="1:3" x14ac:dyDescent="0.2">
      <c r="B446" s="125" t="s">
        <v>490</v>
      </c>
    </row>
    <row r="448" spans="1:3" x14ac:dyDescent="0.2">
      <c r="B448" s="125" t="s">
        <v>491</v>
      </c>
    </row>
    <row r="450" spans="1:2" x14ac:dyDescent="0.2">
      <c r="B450" s="125" t="s">
        <v>99</v>
      </c>
    </row>
    <row r="451" spans="1:2" x14ac:dyDescent="0.2">
      <c r="A451" s="125">
        <v>1201</v>
      </c>
      <c r="B451" s="125" t="s">
        <v>492</v>
      </c>
    </row>
    <row r="452" spans="1:2" x14ac:dyDescent="0.2">
      <c r="A452" s="125">
        <v>1202</v>
      </c>
      <c r="B452" s="125" t="s">
        <v>493</v>
      </c>
    </row>
    <row r="453" spans="1:2" x14ac:dyDescent="0.2">
      <c r="A453" s="125">
        <v>1203</v>
      </c>
      <c r="B453" s="125" t="s">
        <v>494</v>
      </c>
    </row>
    <row r="454" spans="1:2" x14ac:dyDescent="0.2">
      <c r="A454" s="125">
        <v>1204</v>
      </c>
      <c r="B454" s="125" t="s">
        <v>495</v>
      </c>
    </row>
    <row r="455" spans="1:2" x14ac:dyDescent="0.2">
      <c r="A455" s="125">
        <v>1205</v>
      </c>
      <c r="B455" s="125" t="s">
        <v>496</v>
      </c>
    </row>
    <row r="456" spans="1:2" x14ac:dyDescent="0.2">
      <c r="A456" s="125">
        <v>1206</v>
      </c>
      <c r="B456" s="125" t="s">
        <v>497</v>
      </c>
    </row>
    <row r="458" spans="1:2" x14ac:dyDescent="0.2">
      <c r="B458" s="125" t="s">
        <v>498</v>
      </c>
    </row>
    <row r="460" spans="1:2" x14ac:dyDescent="0.2">
      <c r="B460" s="125" t="s">
        <v>499</v>
      </c>
    </row>
    <row r="461" spans="1:2" x14ac:dyDescent="0.2">
      <c r="A461" s="125">
        <v>1208</v>
      </c>
      <c r="B461" s="125" t="s">
        <v>500</v>
      </c>
    </row>
    <row r="463" spans="1:2" x14ac:dyDescent="0.2">
      <c r="B463" s="125" t="s">
        <v>100</v>
      </c>
    </row>
    <row r="464" spans="1:2" x14ac:dyDescent="0.2">
      <c r="A464" s="125" t="s">
        <v>501</v>
      </c>
      <c r="B464" s="125" t="s">
        <v>502</v>
      </c>
    </row>
    <row r="465" spans="1:2" x14ac:dyDescent="0.2">
      <c r="A465" s="125">
        <v>1210</v>
      </c>
      <c r="B465" s="125" t="s">
        <v>503</v>
      </c>
    </row>
    <row r="466" spans="1:2" x14ac:dyDescent="0.2">
      <c r="A466" s="125">
        <v>1211</v>
      </c>
      <c r="B466" s="125" t="s">
        <v>504</v>
      </c>
    </row>
    <row r="467" spans="1:2" x14ac:dyDescent="0.2">
      <c r="A467" s="125">
        <v>1212</v>
      </c>
      <c r="B467" s="125" t="s">
        <v>505</v>
      </c>
    </row>
    <row r="468" spans="1:2" x14ac:dyDescent="0.2">
      <c r="B468" s="125" t="s">
        <v>506</v>
      </c>
    </row>
    <row r="470" spans="1:2" x14ac:dyDescent="0.2">
      <c r="B470" s="125" t="s">
        <v>101</v>
      </c>
    </row>
    <row r="471" spans="1:2" x14ac:dyDescent="0.2">
      <c r="A471" s="125">
        <v>1214</v>
      </c>
      <c r="B471" s="125" t="s">
        <v>507</v>
      </c>
    </row>
    <row r="472" spans="1:2" x14ac:dyDescent="0.2">
      <c r="A472" s="125">
        <v>1242</v>
      </c>
      <c r="B472" s="125" t="s">
        <v>508</v>
      </c>
    </row>
    <row r="473" spans="1:2" x14ac:dyDescent="0.2">
      <c r="A473" s="125">
        <v>1243</v>
      </c>
      <c r="B473" s="125" t="s">
        <v>509</v>
      </c>
    </row>
    <row r="474" spans="1:2" x14ac:dyDescent="0.2">
      <c r="A474" s="125">
        <v>1244</v>
      </c>
      <c r="B474" s="125" t="s">
        <v>510</v>
      </c>
    </row>
    <row r="475" spans="1:2" x14ac:dyDescent="0.2">
      <c r="A475" s="125">
        <v>1245</v>
      </c>
      <c r="B475" s="125" t="s">
        <v>511</v>
      </c>
    </row>
    <row r="476" spans="1:2" x14ac:dyDescent="0.2">
      <c r="A476" s="125">
        <v>1246</v>
      </c>
      <c r="B476" s="125" t="s">
        <v>512</v>
      </c>
    </row>
    <row r="477" spans="1:2" x14ac:dyDescent="0.2">
      <c r="A477" s="125">
        <v>1215</v>
      </c>
      <c r="B477" s="125" t="s">
        <v>513</v>
      </c>
    </row>
    <row r="478" spans="1:2" x14ac:dyDescent="0.2">
      <c r="A478" s="125">
        <v>1216</v>
      </c>
      <c r="B478" s="125" t="s">
        <v>514</v>
      </c>
    </row>
    <row r="479" spans="1:2" x14ac:dyDescent="0.2">
      <c r="A479" s="125">
        <v>1217</v>
      </c>
      <c r="B479" s="125" t="s">
        <v>515</v>
      </c>
    </row>
    <row r="480" spans="1:2" x14ac:dyDescent="0.2">
      <c r="A480" s="125">
        <v>1218</v>
      </c>
      <c r="B480" s="125" t="s">
        <v>516</v>
      </c>
    </row>
    <row r="481" spans="1:2" x14ac:dyDescent="0.2">
      <c r="A481" s="125">
        <v>1219</v>
      </c>
      <c r="B481" s="125" t="s">
        <v>517</v>
      </c>
    </row>
    <row r="482" spans="1:2" x14ac:dyDescent="0.2">
      <c r="A482" s="125">
        <v>1220</v>
      </c>
      <c r="B482" s="125" t="s">
        <v>518</v>
      </c>
    </row>
    <row r="483" spans="1:2" x14ac:dyDescent="0.2">
      <c r="A483" s="125">
        <v>1221</v>
      </c>
      <c r="B483" s="125" t="s">
        <v>519</v>
      </c>
    </row>
    <row r="484" spans="1:2" x14ac:dyDescent="0.2">
      <c r="A484" s="125">
        <v>1222</v>
      </c>
      <c r="B484" s="125" t="s">
        <v>520</v>
      </c>
    </row>
    <row r="485" spans="1:2" x14ac:dyDescent="0.2">
      <c r="A485" s="125">
        <v>1223</v>
      </c>
      <c r="B485" s="125" t="s">
        <v>521</v>
      </c>
    </row>
    <row r="486" spans="1:2" x14ac:dyDescent="0.2">
      <c r="A486" s="125">
        <v>1224</v>
      </c>
      <c r="B486" s="125" t="s">
        <v>522</v>
      </c>
    </row>
    <row r="487" spans="1:2" x14ac:dyDescent="0.2">
      <c r="A487" s="125">
        <v>1225</v>
      </c>
      <c r="B487" s="125" t="s">
        <v>523</v>
      </c>
    </row>
    <row r="488" spans="1:2" x14ac:dyDescent="0.2">
      <c r="A488" s="125">
        <v>1226</v>
      </c>
      <c r="B488" s="125" t="s">
        <v>524</v>
      </c>
    </row>
    <row r="489" spans="1:2" x14ac:dyDescent="0.2">
      <c r="A489" s="125">
        <v>1227</v>
      </c>
      <c r="B489" s="125" t="s">
        <v>525</v>
      </c>
    </row>
    <row r="490" spans="1:2" x14ac:dyDescent="0.2">
      <c r="A490" s="125">
        <v>1228</v>
      </c>
      <c r="B490" s="125" t="s">
        <v>526</v>
      </c>
    </row>
    <row r="491" spans="1:2" x14ac:dyDescent="0.2">
      <c r="A491" s="125">
        <v>1229</v>
      </c>
      <c r="B491" s="125" t="s">
        <v>527</v>
      </c>
    </row>
    <row r="492" spans="1:2" x14ac:dyDescent="0.2">
      <c r="A492" s="125">
        <v>1230</v>
      </c>
      <c r="B492" s="125" t="s">
        <v>528</v>
      </c>
    </row>
    <row r="493" spans="1:2" x14ac:dyDescent="0.2">
      <c r="A493" s="125">
        <v>1231</v>
      </c>
      <c r="B493" s="125" t="s">
        <v>529</v>
      </c>
    </row>
    <row r="494" spans="1:2" x14ac:dyDescent="0.2">
      <c r="A494" s="125">
        <v>1232</v>
      </c>
      <c r="B494" s="125" t="s">
        <v>530</v>
      </c>
    </row>
    <row r="495" spans="1:2" x14ac:dyDescent="0.2">
      <c r="A495" s="125">
        <v>1233</v>
      </c>
      <c r="B495" s="125" t="s">
        <v>531</v>
      </c>
    </row>
    <row r="496" spans="1:2" x14ac:dyDescent="0.2">
      <c r="A496" s="125">
        <v>1234</v>
      </c>
      <c r="B496" s="125" t="s">
        <v>532</v>
      </c>
    </row>
    <row r="497" spans="1:2" x14ac:dyDescent="0.2">
      <c r="A497" s="125">
        <v>1235</v>
      </c>
      <c r="B497" s="125" t="s">
        <v>533</v>
      </c>
    </row>
    <row r="498" spans="1:2" x14ac:dyDescent="0.2">
      <c r="A498" s="125">
        <v>1236</v>
      </c>
      <c r="B498" s="125" t="s">
        <v>534</v>
      </c>
    </row>
    <row r="499" spans="1:2" x14ac:dyDescent="0.2">
      <c r="A499" s="125">
        <v>1237</v>
      </c>
      <c r="B499" s="125" t="s">
        <v>535</v>
      </c>
    </row>
    <row r="500" spans="1:2" x14ac:dyDescent="0.2">
      <c r="A500" s="125">
        <v>1238</v>
      </c>
      <c r="B500" s="125" t="s">
        <v>536</v>
      </c>
    </row>
    <row r="501" spans="1:2" x14ac:dyDescent="0.2">
      <c r="A501" s="125">
        <v>1239</v>
      </c>
      <c r="B501" s="125" t="s">
        <v>537</v>
      </c>
    </row>
    <row r="502" spans="1:2" x14ac:dyDescent="0.2">
      <c r="A502" s="125">
        <v>1240</v>
      </c>
      <c r="B502" s="125" t="s">
        <v>538</v>
      </c>
    </row>
    <row r="503" spans="1:2" x14ac:dyDescent="0.2">
      <c r="A503" s="125">
        <v>1241</v>
      </c>
      <c r="B503" s="125" t="s">
        <v>539</v>
      </c>
    </row>
    <row r="504" spans="1:2" x14ac:dyDescent="0.2">
      <c r="B504" s="125" t="s">
        <v>540</v>
      </c>
    </row>
    <row r="506" spans="1:2" x14ac:dyDescent="0.2">
      <c r="B506" s="125" t="s">
        <v>541</v>
      </c>
    </row>
    <row r="508" spans="1:2" x14ac:dyDescent="0.2">
      <c r="B508" s="125" t="s">
        <v>542</v>
      </c>
    </row>
    <row r="510" spans="1:2" x14ac:dyDescent="0.2">
      <c r="B510" s="125" t="s">
        <v>543</v>
      </c>
    </row>
    <row r="512" spans="1:2" x14ac:dyDescent="0.2">
      <c r="B512" s="125" t="s">
        <v>544</v>
      </c>
    </row>
    <row r="513" spans="1:2" x14ac:dyDescent="0.2">
      <c r="A513" s="125">
        <v>2101</v>
      </c>
      <c r="B513" s="125" t="s">
        <v>545</v>
      </c>
    </row>
    <row r="514" spans="1:2" x14ac:dyDescent="0.2">
      <c r="A514" s="125">
        <v>2102</v>
      </c>
      <c r="B514" s="125" t="s">
        <v>546</v>
      </c>
    </row>
    <row r="515" spans="1:2" x14ac:dyDescent="0.2">
      <c r="A515" s="125">
        <v>2103</v>
      </c>
      <c r="B515" s="125" t="s">
        <v>547</v>
      </c>
    </row>
    <row r="516" spans="1:2" x14ac:dyDescent="0.2">
      <c r="A516" s="125">
        <v>1207</v>
      </c>
      <c r="B516" s="125" t="s">
        <v>548</v>
      </c>
    </row>
    <row r="517" spans="1:2" x14ac:dyDescent="0.2">
      <c r="B517" s="125" t="s">
        <v>549</v>
      </c>
    </row>
    <row r="519" spans="1:2" x14ac:dyDescent="0.2">
      <c r="B519" s="125" t="s">
        <v>102</v>
      </c>
    </row>
    <row r="520" spans="1:2" x14ac:dyDescent="0.2">
      <c r="A520" s="125">
        <v>3101</v>
      </c>
      <c r="B520" s="125" t="s">
        <v>550</v>
      </c>
    </row>
    <row r="521" spans="1:2" x14ac:dyDescent="0.2">
      <c r="A521" s="125" t="s">
        <v>551</v>
      </c>
      <c r="B521" s="125" t="s">
        <v>552</v>
      </c>
    </row>
    <row r="522" spans="1:2" x14ac:dyDescent="0.2">
      <c r="A522" s="125">
        <v>3103</v>
      </c>
      <c r="B522" s="125" t="s">
        <v>553</v>
      </c>
    </row>
    <row r="523" spans="1:2" x14ac:dyDescent="0.2">
      <c r="A523" s="125">
        <v>3104</v>
      </c>
      <c r="B523" s="125" t="s">
        <v>554</v>
      </c>
    </row>
    <row r="524" spans="1:2" x14ac:dyDescent="0.2">
      <c r="B524" s="125" t="s">
        <v>555</v>
      </c>
    </row>
    <row r="526" spans="1:2" x14ac:dyDescent="0.2">
      <c r="B526" s="125" t="s">
        <v>556</v>
      </c>
    </row>
    <row r="534" spans="1:12" x14ac:dyDescent="0.2">
      <c r="B534" s="125" t="s">
        <v>557</v>
      </c>
    </row>
    <row r="535" spans="1:12" x14ac:dyDescent="0.2">
      <c r="B535" s="125" t="s">
        <v>558</v>
      </c>
    </row>
    <row r="536" spans="1:12" x14ac:dyDescent="0.2">
      <c r="A536" s="125">
        <v>5101</v>
      </c>
      <c r="B536" s="125" t="s">
        <v>559</v>
      </c>
    </row>
    <row r="537" spans="1:12" x14ac:dyDescent="0.2">
      <c r="A537" s="125">
        <v>5102</v>
      </c>
      <c r="B537" s="125" t="s">
        <v>560</v>
      </c>
    </row>
    <row r="538" spans="1:12" x14ac:dyDescent="0.2">
      <c r="A538" s="125">
        <v>5103</v>
      </c>
      <c r="B538" s="125" t="s">
        <v>561</v>
      </c>
    </row>
    <row r="539" spans="1:12" x14ac:dyDescent="0.2">
      <c r="A539" s="125">
        <v>5104</v>
      </c>
      <c r="B539" s="125" t="s">
        <v>562</v>
      </c>
    </row>
    <row r="540" spans="1:12" x14ac:dyDescent="0.2">
      <c r="A540" s="125">
        <v>5105</v>
      </c>
      <c r="B540" s="125" t="s">
        <v>563</v>
      </c>
      <c r="E540" s="125" t="s">
        <v>564</v>
      </c>
      <c r="F540" s="125" t="s">
        <v>565</v>
      </c>
    </row>
    <row r="541" spans="1:12" x14ac:dyDescent="0.2">
      <c r="B541" s="125" t="s">
        <v>566</v>
      </c>
    </row>
    <row r="542" spans="1:12" x14ac:dyDescent="0.2">
      <c r="E542" s="125" t="s">
        <v>567</v>
      </c>
      <c r="G542" s="125"/>
      <c r="H542" s="125"/>
      <c r="I542" s="125"/>
      <c r="J542" s="125"/>
      <c r="K542" s="125"/>
      <c r="L542" s="125"/>
    </row>
    <row r="543" spans="1:12" x14ac:dyDescent="0.2">
      <c r="B543" s="125" t="s">
        <v>556</v>
      </c>
      <c r="E543" s="125" t="s">
        <v>568</v>
      </c>
      <c r="F543" s="125" t="s">
        <v>569</v>
      </c>
      <c r="G543" s="125" t="s">
        <v>116</v>
      </c>
      <c r="H543" s="125"/>
      <c r="I543" s="125"/>
      <c r="J543" s="125"/>
      <c r="K543" s="125"/>
      <c r="L543" s="125"/>
    </row>
    <row r="544" spans="1:12" x14ac:dyDescent="0.2">
      <c r="A544" s="125">
        <v>6190</v>
      </c>
      <c r="B544" s="125" t="s">
        <v>570</v>
      </c>
      <c r="E544" s="125" t="s">
        <v>571</v>
      </c>
      <c r="F544" s="125" t="s">
        <v>572</v>
      </c>
      <c r="G544" s="136">
        <v>157866000</v>
      </c>
      <c r="H544" s="125"/>
      <c r="I544" s="125"/>
      <c r="J544" s="125"/>
      <c r="K544" s="125"/>
      <c r="L544" s="125"/>
    </row>
    <row r="545" spans="1:12" x14ac:dyDescent="0.2">
      <c r="A545" s="125">
        <v>7101</v>
      </c>
      <c r="B545" s="125" t="s">
        <v>573</v>
      </c>
      <c r="E545" s="125" t="s">
        <v>574</v>
      </c>
      <c r="F545" s="125" t="s">
        <v>575</v>
      </c>
      <c r="G545" s="136">
        <v>487283000</v>
      </c>
      <c r="H545" s="125"/>
      <c r="I545" s="125"/>
      <c r="J545" s="125"/>
      <c r="K545" s="125"/>
      <c r="L545" s="125"/>
    </row>
    <row r="546" spans="1:12" x14ac:dyDescent="0.2">
      <c r="A546" s="125">
        <v>7102</v>
      </c>
      <c r="B546" s="125" t="s">
        <v>575</v>
      </c>
      <c r="E546" s="125" t="s">
        <v>576</v>
      </c>
      <c r="F546" s="125" t="s">
        <v>577</v>
      </c>
      <c r="G546" s="136">
        <v>821000000</v>
      </c>
      <c r="H546" s="125"/>
      <c r="I546" s="125"/>
      <c r="J546" s="125"/>
      <c r="K546" s="125"/>
      <c r="L546" s="125"/>
    </row>
    <row r="547" spans="1:12" x14ac:dyDescent="0.2">
      <c r="A547" s="125">
        <v>7103</v>
      </c>
      <c r="B547" s="125" t="s">
        <v>578</v>
      </c>
      <c r="E547" s="125" t="s">
        <v>357</v>
      </c>
      <c r="G547" s="136">
        <v>1466149000</v>
      </c>
      <c r="H547" s="125"/>
      <c r="I547" s="125"/>
      <c r="J547" s="125"/>
      <c r="K547" s="125"/>
      <c r="L547" s="125"/>
    </row>
    <row r="548" spans="1:12" x14ac:dyDescent="0.2">
      <c r="A548" s="125">
        <v>7104</v>
      </c>
      <c r="B548" s="125" t="s">
        <v>579</v>
      </c>
      <c r="G548" s="136"/>
      <c r="H548" s="125"/>
      <c r="I548" s="125"/>
      <c r="J548" s="125"/>
      <c r="K548" s="125"/>
      <c r="L548" s="125"/>
    </row>
    <row r="549" spans="1:12" x14ac:dyDescent="0.2">
      <c r="A549" s="125">
        <v>7105</v>
      </c>
      <c r="B549" s="125" t="s">
        <v>580</v>
      </c>
      <c r="G549" s="125"/>
      <c r="H549" s="125"/>
      <c r="I549" s="125"/>
      <c r="J549" s="125"/>
      <c r="K549" s="125"/>
      <c r="L549" s="125"/>
    </row>
    <row r="550" spans="1:12" x14ac:dyDescent="0.2">
      <c r="A550" s="125" t="s">
        <v>581</v>
      </c>
      <c r="B550" s="125" t="s">
        <v>582</v>
      </c>
      <c r="G550" s="125"/>
      <c r="H550" s="125"/>
      <c r="I550" s="125"/>
      <c r="J550" s="125"/>
      <c r="K550" s="125"/>
      <c r="L550" s="125"/>
    </row>
    <row r="551" spans="1:12" x14ac:dyDescent="0.2">
      <c r="A551" s="125">
        <v>4101</v>
      </c>
      <c r="B551" s="125" t="s">
        <v>583</v>
      </c>
      <c r="G551" s="125"/>
      <c r="H551" s="125"/>
      <c r="I551" s="125"/>
      <c r="J551" s="125"/>
      <c r="K551" s="125"/>
    </row>
    <row r="552" spans="1:12" x14ac:dyDescent="0.2">
      <c r="A552" s="125">
        <v>4102</v>
      </c>
      <c r="B552" s="125" t="s">
        <v>572</v>
      </c>
      <c r="G552" s="125"/>
      <c r="H552" s="125"/>
      <c r="I552" s="125"/>
      <c r="J552" s="125"/>
      <c r="K552" s="125"/>
    </row>
    <row r="553" spans="1:12" x14ac:dyDescent="0.2">
      <c r="A553" s="125">
        <v>7104</v>
      </c>
      <c r="B553" s="125" t="s">
        <v>584</v>
      </c>
      <c r="E553" s="125">
        <v>6190</v>
      </c>
      <c r="F553" s="125" t="s">
        <v>570</v>
      </c>
      <c r="G553" s="125"/>
      <c r="H553" s="125"/>
      <c r="I553" s="125"/>
      <c r="J553" s="125"/>
      <c r="K553" s="125"/>
    </row>
    <row r="554" spans="1:12" x14ac:dyDescent="0.2">
      <c r="G554" s="125"/>
      <c r="H554" s="125"/>
      <c r="I554" s="125"/>
      <c r="J554" s="125"/>
      <c r="K554" s="125"/>
    </row>
    <row r="555" spans="1:12" x14ac:dyDescent="0.2">
      <c r="B555" s="125" t="s">
        <v>585</v>
      </c>
      <c r="G555" s="125"/>
      <c r="H555" s="125"/>
      <c r="I555" s="125"/>
      <c r="J555" s="125"/>
      <c r="K555" s="125"/>
    </row>
    <row r="556" spans="1:12" x14ac:dyDescent="0.2">
      <c r="A556" s="126" t="s">
        <v>586</v>
      </c>
      <c r="G556" s="125"/>
    </row>
    <row r="557" spans="1:12" x14ac:dyDescent="0.2">
      <c r="A557" s="140">
        <v>1110050100</v>
      </c>
      <c r="B557" s="141" t="s">
        <v>587</v>
      </c>
      <c r="G557" s="125"/>
    </row>
    <row r="558" spans="1:12" x14ac:dyDescent="0.2">
      <c r="A558" s="140">
        <v>1110050200</v>
      </c>
      <c r="B558" s="125" t="s">
        <v>588</v>
      </c>
      <c r="G558" s="125"/>
    </row>
    <row r="559" spans="1:12" x14ac:dyDescent="0.2">
      <c r="G559" s="125"/>
    </row>
    <row r="563" spans="1:2" x14ac:dyDescent="0.2">
      <c r="A563" s="125">
        <v>4170250000</v>
      </c>
      <c r="B563" s="125" t="s">
        <v>589</v>
      </c>
    </row>
    <row r="565" spans="1:2" x14ac:dyDescent="0.2">
      <c r="A565" s="125">
        <v>4218050000</v>
      </c>
      <c r="B565" s="125" t="s">
        <v>590</v>
      </c>
    </row>
    <row r="568" spans="1:2" x14ac:dyDescent="0.2">
      <c r="A568" s="125">
        <v>5210350000</v>
      </c>
      <c r="B568" s="125" t="s">
        <v>591</v>
      </c>
    </row>
    <row r="569" spans="1:2" x14ac:dyDescent="0.2">
      <c r="A569" s="125">
        <v>5140950000</v>
      </c>
    </row>
    <row r="571" spans="1:2" x14ac:dyDescent="0.2">
      <c r="A571" s="140">
        <v>5305950000</v>
      </c>
      <c r="B571" s="125" t="s">
        <v>592</v>
      </c>
    </row>
    <row r="572" spans="1:2" x14ac:dyDescent="0.2">
      <c r="A572" s="140">
        <v>5313050000</v>
      </c>
      <c r="B572" s="125" t="s">
        <v>590</v>
      </c>
    </row>
    <row r="573" spans="1:2" x14ac:dyDescent="0.2">
      <c r="A573" s="125">
        <v>5310950000</v>
      </c>
      <c r="B573" s="125" t="s">
        <v>593</v>
      </c>
    </row>
    <row r="577" spans="1:3" x14ac:dyDescent="0.2">
      <c r="A577" s="125">
        <v>1101</v>
      </c>
      <c r="B577" s="125" t="s">
        <v>594</v>
      </c>
    </row>
    <row r="578" spans="1:3" x14ac:dyDescent="0.2">
      <c r="A578" s="125">
        <v>1102</v>
      </c>
      <c r="B578" s="125" t="s">
        <v>595</v>
      </c>
    </row>
    <row r="579" spans="1:3" x14ac:dyDescent="0.2">
      <c r="A579" s="125">
        <v>1103</v>
      </c>
      <c r="B579" s="125" t="s">
        <v>596</v>
      </c>
    </row>
    <row r="580" spans="1:3" x14ac:dyDescent="0.2">
      <c r="A580" s="125">
        <v>1104</v>
      </c>
      <c r="B580" s="125" t="s">
        <v>597</v>
      </c>
    </row>
    <row r="581" spans="1:3" x14ac:dyDescent="0.2">
      <c r="A581" s="125">
        <v>1106</v>
      </c>
      <c r="B581" s="125" t="s">
        <v>598</v>
      </c>
    </row>
    <row r="582" spans="1:3" x14ac:dyDescent="0.2">
      <c r="A582" s="125">
        <v>9999</v>
      </c>
      <c r="B582" s="125" t="s">
        <v>599</v>
      </c>
      <c r="C582" s="125" t="s">
        <v>600</v>
      </c>
    </row>
    <row r="584" spans="1:3" x14ac:dyDescent="0.2">
      <c r="A584" s="125">
        <v>1218</v>
      </c>
      <c r="B584" s="125" t="s">
        <v>601</v>
      </c>
    </row>
    <row r="585" spans="1:3" x14ac:dyDescent="0.2">
      <c r="A585" s="125">
        <v>1223</v>
      </c>
      <c r="B585" s="125" t="s">
        <v>602</v>
      </c>
    </row>
    <row r="586" spans="1:3" x14ac:dyDescent="0.2">
      <c r="A586" s="125">
        <v>1231</v>
      </c>
      <c r="B586" s="125" t="s">
        <v>603</v>
      </c>
    </row>
    <row r="587" spans="1:3" x14ac:dyDescent="0.2">
      <c r="A587" s="125">
        <v>1235</v>
      </c>
      <c r="B587" s="125" t="s">
        <v>604</v>
      </c>
    </row>
    <row r="588" spans="1:3" x14ac:dyDescent="0.2">
      <c r="A588" s="125">
        <v>1201</v>
      </c>
      <c r="B588" s="125" t="s">
        <v>605</v>
      </c>
    </row>
    <row r="591" spans="1:3" x14ac:dyDescent="0.2">
      <c r="A591" s="125">
        <v>5103</v>
      </c>
      <c r="B591" s="125" t="s">
        <v>561</v>
      </c>
      <c r="C591" s="125" t="s">
        <v>606</v>
      </c>
    </row>
    <row r="592" spans="1:3" x14ac:dyDescent="0.2">
      <c r="A592" s="125">
        <v>5104</v>
      </c>
      <c r="B592" s="125" t="s">
        <v>562</v>
      </c>
      <c r="C592" s="125" t="s">
        <v>600</v>
      </c>
    </row>
    <row r="593" spans="1:3" x14ac:dyDescent="0.2">
      <c r="A593" s="125">
        <v>5105</v>
      </c>
      <c r="B593" s="125" t="s">
        <v>607</v>
      </c>
      <c r="C593" s="125" t="s">
        <v>600</v>
      </c>
    </row>
    <row r="594" spans="1:3" x14ac:dyDescent="0.2">
      <c r="A594" s="125">
        <v>5106</v>
      </c>
      <c r="B594" s="125" t="s">
        <v>608</v>
      </c>
      <c r="C594" s="125" t="s">
        <v>606</v>
      </c>
    </row>
    <row r="595" spans="1:3" x14ac:dyDescent="0.2">
      <c r="A595" s="125">
        <v>7101</v>
      </c>
      <c r="B595" s="125" t="s">
        <v>609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D045-5453-499A-B16B-34FC95E48650}">
  <sheetPr>
    <tabColor theme="2" tint="-0.749992370372631"/>
  </sheetPr>
  <dimension ref="A1:AG50"/>
  <sheetViews>
    <sheetView showGridLines="0" tabSelected="1" topLeftCell="A6" zoomScaleNormal="100" workbookViewId="0">
      <selection activeCell="I22" sqref="I22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11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21</v>
      </c>
      <c r="S3" s="17"/>
      <c r="T3" s="18" t="str">
        <f>+B3</f>
        <v>MUSICAR S.A. COLOMBIA CONSOLIDADO</v>
      </c>
    </row>
    <row r="4" spans="1:33" x14ac:dyDescent="0.2">
      <c r="B4" s="2" t="s">
        <v>22</v>
      </c>
      <c r="S4" s="17"/>
      <c r="T4" s="19" t="s">
        <v>23</v>
      </c>
    </row>
    <row r="5" spans="1:33" x14ac:dyDescent="0.2">
      <c r="B5" s="3" t="s">
        <v>24</v>
      </c>
      <c r="S5" s="17"/>
      <c r="T5" s="20" t="s">
        <v>24</v>
      </c>
    </row>
    <row r="6" spans="1:33" ht="13.5" thickBot="1" x14ac:dyDescent="0.25">
      <c r="B6" s="21" t="str">
        <f>+'COLOMB$ '!B6</f>
        <v>ENERO de 2026</v>
      </c>
      <c r="K6" s="22" t="s">
        <v>25</v>
      </c>
      <c r="L6" s="22"/>
      <c r="M6" s="22"/>
      <c r="N6" s="22"/>
      <c r="O6" s="22"/>
      <c r="P6" s="22"/>
      <c r="Q6" s="22"/>
      <c r="R6" s="22"/>
      <c r="S6" s="17"/>
      <c r="T6" s="13" t="str">
        <f>+B6</f>
        <v>ENERO de 2026</v>
      </c>
      <c r="X6" s="22" t="s">
        <v>25</v>
      </c>
      <c r="Y6" s="22"/>
      <c r="Z6" s="22"/>
      <c r="AA6" s="22"/>
      <c r="AB6" s="22"/>
      <c r="AC6" s="22"/>
    </row>
    <row r="7" spans="1:33" ht="17.25" customHeight="1" x14ac:dyDescent="0.2">
      <c r="C7" s="23" t="str">
        <f>+'COLOMB$ '!D7:D7</f>
        <v>Ppto 2026</v>
      </c>
      <c r="E7" s="13" t="str">
        <f>+'COLOMB$ '!F7:F7</f>
        <v>Real 2026</v>
      </c>
      <c r="G7" s="10" t="s">
        <v>26</v>
      </c>
      <c r="H7" s="13" t="str">
        <f>+'COLOMB$ '!I7:I7</f>
        <v>Real 2025</v>
      </c>
      <c r="J7" s="10" t="s">
        <v>27</v>
      </c>
      <c r="K7" s="13" t="str">
        <f>+C7</f>
        <v>Ppto 2026</v>
      </c>
      <c r="M7" s="24" t="str">
        <f>+E7</f>
        <v>Real 2026</v>
      </c>
      <c r="N7" s="24"/>
      <c r="O7" s="10" t="s">
        <v>26</v>
      </c>
      <c r="P7" s="13" t="str">
        <f>+H7</f>
        <v>Real 2025</v>
      </c>
      <c r="R7" s="10" t="s">
        <v>27</v>
      </c>
      <c r="S7" s="25"/>
      <c r="T7" s="15"/>
      <c r="U7" s="15" t="str">
        <f>+C7</f>
        <v>Ppto 2026</v>
      </c>
      <c r="V7" s="15" t="str">
        <f>+M7</f>
        <v>Real 2026</v>
      </c>
      <c r="W7" s="15" t="str">
        <f>+H7</f>
        <v>Real 2025</v>
      </c>
      <c r="X7" s="15" t="str">
        <f>+U7</f>
        <v>Ppto 2026</v>
      </c>
      <c r="Y7" s="15" t="str">
        <f>+V7</f>
        <v>Real 2026</v>
      </c>
      <c r="Z7" s="15" t="s">
        <v>28</v>
      </c>
      <c r="AA7" s="15" t="s">
        <v>26</v>
      </c>
      <c r="AB7" s="15" t="str">
        <f>+W7</f>
        <v>Real 2025</v>
      </c>
      <c r="AC7" s="15" t="s">
        <v>27</v>
      </c>
    </row>
    <row r="8" spans="1:33" ht="15.75" customHeight="1" thickBot="1" x14ac:dyDescent="0.25">
      <c r="A8" s="26"/>
      <c r="B8" s="27" t="s">
        <v>29</v>
      </c>
      <c r="C8" s="28" t="s">
        <v>30</v>
      </c>
      <c r="D8" s="29" t="s">
        <v>31</v>
      </c>
      <c r="E8" s="29" t="s">
        <v>30</v>
      </c>
      <c r="F8" s="29" t="s">
        <v>31</v>
      </c>
      <c r="G8" s="29" t="s">
        <v>32</v>
      </c>
      <c r="H8" s="29" t="s">
        <v>30</v>
      </c>
      <c r="I8" s="29" t="s">
        <v>31</v>
      </c>
      <c r="J8" s="29" t="s">
        <v>32</v>
      </c>
      <c r="K8" s="29" t="s">
        <v>30</v>
      </c>
      <c r="L8" s="29" t="s">
        <v>31</v>
      </c>
      <c r="M8" s="29" t="s">
        <v>30</v>
      </c>
      <c r="N8" s="29" t="s">
        <v>31</v>
      </c>
      <c r="O8" s="29" t="s">
        <v>32</v>
      </c>
      <c r="P8" s="29" t="s">
        <v>30</v>
      </c>
      <c r="Q8" s="29" t="s">
        <v>31</v>
      </c>
      <c r="R8" s="29" t="s">
        <v>32</v>
      </c>
      <c r="S8" s="12"/>
      <c r="T8" s="30"/>
      <c r="U8" s="31"/>
      <c r="V8" s="31"/>
      <c r="W8" s="31"/>
      <c r="X8" s="31"/>
      <c r="Y8" s="31"/>
      <c r="Z8" s="31"/>
      <c r="AA8" s="31" t="s">
        <v>32</v>
      </c>
      <c r="AB8" s="31"/>
      <c r="AC8" s="31" t="s">
        <v>32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2"/>
      <c r="B10" s="20" t="str">
        <f>+'COLOMB$ '!B10</f>
        <v>Musical Experience  (Ambiental)</v>
      </c>
      <c r="C10" s="33">
        <v>447825</v>
      </c>
      <c r="D10" s="34">
        <f t="shared" ref="D10:D20" si="0">+C10/$C$20</f>
        <v>0.45618830010584038</v>
      </c>
      <c r="E10" s="33">
        <v>375364.50900000002</v>
      </c>
      <c r="F10" s="34">
        <f t="shared" ref="F10:F20" si="1">+E10/$E$20</f>
        <v>0.43663346627221827</v>
      </c>
      <c r="G10" s="34">
        <f t="shared" ref="G10:G20" si="2">IF(C10=0,"",(E10-C10)/ABS(C10)+1)</f>
        <v>0.83819462736560046</v>
      </c>
      <c r="H10" s="33">
        <v>450355.55499999999</v>
      </c>
      <c r="I10" s="34">
        <f t="shared" ref="I10:I19" si="3">+H10/$H$20</f>
        <v>0.46313444918046731</v>
      </c>
      <c r="J10" s="35">
        <f t="shared" ref="J10:J20" si="4">IF(H10=0,"",(E10-H10)/ABS(H10))</f>
        <v>-0.1665152015278239</v>
      </c>
      <c r="K10" s="33">
        <v>447825</v>
      </c>
      <c r="L10" s="34">
        <f t="shared" ref="L10:L20" si="5">+K10/$K$20</f>
        <v>0.45618830010584038</v>
      </c>
      <c r="M10" s="33">
        <v>375364.50900000002</v>
      </c>
      <c r="N10" s="34">
        <f t="shared" ref="N10:N20" si="6">+M10/$M$20</f>
        <v>0.43663346627221827</v>
      </c>
      <c r="O10" s="34">
        <f t="shared" ref="O10:O20" si="7">IF(K10=0,"",(M10-K10)/ABS(K10)+1)</f>
        <v>0.83819462736560046</v>
      </c>
      <c r="P10" s="33">
        <v>450355.55499999999</v>
      </c>
      <c r="Q10" s="34">
        <f t="shared" ref="Q10:Q20" si="8">+P10/$P$20</f>
        <v>0.46313444918046731</v>
      </c>
      <c r="R10" s="35">
        <f t="shared" ref="R10:R20" si="9">IF(P10=0,"",(M10-P10)/ABS(P10))</f>
        <v>-0.1665152015278239</v>
      </c>
      <c r="S10" s="25"/>
      <c r="T10" s="20" t="s">
        <v>33</v>
      </c>
      <c r="U10" s="36">
        <f>+'COLOMB$ '!U10</f>
        <v>40346</v>
      </c>
      <c r="V10" s="36">
        <f>+'COLOMB$ '!V10</f>
        <v>40346</v>
      </c>
      <c r="W10" s="36">
        <f>+'COLOMB$ '!W10</f>
        <v>125133</v>
      </c>
      <c r="X10" s="36">
        <f>+'COLOMB$ '!X10</f>
        <v>40346</v>
      </c>
      <c r="Y10" s="36">
        <f>+'COLOMB$ '!Y10</f>
        <v>40346</v>
      </c>
      <c r="Z10" s="37">
        <f>+Y10-X10</f>
        <v>0</v>
      </c>
      <c r="AA10" s="38">
        <f>IF(X10=0,"",(Y10-X10)/ABS(X10)+1)</f>
        <v>1</v>
      </c>
      <c r="AB10" s="36">
        <f>+'COLOMB$ '!AB10</f>
        <v>125133</v>
      </c>
      <c r="AC10" s="35">
        <f>IF(W10=0,"",(Y10-AB10)/ABS(AB10))</f>
        <v>-0.67757506013601532</v>
      </c>
    </row>
    <row r="11" spans="1:33" x14ac:dyDescent="0.2">
      <c r="A11" s="39"/>
      <c r="B11" s="20" t="str">
        <f>+'COLOMB$ '!B11</f>
        <v>Instalaciones</v>
      </c>
      <c r="C11" s="33">
        <v>19623</v>
      </c>
      <c r="D11" s="34">
        <f t="shared" si="0"/>
        <v>1.9989466896615654E-2</v>
      </c>
      <c r="E11" s="33">
        <v>2237.2190000000001</v>
      </c>
      <c r="F11" s="34">
        <f t="shared" si="1"/>
        <v>2.6023895796181036E-3</v>
      </c>
      <c r="G11" s="34">
        <f t="shared" si="2"/>
        <v>0.11401003923966779</v>
      </c>
      <c r="H11" s="33">
        <v>19206.948</v>
      </c>
      <c r="I11" s="34">
        <f t="shared" si="3"/>
        <v>1.9751947508270168E-2</v>
      </c>
      <c r="J11" s="35">
        <f t="shared" si="4"/>
        <v>-0.88352032816457871</v>
      </c>
      <c r="K11" s="33">
        <v>19623</v>
      </c>
      <c r="L11" s="34">
        <f t="shared" si="5"/>
        <v>1.9989466896615654E-2</v>
      </c>
      <c r="M11" s="33">
        <v>2237.2190000000001</v>
      </c>
      <c r="N11" s="34">
        <f t="shared" si="6"/>
        <v>2.6023895796181036E-3</v>
      </c>
      <c r="O11" s="34">
        <f t="shared" si="7"/>
        <v>0.11401003923966779</v>
      </c>
      <c r="P11" s="33">
        <v>19206.948</v>
      </c>
      <c r="Q11" s="34">
        <f t="shared" si="8"/>
        <v>1.9751947508270168E-2</v>
      </c>
      <c r="R11" s="35">
        <f t="shared" si="9"/>
        <v>-0.88352032816457871</v>
      </c>
      <c r="S11" s="25"/>
      <c r="T11" s="20" t="s">
        <v>34</v>
      </c>
      <c r="U11" s="36">
        <f>+'COLOMB$ '!U11</f>
        <v>1048877.9825200001</v>
      </c>
      <c r="V11" s="36">
        <f>+'COLOMB$ '!V11</f>
        <v>1048877.9825200001</v>
      </c>
      <c r="W11" s="36">
        <f>+'COLOMB$ '!W11</f>
        <v>1150933.00828</v>
      </c>
      <c r="X11" s="36">
        <f>+'COLOMB$ '!X11</f>
        <v>1048877.9825200001</v>
      </c>
      <c r="Y11" s="36">
        <f>+'COLOMB$ '!Y11</f>
        <v>1048877.9825200001</v>
      </c>
      <c r="Z11" s="37">
        <f>+Y11-X11</f>
        <v>0</v>
      </c>
      <c r="AA11" s="38">
        <f>IF(X11=0,"",(Y11-X11)/ABS(X11)+1)</f>
        <v>1</v>
      </c>
      <c r="AB11" s="36">
        <f>+'COLOMB$ '!AB11</f>
        <v>1150933.00828</v>
      </c>
      <c r="AC11" s="35">
        <f>IF(AB11=0,"",(Y11-AB11)/ABS(AB11))</f>
        <v>-8.867156039995322E-2</v>
      </c>
    </row>
    <row r="12" spans="1:33" x14ac:dyDescent="0.2">
      <c r="A12" s="39"/>
      <c r="B12" s="20" t="str">
        <f>+'COLOMB$ '!B12</f>
        <v>Voice Experience (Publihold)</v>
      </c>
      <c r="C12" s="33">
        <v>88410</v>
      </c>
      <c r="D12" s="34">
        <f t="shared" si="0"/>
        <v>9.0061089962278448E-2</v>
      </c>
      <c r="E12" s="33">
        <v>72152.850999999995</v>
      </c>
      <c r="F12" s="34">
        <f t="shared" si="1"/>
        <v>8.3930016499116827E-2</v>
      </c>
      <c r="G12" s="34">
        <f t="shared" si="2"/>
        <v>0.81611640085963122</v>
      </c>
      <c r="H12" s="33">
        <v>64702.966</v>
      </c>
      <c r="I12" s="34">
        <f t="shared" si="3"/>
        <v>6.6538920606302954E-2</v>
      </c>
      <c r="J12" s="35">
        <f t="shared" si="4"/>
        <v>0.11513977581800493</v>
      </c>
      <c r="K12" s="33">
        <v>88410</v>
      </c>
      <c r="L12" s="34">
        <f t="shared" si="5"/>
        <v>9.0061089962278448E-2</v>
      </c>
      <c r="M12" s="33">
        <v>72152.850999999995</v>
      </c>
      <c r="N12" s="34">
        <f t="shared" si="6"/>
        <v>8.3930016499116827E-2</v>
      </c>
      <c r="O12" s="34">
        <f t="shared" si="7"/>
        <v>0.81611640085963122</v>
      </c>
      <c r="P12" s="33">
        <v>64702.966</v>
      </c>
      <c r="Q12" s="34">
        <f t="shared" si="8"/>
        <v>6.6538920606302954E-2</v>
      </c>
      <c r="R12" s="35">
        <f t="shared" si="9"/>
        <v>0.11513977581800493</v>
      </c>
      <c r="S12" s="25"/>
      <c r="AC12" s="2"/>
    </row>
    <row r="13" spans="1:33" ht="14.25" x14ac:dyDescent="0.2">
      <c r="A13" s="40"/>
      <c r="B13" s="20" t="str">
        <f>+'COLOMB$ '!B13</f>
        <v>Service &amp; Equipment Experience</v>
      </c>
      <c r="C13" s="33">
        <v>41585</v>
      </c>
      <c r="D13" s="34">
        <f t="shared" si="0"/>
        <v>4.2361615496904752E-2</v>
      </c>
      <c r="E13" s="33">
        <v>63782.828999999998</v>
      </c>
      <c r="F13" s="34">
        <f t="shared" si="1"/>
        <v>7.4193795756322192E-2</v>
      </c>
      <c r="G13" s="34">
        <f t="shared" si="2"/>
        <v>1.5337941324996993</v>
      </c>
      <c r="H13" s="33">
        <v>90425.282999999996</v>
      </c>
      <c r="I13" s="34">
        <f t="shared" si="3"/>
        <v>9.2991111510088667E-2</v>
      </c>
      <c r="J13" s="35">
        <f t="shared" si="4"/>
        <v>-0.29463500821999083</v>
      </c>
      <c r="K13" s="33">
        <v>41585</v>
      </c>
      <c r="L13" s="34">
        <f t="shared" si="5"/>
        <v>4.2361615496904752E-2</v>
      </c>
      <c r="M13" s="33">
        <v>63782.828999999998</v>
      </c>
      <c r="N13" s="34">
        <f t="shared" si="6"/>
        <v>7.4193795756322192E-2</v>
      </c>
      <c r="O13" s="34">
        <f t="shared" si="7"/>
        <v>1.5337941324996993</v>
      </c>
      <c r="P13" s="33">
        <v>90425.282999999996</v>
      </c>
      <c r="Q13" s="34">
        <f t="shared" si="8"/>
        <v>9.2991111510088667E-2</v>
      </c>
      <c r="R13" s="35">
        <f t="shared" si="9"/>
        <v>-0.29463500821999083</v>
      </c>
      <c r="S13" s="25"/>
      <c r="T13" s="20" t="s">
        <v>35</v>
      </c>
      <c r="U13" s="36">
        <f>+'COLOMB$ '!U13</f>
        <v>199514.117</v>
      </c>
      <c r="V13" s="36">
        <f>+'COLOMB$ '!V13</f>
        <v>199514.117</v>
      </c>
      <c r="W13" s="36">
        <f>+'COLOMB$ '!W13</f>
        <v>165803.79199999999</v>
      </c>
      <c r="X13" s="36">
        <f>+'COLOMB$ '!X13</f>
        <v>199514.117</v>
      </c>
      <c r="Y13" s="36">
        <f>+'COLOMB$ '!Y13</f>
        <v>199514.117</v>
      </c>
      <c r="Z13" s="37">
        <f>+X13-Y13</f>
        <v>0</v>
      </c>
      <c r="AA13" s="38">
        <f>IF(X13=0,"",(Y13-X13)/ABS(X13)+1)</f>
        <v>1</v>
      </c>
      <c r="AB13" s="36">
        <f>+'COLOMB$ '!AB13</f>
        <v>165803.79199999999</v>
      </c>
      <c r="AC13" s="35">
        <f>IF(AB13=0,"",(Y13-AB13)/ABS(AB13))</f>
        <v>0.20331455989860603</v>
      </c>
      <c r="AE13" s="41"/>
      <c r="AF13" s="41"/>
    </row>
    <row r="14" spans="1:33" x14ac:dyDescent="0.2">
      <c r="A14" s="39"/>
      <c r="B14" s="20" t="str">
        <f>+'COLOMB$ '!B14</f>
        <v>POP Satelital</v>
      </c>
      <c r="C14" s="33">
        <v>0</v>
      </c>
      <c r="D14" s="34">
        <f t="shared" si="0"/>
        <v>0</v>
      </c>
      <c r="E14" s="33">
        <v>0</v>
      </c>
      <c r="F14" s="34">
        <f t="shared" si="1"/>
        <v>0</v>
      </c>
      <c r="G14" s="34" t="e">
        <f t="shared" si="2"/>
        <v>#DIV/0!</v>
      </c>
      <c r="H14" s="33">
        <v>0</v>
      </c>
      <c r="I14" s="34">
        <f t="shared" si="3"/>
        <v>0</v>
      </c>
      <c r="J14" s="35" t="e">
        <f t="shared" si="4"/>
        <v>#DIV/0!</v>
      </c>
      <c r="K14" s="33">
        <v>0</v>
      </c>
      <c r="L14" s="34">
        <f t="shared" si="5"/>
        <v>0</v>
      </c>
      <c r="M14" s="36"/>
      <c r="N14" s="34">
        <f t="shared" si="6"/>
        <v>0</v>
      </c>
      <c r="O14" s="34" t="e">
        <f t="shared" si="7"/>
        <v>#DIV/0!</v>
      </c>
      <c r="P14" s="36"/>
      <c r="Q14" s="34">
        <f t="shared" si="8"/>
        <v>0</v>
      </c>
      <c r="R14" s="35" t="str">
        <f t="shared" si="9"/>
        <v/>
      </c>
      <c r="S14" s="25"/>
      <c r="T14" s="20" t="s">
        <v>36</v>
      </c>
      <c r="U14" s="36">
        <f>+'COLOMB$ '!U14</f>
        <v>9191.5490000000009</v>
      </c>
      <c r="V14" s="36">
        <f>+'COLOMB$ '!V14</f>
        <v>9191.5490000000009</v>
      </c>
      <c r="W14" s="36">
        <f>+'COLOMB$ '!W14</f>
        <v>19127.453000000001</v>
      </c>
      <c r="X14" s="36">
        <f>+'COLOMB$ '!X14</f>
        <v>9191.5490000000009</v>
      </c>
      <c r="Y14" s="36">
        <f>+'COLOMB$ '!Y14</f>
        <v>9191.5490000000009</v>
      </c>
      <c r="Z14" s="37">
        <f>+X14-Y14</f>
        <v>0</v>
      </c>
      <c r="AA14" s="38">
        <f>IF(X14=0,"",(Y14-X14)/ABS(X14)+1)</f>
        <v>1</v>
      </c>
      <c r="AB14" s="36">
        <f>+'COLOMB$ '!AB14</f>
        <v>19127.453000000001</v>
      </c>
      <c r="AC14" s="35">
        <f>IF(AB14=0,"",(Y14-AB14)/ABS(AB14))</f>
        <v>-0.51945776575689406</v>
      </c>
      <c r="AE14" s="41"/>
    </row>
    <row r="15" spans="1:33" x14ac:dyDescent="0.2">
      <c r="A15" s="39"/>
      <c r="B15" s="20" t="str">
        <f>+'COLOMB$ '!B15</f>
        <v>Voice Experience (Audicóm)</v>
      </c>
      <c r="C15" s="33">
        <v>139561</v>
      </c>
      <c r="D15" s="34">
        <f t="shared" si="0"/>
        <v>0.14216735410276601</v>
      </c>
      <c r="E15" s="33">
        <v>123882.223</v>
      </c>
      <c r="F15" s="34">
        <f t="shared" si="1"/>
        <v>0.14410292699781566</v>
      </c>
      <c r="G15" s="34">
        <f t="shared" si="2"/>
        <v>0.88765645846619035</v>
      </c>
      <c r="H15" s="33">
        <v>139341.035</v>
      </c>
      <c r="I15" s="34">
        <f t="shared" si="3"/>
        <v>0.14329485398034275</v>
      </c>
      <c r="J15" s="35">
        <f t="shared" si="4"/>
        <v>-0.11094227913550381</v>
      </c>
      <c r="K15" s="33">
        <v>139561</v>
      </c>
      <c r="L15" s="34">
        <f t="shared" si="5"/>
        <v>0.14216735410276601</v>
      </c>
      <c r="M15" s="33">
        <v>123882.223</v>
      </c>
      <c r="N15" s="34">
        <f t="shared" si="6"/>
        <v>0.14410292699781566</v>
      </c>
      <c r="O15" s="34">
        <f t="shared" si="7"/>
        <v>0.88765645846619035</v>
      </c>
      <c r="P15" s="33">
        <v>139341.035</v>
      </c>
      <c r="Q15" s="34">
        <f t="shared" si="8"/>
        <v>0.14329485398034275</v>
      </c>
      <c r="R15" s="35">
        <f t="shared" si="9"/>
        <v>-0.11094227913550381</v>
      </c>
      <c r="S15" s="25"/>
      <c r="T15" s="20" t="s">
        <v>37</v>
      </c>
      <c r="U15" s="36">
        <f>+'COLOMB$ '!U15</f>
        <v>598376.26500000001</v>
      </c>
      <c r="V15" s="36">
        <f>+'COLOMB$ '!V15</f>
        <v>598376.26500000001</v>
      </c>
      <c r="W15" s="36">
        <f>+'COLOMB$ '!W15</f>
        <v>519236.29300000001</v>
      </c>
      <c r="X15" s="36">
        <f>+'COLOMB$ '!X15</f>
        <v>598376.26500000001</v>
      </c>
      <c r="Y15" s="36">
        <f>+'COLOMB$ '!Y15</f>
        <v>598376.26500000001</v>
      </c>
      <c r="Z15" s="37">
        <f>+X15-Y15</f>
        <v>0</v>
      </c>
      <c r="AA15" s="38">
        <f>IF(X15=0,"",(Y15-X15)/ABS(X15)+1)</f>
        <v>1</v>
      </c>
      <c r="AB15" s="36">
        <f>+'COLOMB$ '!AB15</f>
        <v>519236.29300000001</v>
      </c>
      <c r="AC15" s="35">
        <f>IF(AB15=0,"",(Y15-AB15)/ABS(AB15))</f>
        <v>0.15241610239290421</v>
      </c>
      <c r="AE15" s="41"/>
      <c r="AF15" s="41"/>
      <c r="AG15" s="41"/>
    </row>
    <row r="16" spans="1:33" x14ac:dyDescent="0.2">
      <c r="A16" s="39"/>
      <c r="B16" s="20" t="str">
        <f>+'COLOMB$ '!B16</f>
        <v>Fact. Servicio Satelital</v>
      </c>
      <c r="C16" s="33">
        <v>0</v>
      </c>
      <c r="D16" s="34">
        <f t="shared" si="0"/>
        <v>0</v>
      </c>
      <c r="E16" s="36"/>
      <c r="F16" s="34">
        <f t="shared" si="1"/>
        <v>0</v>
      </c>
      <c r="G16" s="34" t="e">
        <f t="shared" si="2"/>
        <v>#DIV/0!</v>
      </c>
      <c r="H16" s="36"/>
      <c r="I16" s="34">
        <f t="shared" si="3"/>
        <v>0</v>
      </c>
      <c r="J16" s="35" t="str">
        <f t="shared" si="4"/>
        <v/>
      </c>
      <c r="K16" s="33">
        <v>0</v>
      </c>
      <c r="L16" s="34">
        <f t="shared" si="5"/>
        <v>0</v>
      </c>
      <c r="M16" s="36">
        <f>+'COLOMB$ '!M16+'PROY SAT$'!M16</f>
        <v>0</v>
      </c>
      <c r="N16" s="34">
        <f t="shared" si="6"/>
        <v>0</v>
      </c>
      <c r="O16" s="34" t="e">
        <f t="shared" si="7"/>
        <v>#DIV/0!</v>
      </c>
      <c r="P16" s="36">
        <f>+'COLOMB$ '!P16+'PROY SAT$'!P16</f>
        <v>0</v>
      </c>
      <c r="Q16" s="34">
        <f t="shared" si="8"/>
        <v>0</v>
      </c>
      <c r="R16" s="35" t="str">
        <f t="shared" si="9"/>
        <v/>
      </c>
      <c r="S16" s="25"/>
      <c r="T16" s="20" t="s">
        <v>38</v>
      </c>
      <c r="U16" s="36">
        <f>+'COLOMB$ '!U16</f>
        <v>158162.24056999999</v>
      </c>
      <c r="V16" s="36">
        <f>+'COLOMB$ '!V16</f>
        <v>158162.24056999999</v>
      </c>
      <c r="W16" s="36">
        <f>+'COLOMB$ '!W16</f>
        <v>275593.43650000001</v>
      </c>
      <c r="X16" s="36">
        <f>+'COLOMB$ '!X16</f>
        <v>158162.24056999999</v>
      </c>
      <c r="Y16" s="36">
        <f>+'COLOMB$ '!Y16</f>
        <v>158162.24056999999</v>
      </c>
      <c r="Z16" s="37">
        <f>+X16-Y16</f>
        <v>0</v>
      </c>
      <c r="AA16" s="38">
        <f>IF(X16=0,"",(Y16-X16)/ABS(X16)+1)</f>
        <v>1</v>
      </c>
      <c r="AB16" s="36">
        <f>+'COLOMB$ '!AB16</f>
        <v>275593.43650000001</v>
      </c>
      <c r="AC16" s="35">
        <f>IF(AB16=0,"",(Y16-AB16)/ABS(AB16))</f>
        <v>-0.42610302125246735</v>
      </c>
      <c r="AE16" s="41"/>
      <c r="AF16" s="14"/>
    </row>
    <row r="17" spans="1:32" x14ac:dyDescent="0.2">
      <c r="A17" s="39"/>
      <c r="B17" s="20" t="str">
        <f>+'COLOMB$ '!B17</f>
        <v>Visual Experience</v>
      </c>
      <c r="C17" s="33">
        <v>13844</v>
      </c>
      <c r="D17" s="34">
        <f t="shared" si="0"/>
        <v>1.410254190066489E-2</v>
      </c>
      <c r="E17" s="33">
        <v>16265.067999999999</v>
      </c>
      <c r="F17" s="34">
        <f t="shared" si="1"/>
        <v>1.8919937420064762E-2</v>
      </c>
      <c r="G17" s="34">
        <f t="shared" si="2"/>
        <v>1.1748821149956659</v>
      </c>
      <c r="H17" s="33">
        <v>12848.95</v>
      </c>
      <c r="I17" s="34">
        <f t="shared" si="3"/>
        <v>1.3213540534206057E-2</v>
      </c>
      <c r="J17" s="35">
        <f t="shared" si="4"/>
        <v>0.26586748333521404</v>
      </c>
      <c r="K17" s="33">
        <v>13844</v>
      </c>
      <c r="L17" s="34">
        <f t="shared" si="5"/>
        <v>1.410254190066489E-2</v>
      </c>
      <c r="M17" s="33">
        <v>16265.067999999999</v>
      </c>
      <c r="N17" s="34">
        <f t="shared" si="6"/>
        <v>1.8919937420064762E-2</v>
      </c>
      <c r="O17" s="34">
        <f t="shared" si="7"/>
        <v>1.1748821149956659</v>
      </c>
      <c r="P17" s="33">
        <v>12848.95</v>
      </c>
      <c r="Q17" s="34">
        <f t="shared" si="8"/>
        <v>1.3213540534206057E-2</v>
      </c>
      <c r="R17" s="35">
        <f t="shared" si="9"/>
        <v>0.26586748333521404</v>
      </c>
      <c r="S17" s="25"/>
      <c r="T17" s="20" t="s">
        <v>39</v>
      </c>
      <c r="U17" s="36">
        <f>U13+U14+U15+U16</f>
        <v>965244.17157000001</v>
      </c>
      <c r="V17" s="36">
        <f>V13+V14+V15+V16</f>
        <v>965244.17157000001</v>
      </c>
      <c r="W17" s="36">
        <f>W13+W14+W15+W16</f>
        <v>979760.97450000001</v>
      </c>
      <c r="X17" s="36">
        <f>X13+X14+X15+X16</f>
        <v>965244.17157000001</v>
      </c>
      <c r="Y17" s="36">
        <f>Y13+Y14+Y15+Y16</f>
        <v>965244.17157000001</v>
      </c>
      <c r="Z17" s="37">
        <f>+Y17-X17</f>
        <v>0</v>
      </c>
      <c r="AA17" s="38">
        <f>IF(X17=0,"",(Y17-X17)/ABS(X17)+1)</f>
        <v>1</v>
      </c>
      <c r="AB17" s="36">
        <f>+'COLOMB$ '!AB17</f>
        <v>979760.97450000001</v>
      </c>
      <c r="AC17" s="35">
        <f>IF(AB17=0,"",(Y17-AB17)/ABS(AB17))</f>
        <v>-1.4816678054980036E-2</v>
      </c>
      <c r="AE17" s="41"/>
      <c r="AF17" s="41"/>
    </row>
    <row r="18" spans="1:32" x14ac:dyDescent="0.2">
      <c r="A18" s="39"/>
      <c r="B18" s="20" t="str">
        <f>+'COLOMB$ '!B18</f>
        <v>Olfa Experience</v>
      </c>
      <c r="C18" s="33">
        <v>228585</v>
      </c>
      <c r="D18" s="34">
        <f t="shared" si="0"/>
        <v>0.23285391074570094</v>
      </c>
      <c r="E18" s="33">
        <v>201116.58199999999</v>
      </c>
      <c r="F18" s="34">
        <f t="shared" si="1"/>
        <v>0.23394388179485773</v>
      </c>
      <c r="G18" s="34">
        <f t="shared" si="2"/>
        <v>0.87983280617713322</v>
      </c>
      <c r="H18" s="33">
        <v>139011.19399999999</v>
      </c>
      <c r="I18" s="34">
        <f t="shared" si="3"/>
        <v>0.14295565370146057</v>
      </c>
      <c r="J18" s="42">
        <f t="shared" si="4"/>
        <v>0.44676537344179645</v>
      </c>
      <c r="K18" s="33">
        <v>228585</v>
      </c>
      <c r="L18" s="34">
        <f t="shared" si="5"/>
        <v>0.23285391074570094</v>
      </c>
      <c r="M18" s="33">
        <v>201116.58199999999</v>
      </c>
      <c r="N18" s="34">
        <f t="shared" si="6"/>
        <v>0.23394388179485773</v>
      </c>
      <c r="O18" s="34">
        <f t="shared" si="7"/>
        <v>0.87983280617713322</v>
      </c>
      <c r="P18" s="33">
        <v>139011.19399999999</v>
      </c>
      <c r="Q18" s="34">
        <f t="shared" si="8"/>
        <v>0.14295565370146057</v>
      </c>
      <c r="R18" s="35">
        <f t="shared" si="9"/>
        <v>0.44676537344179645</v>
      </c>
      <c r="S18" s="25"/>
      <c r="AC18" s="2"/>
      <c r="AE18" s="41"/>
    </row>
    <row r="19" spans="1:32" x14ac:dyDescent="0.2">
      <c r="A19" s="32"/>
      <c r="B19" s="20" t="str">
        <f>+'COLOMB$ '!B19</f>
        <v>Locutor virtual</v>
      </c>
      <c r="C19" s="33">
        <v>2234</v>
      </c>
      <c r="D19" s="34">
        <f t="shared" si="0"/>
        <v>2.2757207892289341E-3</v>
      </c>
      <c r="E19" s="33">
        <v>4877.4610000000002</v>
      </c>
      <c r="F19" s="34">
        <f t="shared" si="1"/>
        <v>5.6735856799864899E-3</v>
      </c>
      <c r="G19" s="34">
        <f t="shared" si="2"/>
        <v>2.1832860340196958</v>
      </c>
      <c r="H19" s="33">
        <v>56515.877999999997</v>
      </c>
      <c r="I19" s="34">
        <f t="shared" si="3"/>
        <v>5.8119522978861644E-2</v>
      </c>
      <c r="J19" s="35">
        <f t="shared" si="4"/>
        <v>-0.91369750992809484</v>
      </c>
      <c r="K19" s="33">
        <v>2234</v>
      </c>
      <c r="L19" s="34">
        <f t="shared" si="5"/>
        <v>2.2757207892289341E-3</v>
      </c>
      <c r="M19" s="33">
        <v>4877.4610000000002</v>
      </c>
      <c r="N19" s="34">
        <f t="shared" si="6"/>
        <v>5.6735856799864899E-3</v>
      </c>
      <c r="O19" s="34">
        <f t="shared" si="7"/>
        <v>2.1832860340196958</v>
      </c>
      <c r="P19" s="33">
        <v>56515.877999999997</v>
      </c>
      <c r="Q19" s="34">
        <f t="shared" si="8"/>
        <v>5.8119522978861644E-2</v>
      </c>
      <c r="R19" s="35">
        <f t="shared" si="9"/>
        <v>-0.91369750992809484</v>
      </c>
      <c r="S19" s="25"/>
      <c r="T19" s="20" t="s">
        <v>40</v>
      </c>
      <c r="U19" s="36">
        <f>U11-U17</f>
        <v>83633.810950000072</v>
      </c>
      <c r="V19" s="36">
        <f>V11-V17</f>
        <v>83633.810950000072</v>
      </c>
      <c r="W19" s="36">
        <f>W11-W17</f>
        <v>171172.03377999994</v>
      </c>
      <c r="X19" s="36">
        <f>X11-X17</f>
        <v>83633.810950000072</v>
      </c>
      <c r="Y19" s="36">
        <f>Y11-Y17</f>
        <v>83633.810950000072</v>
      </c>
      <c r="Z19" s="37">
        <f>+Y19-X19</f>
        <v>0</v>
      </c>
      <c r="AA19" s="38">
        <f>IF(X19=0,"",(Y19-X19)/ABS(X19)+1)</f>
        <v>1</v>
      </c>
      <c r="AB19" s="36">
        <f>AB11-AB17</f>
        <v>171172.03377999994</v>
      </c>
      <c r="AC19" s="35">
        <f>IF(AB19=0,"",(Y19-AB19)/ABS(AB19))</f>
        <v>-0.51140493512222318</v>
      </c>
      <c r="AE19" s="41"/>
    </row>
    <row r="20" spans="1:32" x14ac:dyDescent="0.2">
      <c r="B20" s="19" t="s">
        <v>41</v>
      </c>
      <c r="C20" s="43">
        <f>SUM(C10:C19)</f>
        <v>981667</v>
      </c>
      <c r="D20" s="44">
        <f t="shared" si="0"/>
        <v>1</v>
      </c>
      <c r="E20" s="43">
        <f>SUM(E10:E19)</f>
        <v>859678.74199999997</v>
      </c>
      <c r="F20" s="44">
        <f t="shared" si="1"/>
        <v>1</v>
      </c>
      <c r="G20" s="44">
        <f t="shared" si="2"/>
        <v>0.87573356545549552</v>
      </c>
      <c r="H20" s="43">
        <f>SUM(H10:H19)</f>
        <v>972407.80899999989</v>
      </c>
      <c r="I20" s="44">
        <f>+H22/$H$22</f>
        <v>1</v>
      </c>
      <c r="J20" s="45">
        <f t="shared" si="4"/>
        <v>-0.11592776812017552</v>
      </c>
      <c r="K20" s="43">
        <f>SUM(K10:K19)</f>
        <v>981667</v>
      </c>
      <c r="L20" s="44">
        <f t="shared" si="5"/>
        <v>1</v>
      </c>
      <c r="M20" s="43">
        <f>SUM(M10:M19)</f>
        <v>859678.74199999997</v>
      </c>
      <c r="N20" s="44">
        <f t="shared" si="6"/>
        <v>1</v>
      </c>
      <c r="O20" s="44">
        <f t="shared" si="7"/>
        <v>0.87573356545549552</v>
      </c>
      <c r="P20" s="43">
        <f>SUM(P10:P19)</f>
        <v>972407.80899999989</v>
      </c>
      <c r="Q20" s="44">
        <f t="shared" si="8"/>
        <v>1</v>
      </c>
      <c r="R20" s="45">
        <f t="shared" si="9"/>
        <v>-0.11592776812017552</v>
      </c>
      <c r="S20" s="25"/>
      <c r="T20" s="20"/>
      <c r="U20" s="36"/>
      <c r="V20" s="36"/>
      <c r="W20" s="36"/>
      <c r="X20" s="36"/>
      <c r="Y20" s="36"/>
      <c r="Z20" s="37"/>
      <c r="AA20" s="38"/>
      <c r="AB20" s="36"/>
      <c r="AC20" s="35" t="str">
        <f>IF(AB20=0,"",(Y20-AB20)/ABS(AB20))</f>
        <v/>
      </c>
      <c r="AE20" s="41"/>
    </row>
    <row r="21" spans="1:32" x14ac:dyDescent="0.2">
      <c r="J21" s="35"/>
      <c r="R21" s="35"/>
      <c r="S21" s="25"/>
      <c r="T21" s="20" t="s">
        <v>42</v>
      </c>
      <c r="U21" s="36">
        <f>+U10+U19</f>
        <v>123979.81095000007</v>
      </c>
      <c r="V21" s="36">
        <f>+V10+V19</f>
        <v>123979.81095000007</v>
      </c>
      <c r="W21" s="36">
        <f>+'COLOMB$ '!W21</f>
        <v>296305.03377999994</v>
      </c>
      <c r="X21" s="36">
        <f>+X10+X19</f>
        <v>123979.81095000007</v>
      </c>
      <c r="Y21" s="36">
        <f>+Y10+Y19</f>
        <v>123979.81095000007</v>
      </c>
      <c r="Z21" s="37">
        <f>+Y21-X21</f>
        <v>0</v>
      </c>
      <c r="AA21" s="38">
        <f>IF(X21=0,"",(Y21-X21)/ABS(X21)+1)</f>
        <v>1</v>
      </c>
      <c r="AB21" s="36">
        <f>+'COLOMB$ '!AB21</f>
        <v>296305.03377999994</v>
      </c>
      <c r="AC21" s="35">
        <f>IF(AB21=0,"",(Y21-AB21)/ABS(AB21))</f>
        <v>-0.58158047682020686</v>
      </c>
    </row>
    <row r="22" spans="1:32" x14ac:dyDescent="0.2">
      <c r="B22" s="20" t="s">
        <v>43</v>
      </c>
      <c r="C22" s="33">
        <v>89977</v>
      </c>
      <c r="D22" s="34">
        <f>+C22/$C$20</f>
        <v>9.1657354275940822E-2</v>
      </c>
      <c r="E22" s="33">
        <v>108036.03923000001</v>
      </c>
      <c r="F22" s="34">
        <f>+E22/$E$20</f>
        <v>0.12567024628137194</v>
      </c>
      <c r="G22" s="34">
        <f>IF(C22=0,"",(E22-C22)/ABS(C22)+1)</f>
        <v>1.2007072833057337</v>
      </c>
      <c r="H22" s="33">
        <v>78773.629840000009</v>
      </c>
      <c r="I22" s="34">
        <f>+H22/$H$20</f>
        <v>8.1008841260755457E-2</v>
      </c>
      <c r="J22" s="35">
        <f>IF(H22=0,"",(E22-H22)/ABS(H22))</f>
        <v>0.37147468574745063</v>
      </c>
      <c r="K22" s="33">
        <v>89977</v>
      </c>
      <c r="L22" s="34">
        <f>+K22/$K$20</f>
        <v>9.1657354275940822E-2</v>
      </c>
      <c r="M22" s="33">
        <v>108036.03923000001</v>
      </c>
      <c r="N22" s="34">
        <f>+M22/$M$20</f>
        <v>0.12567024628137194</v>
      </c>
      <c r="O22" s="34">
        <f>IF(K22=0,"",(M22-K22)/ABS(K22)+1)</f>
        <v>1.2007072833057337</v>
      </c>
      <c r="P22" s="33">
        <v>78773.629840000009</v>
      </c>
      <c r="Q22" s="34">
        <f>+P22/$P$20</f>
        <v>8.1008841260755457E-2</v>
      </c>
      <c r="R22" s="35">
        <f>IF(P22=0,"",(M22-P22)/ABS(P22))</f>
        <v>0.37147468574745063</v>
      </c>
      <c r="S22" s="25"/>
      <c r="AC22" s="35"/>
      <c r="AE22" s="41"/>
    </row>
    <row r="23" spans="1:32" x14ac:dyDescent="0.2">
      <c r="J23" s="35"/>
      <c r="R23" s="35"/>
      <c r="S23" s="25"/>
      <c r="T23" s="20" t="s">
        <v>44</v>
      </c>
      <c r="U23" s="36">
        <f>+'COLOMB$ '!U23</f>
        <v>0</v>
      </c>
      <c r="V23" s="36">
        <f>+'COLOMB$ '!V23</f>
        <v>0</v>
      </c>
      <c r="W23" s="36">
        <f>+'COLOMB$ '!W23</f>
        <v>0</v>
      </c>
      <c r="X23" s="36">
        <f>+'COLOMB$ '!X23</f>
        <v>0</v>
      </c>
      <c r="Y23" s="36">
        <f>+'COLOMB$ '!Y23</f>
        <v>0</v>
      </c>
      <c r="Z23" s="37">
        <f>+Y23-X23</f>
        <v>0</v>
      </c>
      <c r="AA23" s="38" t="str">
        <f>IF(X23=0,"",(Y23-X23)/ABS(X23)+1)</f>
        <v/>
      </c>
      <c r="AB23" s="36">
        <f>+'COLOMB$ '!AB23</f>
        <v>0</v>
      </c>
      <c r="AC23" s="35" t="str">
        <f>IF(AB23=0,"",(Y23-AB23)/ABS(AB23))</f>
        <v/>
      </c>
    </row>
    <row r="24" spans="1:32" x14ac:dyDescent="0.2">
      <c r="B24" s="46" t="s">
        <v>45</v>
      </c>
      <c r="C24" s="36">
        <f>+C20-C22</f>
        <v>891690</v>
      </c>
      <c r="D24" s="34">
        <f>+C24/$C$20</f>
        <v>0.90834264572405921</v>
      </c>
      <c r="E24" s="36">
        <f>+E20-E22</f>
        <v>751642.70276999997</v>
      </c>
      <c r="F24" s="34">
        <f>+E24/$E$20</f>
        <v>0.87432975371862809</v>
      </c>
      <c r="G24" s="34">
        <f>IF(C24=0,"",(E24-C24)/ABS(C24)+1)</f>
        <v>0.84294172051946303</v>
      </c>
      <c r="H24" s="36">
        <f>+H20-H22</f>
        <v>893634.17915999983</v>
      </c>
      <c r="I24" s="34">
        <f>+H24/$H$20</f>
        <v>0.91899115873924453</v>
      </c>
      <c r="J24" s="35">
        <f>IF(H24=0,"",(E24-H24)/ABS(H24))</f>
        <v>-0.15889217277193818</v>
      </c>
      <c r="K24" s="36">
        <f>+K20-K22</f>
        <v>891690</v>
      </c>
      <c r="L24" s="34">
        <f>+K24/$K$20</f>
        <v>0.90834264572405921</v>
      </c>
      <c r="M24" s="36">
        <f>+M20-M22</f>
        <v>751642.70276999997</v>
      </c>
      <c r="N24" s="34">
        <f>+M24/$M$20</f>
        <v>0.87432975371862809</v>
      </c>
      <c r="O24" s="34">
        <f>IF(K24=0,"",(M24-K24)/ABS(K24)+1)</f>
        <v>0.84294172051946303</v>
      </c>
      <c r="P24" s="36">
        <f>+P20-P22</f>
        <v>893634.17915999983</v>
      </c>
      <c r="Q24" s="34">
        <f>+P24/$P$20</f>
        <v>0.91899115873924453</v>
      </c>
      <c r="R24" s="35">
        <f>IF(P24=0,"",(M24-P24)/ABS(P24))</f>
        <v>-0.15889217277193818</v>
      </c>
      <c r="S24" s="25"/>
      <c r="AC24" s="35"/>
    </row>
    <row r="25" spans="1:32" x14ac:dyDescent="0.2">
      <c r="J25" s="35"/>
      <c r="R25" s="35"/>
      <c r="T25" s="20" t="s">
        <v>46</v>
      </c>
      <c r="U25" s="36">
        <f>+'COLOMB$ '!U25</f>
        <v>351483.77748000005</v>
      </c>
      <c r="V25" s="36">
        <f>+'COLOMB$ '!V25</f>
        <v>351483.77748000005</v>
      </c>
      <c r="W25" s="36">
        <f>+'COLOMB$ '!W25</f>
        <v>304893.54135000001</v>
      </c>
      <c r="X25" s="36">
        <f>+'COLOMB$ '!X25</f>
        <v>351483.77748000005</v>
      </c>
      <c r="Y25" s="36">
        <f>+'COLOMB$ '!Y25</f>
        <v>351483.77748000005</v>
      </c>
      <c r="Z25" s="37">
        <f>+Y25-X25</f>
        <v>0</v>
      </c>
      <c r="AA25" s="38">
        <f>IF(X25=0,"",(Y25-X25)/ABS(X25)+1)</f>
        <v>1</v>
      </c>
      <c r="AB25" s="36">
        <f>+'COLOMB$ '!AB25</f>
        <v>304893.54135000001</v>
      </c>
      <c r="AC25" s="35">
        <f>IF(AB25=0,"",(Y25-AB25)/ABS(AB25))</f>
        <v>0.15280820946127277</v>
      </c>
    </row>
    <row r="26" spans="1:32" x14ac:dyDescent="0.2">
      <c r="B26" s="20" t="s">
        <v>47</v>
      </c>
      <c r="C26" s="33">
        <v>175863</v>
      </c>
      <c r="D26" s="34">
        <f>+C26/$C$20</f>
        <v>0.17914730759004835</v>
      </c>
      <c r="E26" s="33">
        <v>176029.82068</v>
      </c>
      <c r="F26" s="34">
        <f>+E26/$E$20</f>
        <v>0.20476232815816214</v>
      </c>
      <c r="G26" s="34">
        <f>IF(C26=0,"",(E26-C26)/ABS(C26)+1)</f>
        <v>1.0009485831584815</v>
      </c>
      <c r="H26" s="33">
        <v>193954.13127000001</v>
      </c>
      <c r="I26" s="34">
        <f>+H26/$H$20</f>
        <v>0.19945760356393852</v>
      </c>
      <c r="J26" s="35">
        <f>IF(H26=0,"",(E26-H26)/ABS(H26))</f>
        <v>-9.2415203907401711E-2</v>
      </c>
      <c r="K26" s="33">
        <v>175863</v>
      </c>
      <c r="L26" s="34">
        <f>+K26/$K$20</f>
        <v>0.17914730759004835</v>
      </c>
      <c r="M26" s="33">
        <v>176029.82068</v>
      </c>
      <c r="N26" s="34">
        <f>+M26/$M$20</f>
        <v>0.20476232815816214</v>
      </c>
      <c r="O26" s="34">
        <f>IF(K26=0,"",(M26-K26)/ABS(K26)+1)</f>
        <v>1.0009485831584815</v>
      </c>
      <c r="P26" s="33">
        <v>193954.13127000001</v>
      </c>
      <c r="Q26" s="34">
        <f>+P26/$P$20</f>
        <v>0.19945760356393852</v>
      </c>
      <c r="R26" s="35">
        <f>IF(P26=0,"",(M26-P26)/ABS(P26))</f>
        <v>-9.2415203907401711E-2</v>
      </c>
      <c r="S26" s="25"/>
      <c r="AC26" s="35"/>
    </row>
    <row r="27" spans="1:32" x14ac:dyDescent="0.2">
      <c r="B27" s="20" t="s">
        <v>48</v>
      </c>
      <c r="C27" s="33">
        <v>341860</v>
      </c>
      <c r="D27" s="34">
        <f>+C27/$C$20</f>
        <v>0.3482443639238153</v>
      </c>
      <c r="E27" s="33">
        <v>302543.86366000003</v>
      </c>
      <c r="F27" s="34">
        <f>+E27/$E$20</f>
        <v>0.35192665455021804</v>
      </c>
      <c r="G27" s="34">
        <f>IF(C27=0,"",(E27-C27)/ABS(C27)+1)</f>
        <v>0.88499345831626997</v>
      </c>
      <c r="H27" s="33">
        <v>341963.54689</v>
      </c>
      <c r="I27" s="34">
        <f>+H27/$H$20</f>
        <v>0.35166680452892168</v>
      </c>
      <c r="J27" s="35">
        <f>IF(H27=0,"",(E27-H27)/ABS(H27))</f>
        <v>-0.1152745185517688</v>
      </c>
      <c r="K27" s="33">
        <v>341860</v>
      </c>
      <c r="L27" s="34">
        <f>+K27/$K$20</f>
        <v>0.3482443639238153</v>
      </c>
      <c r="M27" s="33">
        <v>302543.86366000003</v>
      </c>
      <c r="N27" s="34">
        <f>+M27/$M$20</f>
        <v>0.35192665455021804</v>
      </c>
      <c r="O27" s="34">
        <f>IF(K27=0,"",(M27-K27)/ABS(K27)+1)</f>
        <v>0.88499345831626997</v>
      </c>
      <c r="P27" s="33">
        <v>341963.54689</v>
      </c>
      <c r="Q27" s="34">
        <f>+P27/$P$20</f>
        <v>0.35166680452892168</v>
      </c>
      <c r="R27" s="35">
        <f>IF(P27=0,"",(M27-P27)/ABS(P27))</f>
        <v>-0.1152745185517688</v>
      </c>
      <c r="S27" s="25"/>
      <c r="T27" s="20" t="s">
        <v>49</v>
      </c>
      <c r="U27" s="36">
        <f>+'COLOMB$ '!U27</f>
        <v>-196192.64660000001</v>
      </c>
      <c r="V27" s="36">
        <f>+'COLOMB$ '!V27</f>
        <v>-196192.64660000001</v>
      </c>
      <c r="W27" s="36">
        <f>+'COLOMB$ '!W27</f>
        <v>89499.917090000003</v>
      </c>
      <c r="X27" s="36">
        <f>+'COLOMB$ '!X27</f>
        <v>-196192.64660000001</v>
      </c>
      <c r="Y27" s="36">
        <f>+'COLOMB$ '!Y27</f>
        <v>-196192.64660000001</v>
      </c>
      <c r="Z27" s="37">
        <f>+Y27-X27</f>
        <v>0</v>
      </c>
      <c r="AA27" s="38">
        <f>IF(X27=0,"",(Y27-X27)/ABS(X27)+1)</f>
        <v>1</v>
      </c>
      <c r="AB27" s="36">
        <f>+'COLOMB$ '!AB27</f>
        <v>89499.917090000003</v>
      </c>
      <c r="AC27" s="35">
        <f>IF(AB27=0,"",(Y27-AB27)/ABS(AB27))</f>
        <v>-3.1920986407474667</v>
      </c>
    </row>
    <row r="28" spans="1:32" x14ac:dyDescent="0.2">
      <c r="B28" s="20" t="s">
        <v>50</v>
      </c>
      <c r="C28" s="36">
        <f>SUM(C26:C27)</f>
        <v>517723</v>
      </c>
      <c r="D28" s="34">
        <f>+C28/$C$20</f>
        <v>0.52739167151386368</v>
      </c>
      <c r="E28" s="36">
        <f>SUM(E26:E27)</f>
        <v>478573.68434000004</v>
      </c>
      <c r="F28" s="34">
        <f>+E28/$E$20</f>
        <v>0.55668898270838019</v>
      </c>
      <c r="G28" s="34">
        <f>IF(C28=0,"",(E28-C28)/ABS(C28)+1)</f>
        <v>0.92438173374565169</v>
      </c>
      <c r="H28" s="36">
        <f>SUM(H26:H27)</f>
        <v>535917.67816000001</v>
      </c>
      <c r="I28" s="34">
        <f>+H28/$H$20</f>
        <v>0.55112440809286023</v>
      </c>
      <c r="J28" s="35">
        <f>IF(H28=0,"",(E28-H28)/ABS(H28))</f>
        <v>-0.10700149697782452</v>
      </c>
      <c r="K28" s="36">
        <f>SUM(K26:K27)</f>
        <v>517723</v>
      </c>
      <c r="L28" s="34">
        <f>+K28/$K$20</f>
        <v>0.52739167151386368</v>
      </c>
      <c r="M28" s="36">
        <f>SUM(M26:M27)</f>
        <v>478573.68434000004</v>
      </c>
      <c r="N28" s="34">
        <f>+M28/$M$20</f>
        <v>0.55668898270838019</v>
      </c>
      <c r="O28" s="34">
        <f>IF(K28=0,"",(M28-K28)/ABS(K28)+1)</f>
        <v>0.92438173374565169</v>
      </c>
      <c r="P28" s="36">
        <f>SUM(P26:P27)</f>
        <v>535917.67816000001</v>
      </c>
      <c r="Q28" s="34">
        <f>+P28/$P$20</f>
        <v>0.55112440809286023</v>
      </c>
      <c r="R28" s="35">
        <f>IF(P28=0,"",(M28-P28)/ABS(P28))</f>
        <v>-0.10700149697782452</v>
      </c>
      <c r="S28" s="25"/>
      <c r="T28" s="20" t="s">
        <v>51</v>
      </c>
      <c r="U28" s="36">
        <f>+'COLOMB$ '!U28</f>
        <v>0</v>
      </c>
      <c r="V28" s="36">
        <f>+'COLOMB$ '!V28</f>
        <v>0</v>
      </c>
      <c r="W28" s="36">
        <f>+'COLOMB$ '!W28</f>
        <v>0</v>
      </c>
      <c r="X28" s="36">
        <f>+'COLOMB$ '!X28</f>
        <v>0</v>
      </c>
      <c r="Y28" s="36">
        <f>+'COLOMB$ '!Y28</f>
        <v>0</v>
      </c>
      <c r="Z28" s="37">
        <f>+Y28-X28</f>
        <v>0</v>
      </c>
      <c r="AA28" s="38" t="str">
        <f>IF(X28=0,"",(Y28-X28)/ABS(X28)+1)</f>
        <v/>
      </c>
      <c r="AB28" s="36">
        <f>+'COLOMB$ '!AB28</f>
        <v>0</v>
      </c>
      <c r="AC28" s="35" t="str">
        <f>IF(AB28=0,"",(Y28-AB28)/ABS(AB28))</f>
        <v/>
      </c>
    </row>
    <row r="29" spans="1:32" x14ac:dyDescent="0.2">
      <c r="J29" s="35"/>
      <c r="R29" s="35"/>
      <c r="S29" s="25"/>
      <c r="AC29" s="2"/>
    </row>
    <row r="30" spans="1:32" x14ac:dyDescent="0.2">
      <c r="B30" s="20" t="s">
        <v>52</v>
      </c>
      <c r="C30" s="36">
        <v>59919</v>
      </c>
      <c r="D30" s="34">
        <f>+C30/$C$20</f>
        <v>6.1038009834292077E-2</v>
      </c>
      <c r="E30" s="36">
        <v>53439.186999999998</v>
      </c>
      <c r="F30" s="34">
        <f>+E30/$E$20</f>
        <v>6.2161810440579675E-2</v>
      </c>
      <c r="G30" s="34">
        <f>IF(C30=0,"",(E30-C30)/ABS(C30)+1)</f>
        <v>0.89185712378377469</v>
      </c>
      <c r="H30" s="36">
        <v>54439.623479999995</v>
      </c>
      <c r="I30" s="34">
        <f>+H30/$H$20</f>
        <v>5.5984354481875616E-2</v>
      </c>
      <c r="J30" s="35">
        <f>IF(H30=0,"",(E30-H30)/ABS(H30))</f>
        <v>-1.8376991170182076E-2</v>
      </c>
      <c r="K30" s="36">
        <v>59919</v>
      </c>
      <c r="L30" s="34">
        <f>+K30/$K$20</f>
        <v>6.1038009834292077E-2</v>
      </c>
      <c r="M30" s="36">
        <v>53439.186999999998</v>
      </c>
      <c r="N30" s="34">
        <f>+M30/$M$20</f>
        <v>6.2161810440579675E-2</v>
      </c>
      <c r="O30" s="34">
        <f>IF(K30=0,"",(M30-K30)/ABS(K30)+1)</f>
        <v>0.89185712378377469</v>
      </c>
      <c r="P30" s="36">
        <v>54439.623479999995</v>
      </c>
      <c r="Q30" s="34">
        <f>+P30/$P$20</f>
        <v>5.5984354481875616E-2</v>
      </c>
      <c r="R30" s="35">
        <f>IF(P30=0,"",(M30-P30)/ABS(P30))</f>
        <v>-1.8376991170182076E-2</v>
      </c>
      <c r="S30" s="25"/>
      <c r="T30" s="19" t="s">
        <v>53</v>
      </c>
      <c r="U30" s="43">
        <f>U21-U23-U25-U27-U28</f>
        <v>-31311.319929999969</v>
      </c>
      <c r="V30" s="43">
        <f>V21-V23-V25-V27-V28</f>
        <v>-31311.319929999969</v>
      </c>
      <c r="W30" s="43">
        <f>W21-W23-W25-W27-W28</f>
        <v>-98088.424660000077</v>
      </c>
      <c r="X30" s="43">
        <f>X21-X23-X25-X27-X28</f>
        <v>-31311.319929999969</v>
      </c>
      <c r="Y30" s="43">
        <f>Y21-Y23-Y25-Y27-Y28</f>
        <v>-31311.319929999969</v>
      </c>
      <c r="Z30" s="47">
        <f>+Y30-X30</f>
        <v>0</v>
      </c>
      <c r="AA30" s="48">
        <f>IF(U30=0,"",(V30-U30)/ABS(U30)+1)</f>
        <v>1</v>
      </c>
      <c r="AB30" s="43">
        <f>AB21-AB23-AB25-AB27-AB28</f>
        <v>-98088.424660000077</v>
      </c>
      <c r="AC30" s="35">
        <f>IF(AB30=0,"",(Y30-AB30)/ABS(AB30))</f>
        <v>0.68078476090799578</v>
      </c>
    </row>
    <row r="31" spans="1:32" x14ac:dyDescent="0.2">
      <c r="B31" s="20" t="s">
        <v>54</v>
      </c>
      <c r="C31" s="36">
        <v>215233</v>
      </c>
      <c r="D31" s="34">
        <f>+C31/$C$20</f>
        <v>0.21925255712986175</v>
      </c>
      <c r="E31" s="36">
        <v>192930.74234</v>
      </c>
      <c r="F31" s="34">
        <f>+E31/$E$20</f>
        <v>0.22442190659635969</v>
      </c>
      <c r="G31" s="34">
        <f>IF(C31=0,"",(E31-C31)/ABS(C31)+1)</f>
        <v>0.8963808632505238</v>
      </c>
      <c r="H31" s="36">
        <v>189717.95197999998</v>
      </c>
      <c r="I31" s="34">
        <f>+H31/$H$20</f>
        <v>0.19510122216634729</v>
      </c>
      <c r="J31" s="35">
        <f>IF(H31=0,"",(E31-H31)/ABS(H31))</f>
        <v>1.6934561682063198E-2</v>
      </c>
      <c r="K31" s="36">
        <v>215233</v>
      </c>
      <c r="L31" s="34">
        <f>+K31/$K$20</f>
        <v>0.21925255712986175</v>
      </c>
      <c r="M31" s="36">
        <v>192930.74234</v>
      </c>
      <c r="N31" s="34">
        <f>+M31/$M$20</f>
        <v>0.22442190659635969</v>
      </c>
      <c r="O31" s="34">
        <f>IF(K31=0,"",(M31-K31)/ABS(K31)+1)</f>
        <v>0.8963808632505238</v>
      </c>
      <c r="P31" s="36">
        <v>189717.95197999998</v>
      </c>
      <c r="Q31" s="34">
        <f>+P31/$P$20</f>
        <v>0.19510122216634729</v>
      </c>
      <c r="R31" s="35">
        <f>IF(P31=0,"",(M31-P31)/ABS(P31))</f>
        <v>1.6934561682063198E-2</v>
      </c>
      <c r="S31" s="25"/>
    </row>
    <row r="32" spans="1:32" x14ac:dyDescent="0.2">
      <c r="B32" s="20" t="s">
        <v>55</v>
      </c>
      <c r="C32" s="36">
        <f>SUM(C30:C31)</f>
        <v>275152</v>
      </c>
      <c r="D32" s="34">
        <f>+C32/$C$20</f>
        <v>0.28029056696415383</v>
      </c>
      <c r="E32" s="36">
        <f>SUM(E30:E31)</f>
        <v>246369.92934</v>
      </c>
      <c r="F32" s="34">
        <f>+E32/$E$20</f>
        <v>0.28658371703693936</v>
      </c>
      <c r="G32" s="34">
        <f>IF(C32=0,"",(E32-C32)/ABS(C32)+1)</f>
        <v>0.89539574249869158</v>
      </c>
      <c r="H32" s="36">
        <f>SUM(H30:H31)</f>
        <v>244157.57545999996</v>
      </c>
      <c r="I32" s="34">
        <f>+H32/$H$20</f>
        <v>0.2510855766482229</v>
      </c>
      <c r="J32" s="35">
        <f>IF(H32=0,"",(E32-H32)/ABS(H32))</f>
        <v>9.061172383580153E-3</v>
      </c>
      <c r="K32" s="36">
        <f>SUM(K30:K31)</f>
        <v>275152</v>
      </c>
      <c r="L32" s="34">
        <f>+K32/$K$20</f>
        <v>0.28029056696415383</v>
      </c>
      <c r="M32" s="36">
        <f>SUM(M30:M31)</f>
        <v>246369.92934</v>
      </c>
      <c r="N32" s="34">
        <f>+M32/$M$20</f>
        <v>0.28658371703693936</v>
      </c>
      <c r="O32" s="34">
        <f>IF(K32=0,"",(M32-K32)/ABS(K32)+1)</f>
        <v>0.89539574249869158</v>
      </c>
      <c r="P32" s="36">
        <f t="shared" ref="P32" si="10">SUM(P30:P31)</f>
        <v>244157.57545999996</v>
      </c>
      <c r="Q32" s="34">
        <f>+P32/$P$20</f>
        <v>0.2510855766482229</v>
      </c>
      <c r="R32" s="35">
        <f>IF(P32=0,"",(M32-P32)/ABS(P32))</f>
        <v>9.061172383580153E-3</v>
      </c>
      <c r="S32" s="25"/>
    </row>
    <row r="33" spans="2:20" x14ac:dyDescent="0.2">
      <c r="J33" s="35"/>
      <c r="R33" s="35"/>
      <c r="S33" s="25"/>
    </row>
    <row r="34" spans="2:20" x14ac:dyDescent="0.2">
      <c r="B34" s="20" t="s">
        <v>56</v>
      </c>
      <c r="C34" s="36">
        <f>C28+C32</f>
        <v>792875</v>
      </c>
      <c r="D34" s="34">
        <f>+C34/$C$20</f>
        <v>0.80768223847801746</v>
      </c>
      <c r="E34" s="36">
        <f>E28+E32</f>
        <v>724943.61368000007</v>
      </c>
      <c r="F34" s="34">
        <f>+E34/$E$20</f>
        <v>0.8432726997453196</v>
      </c>
      <c r="G34" s="34">
        <f>IF(C34=0,"",(E34-C34)/ABS(C34)+1)</f>
        <v>0.91432270367964696</v>
      </c>
      <c r="H34" s="36">
        <f>H28+H32</f>
        <v>780075.25361999997</v>
      </c>
      <c r="I34" s="34">
        <f>+H34/$H$20</f>
        <v>0.80220998474108307</v>
      </c>
      <c r="J34" s="35">
        <f>IF(H34=0,"",(E34-H34)/ABS(H34))</f>
        <v>-7.0674771035431821E-2</v>
      </c>
      <c r="K34" s="36">
        <f>K28+K32</f>
        <v>792875</v>
      </c>
      <c r="L34" s="34">
        <f>+K34/$K$20</f>
        <v>0.80768223847801746</v>
      </c>
      <c r="M34" s="36">
        <f>M28+M32</f>
        <v>724943.61368000007</v>
      </c>
      <c r="N34" s="34">
        <f>+M34/$M$20</f>
        <v>0.8432726997453196</v>
      </c>
      <c r="O34" s="34">
        <f>IF(K34=0,"",(M34-K34)/ABS(K34)+1)</f>
        <v>0.91432270367964696</v>
      </c>
      <c r="P34" s="36">
        <f>P28+P32</f>
        <v>780075.25361999997</v>
      </c>
      <c r="Q34" s="34">
        <f>+P34/$P$20</f>
        <v>0.80220998474108307</v>
      </c>
      <c r="R34" s="35">
        <f>IF(P34=0,"",(M34-P34)/ABS(P34))</f>
        <v>-7.0674771035431821E-2</v>
      </c>
      <c r="S34" s="25"/>
    </row>
    <row r="35" spans="2:20" x14ac:dyDescent="0.2">
      <c r="J35" s="35"/>
      <c r="R35" s="35"/>
      <c r="S35" s="25"/>
    </row>
    <row r="36" spans="2:20" x14ac:dyDescent="0.2">
      <c r="B36" s="19" t="s">
        <v>57</v>
      </c>
      <c r="C36" s="43">
        <f>C24-C34</f>
        <v>98815</v>
      </c>
      <c r="D36" s="44">
        <f>+C36/$C$20</f>
        <v>0.10066040724604168</v>
      </c>
      <c r="E36" s="43">
        <f>E24-E34</f>
        <v>26699.089089999907</v>
      </c>
      <c r="F36" s="44">
        <f>+E36/$E$20</f>
        <v>3.1057053973308449E-2</v>
      </c>
      <c r="G36" s="44">
        <f>IF(C36=0,"",(E36-C36)/ABS(C36)+1)</f>
        <v>0.27019267408794112</v>
      </c>
      <c r="H36" s="43">
        <f>H24-H34</f>
        <v>113558.92553999985</v>
      </c>
      <c r="I36" s="44">
        <f>+H36/$H$20</f>
        <v>0.11678117399816136</v>
      </c>
      <c r="J36" s="45">
        <f>IF(H36=0,"",(E36-H36)/ABS(H36))</f>
        <v>-0.76488779756378156</v>
      </c>
      <c r="K36" s="43">
        <f>K24-K34</f>
        <v>98815</v>
      </c>
      <c r="L36" s="44">
        <f>+K36/$K$20</f>
        <v>0.10066040724604168</v>
      </c>
      <c r="M36" s="43">
        <f>+M24-M34</f>
        <v>26699.089089999907</v>
      </c>
      <c r="N36" s="44">
        <f>+M36/$M$20</f>
        <v>3.1057053973308449E-2</v>
      </c>
      <c r="O36" s="44">
        <f>IF(K36=0,"",(M36-K36)/ABS(K36)+1)</f>
        <v>0.27019267408794112</v>
      </c>
      <c r="P36" s="43">
        <f>P24-P34</f>
        <v>113558.92553999985</v>
      </c>
      <c r="Q36" s="44">
        <f>+P36/$P$20</f>
        <v>0.11678117399816136</v>
      </c>
      <c r="R36" s="45">
        <f>IF(P36=0,"",(M36-P36)/ABS(P36))</f>
        <v>-0.76488779756378156</v>
      </c>
      <c r="S36" s="25"/>
    </row>
    <row r="37" spans="2:20" x14ac:dyDescent="0.2">
      <c r="J37" s="35"/>
      <c r="R37" s="35"/>
      <c r="S37" s="25"/>
    </row>
    <row r="38" spans="2:20" x14ac:dyDescent="0.2">
      <c r="B38" s="20" t="s">
        <v>58</v>
      </c>
      <c r="C38" s="33">
        <v>446</v>
      </c>
      <c r="D38" s="34">
        <f>+C38/$C$20</f>
        <v>4.5432921754525721E-4</v>
      </c>
      <c r="E38" s="33">
        <v>453.30596999999995</v>
      </c>
      <c r="F38" s="34">
        <f>+E38/$E$20</f>
        <v>5.2729693995387864E-4</v>
      </c>
      <c r="G38" s="34">
        <f>IF(C38=0,"",(E38-C38)/ABS(C38)+1)</f>
        <v>1.0163810986547084</v>
      </c>
      <c r="H38" s="33">
        <v>514.93687</v>
      </c>
      <c r="I38" s="34">
        <f>+H38/$H$20</f>
        <v>5.2954826692470556E-4</v>
      </c>
      <c r="J38" s="35">
        <f>IF(H38=0,"",(E38-H38)/ABS(H38))</f>
        <v>-0.11968632193690083</v>
      </c>
      <c r="K38" s="33">
        <v>446</v>
      </c>
      <c r="L38" s="34">
        <f>+K38/$K$20</f>
        <v>4.5432921754525721E-4</v>
      </c>
      <c r="M38" s="33">
        <v>453.30596999999995</v>
      </c>
      <c r="N38" s="34">
        <f>+M38/$M$20</f>
        <v>5.2729693995387864E-4</v>
      </c>
      <c r="O38" s="34">
        <f>IF(K38=0,"",(M38-K38)/ABS(K38)+1)</f>
        <v>1.0163810986547084</v>
      </c>
      <c r="P38" s="33">
        <v>514.93687</v>
      </c>
      <c r="Q38" s="34">
        <f>+P38/$P$20</f>
        <v>5.2954826692470556E-4</v>
      </c>
      <c r="R38" s="35">
        <f>IF(P38=0,"",(M38-P38)/ABS(P38))</f>
        <v>-0.11968632193690083</v>
      </c>
      <c r="S38" s="25"/>
    </row>
    <row r="39" spans="2:20" x14ac:dyDescent="0.2">
      <c r="B39" s="20" t="s">
        <v>59</v>
      </c>
      <c r="C39" s="33">
        <v>36633</v>
      </c>
      <c r="D39" s="34">
        <f>+C39/$C$20</f>
        <v>3.7317135036626474E-2</v>
      </c>
      <c r="E39" s="33">
        <v>23448.838390000001</v>
      </c>
      <c r="F39" s="34">
        <f>+E39/$E$20</f>
        <v>2.7276280364275894E-2</v>
      </c>
      <c r="G39" s="34">
        <f>IF(C39=0,"",(E39-C39)/ABS(C39)+1)</f>
        <v>0.6401015038353397</v>
      </c>
      <c r="H39" s="33">
        <v>33710.145779999999</v>
      </c>
      <c r="I39" s="34">
        <f>+H39/$H$20</f>
        <v>3.4666675306388867E-2</v>
      </c>
      <c r="J39" s="35">
        <f>IF(H39=0,"",(E39-H39)/ABS(H39))</f>
        <v>-0.30439819088791842</v>
      </c>
      <c r="K39" s="33">
        <v>36633</v>
      </c>
      <c r="L39" s="34">
        <f>+K39/$K$20</f>
        <v>3.7317135036626474E-2</v>
      </c>
      <c r="M39" s="33">
        <v>23448.838390000001</v>
      </c>
      <c r="N39" s="34">
        <f>+M39/$M$20</f>
        <v>2.7276280364275894E-2</v>
      </c>
      <c r="O39" s="34">
        <f>IF(K39=0,"",(M39-K39)/ABS(K39)+1)</f>
        <v>0.6401015038353397</v>
      </c>
      <c r="P39" s="33">
        <v>33710.145779999999</v>
      </c>
      <c r="Q39" s="34">
        <f>+P39/$P$20</f>
        <v>3.4666675306388867E-2</v>
      </c>
      <c r="R39" s="35">
        <f>IF(P39=0,"",(M39-P39)/ABS(P39))</f>
        <v>-0.30439819088791842</v>
      </c>
      <c r="S39" s="25"/>
    </row>
    <row r="40" spans="2:20" x14ac:dyDescent="0.2">
      <c r="J40" s="35"/>
      <c r="R40" s="35"/>
    </row>
    <row r="41" spans="2:20" x14ac:dyDescent="0.2">
      <c r="B41" s="20" t="s">
        <v>60</v>
      </c>
      <c r="C41" s="36">
        <f>C36+C38-C39</f>
        <v>62628</v>
      </c>
      <c r="D41" s="34">
        <f>+C41/$C$20</f>
        <v>6.3797601426960462E-2</v>
      </c>
      <c r="E41" s="36">
        <f>E36+E38-E39</f>
        <v>3703.5566699999072</v>
      </c>
      <c r="F41" s="34">
        <f>+E41/$E$20</f>
        <v>4.3080705489864342E-3</v>
      </c>
      <c r="G41" s="34">
        <f>IF(C41=0,"",(E41-C41)/ABS(C41)+1)</f>
        <v>5.9135796608544178E-2</v>
      </c>
      <c r="H41" s="36">
        <f>H36+H38-H39</f>
        <v>80363.716629999864</v>
      </c>
      <c r="I41" s="34">
        <f>+H41/$H$20</f>
        <v>8.2644046958697218E-2</v>
      </c>
      <c r="J41" s="35">
        <f>IF(H41=0,"",(E41-H41)/ABS(H41))</f>
        <v>-0.9539150648413719</v>
      </c>
      <c r="K41" s="36">
        <f>K36+K38-K39</f>
        <v>62628</v>
      </c>
      <c r="L41" s="34">
        <f>+K41/$K$20</f>
        <v>6.3797601426960462E-2</v>
      </c>
      <c r="M41" s="36">
        <f>M36+M38-M39</f>
        <v>3703.5566699999072</v>
      </c>
      <c r="N41" s="34">
        <f>+M41/$M$20</f>
        <v>4.3080705489864342E-3</v>
      </c>
      <c r="O41" s="34">
        <f>IF(K41=0,"",(M41-K41)/ABS(K41)+1)</f>
        <v>5.9135796608544178E-2</v>
      </c>
      <c r="P41" s="36">
        <f>P36+P38-P39</f>
        <v>80363.716629999864</v>
      </c>
      <c r="Q41" s="34">
        <f>+P41/$P$20</f>
        <v>8.2644046958697218E-2</v>
      </c>
      <c r="R41" s="35">
        <f>IF(P41=0,"",(M41-P41)/ABS(P41))</f>
        <v>-0.9539150648413719</v>
      </c>
    </row>
    <row r="42" spans="2:20" x14ac:dyDescent="0.2">
      <c r="B42" s="20" t="s">
        <v>46</v>
      </c>
      <c r="C42" s="33">
        <v>23513</v>
      </c>
      <c r="D42" s="34">
        <f>+C42/$C$20</f>
        <v>2.3952114107940879E-2</v>
      </c>
      <c r="E42" s="33">
        <v>3194.4670000000001</v>
      </c>
      <c r="F42" s="34">
        <f>+E42/$E$20</f>
        <v>3.7158846019249366E-3</v>
      </c>
      <c r="G42" s="34">
        <f>IF(C42=0,"",(E42-C42)/ABS(C42)+1)</f>
        <v>0.13585960957768051</v>
      </c>
      <c r="H42" s="33">
        <v>23669.463</v>
      </c>
      <c r="I42" s="34">
        <f>+H42/$H$20</f>
        <v>2.4341086919428476E-2</v>
      </c>
      <c r="J42" s="35">
        <f>IF(H42=0,"",(E42-H42)/ABS(H42))</f>
        <v>-0.86503846749712909</v>
      </c>
      <c r="K42" s="33">
        <v>23513</v>
      </c>
      <c r="L42" s="34">
        <f>+K42/$K$20</f>
        <v>2.3952114107940879E-2</v>
      </c>
      <c r="M42" s="33">
        <v>3194.4670000000001</v>
      </c>
      <c r="N42" s="34">
        <f>+M42/$M$20</f>
        <v>3.7158846019249366E-3</v>
      </c>
      <c r="O42" s="34">
        <f>IF(K42=0,"",(M42-K42)/ABS(K42)+1)</f>
        <v>0.13585960957768051</v>
      </c>
      <c r="P42" s="33">
        <v>23669.463</v>
      </c>
      <c r="Q42" s="34">
        <f>+P42/$P$20</f>
        <v>2.4341086919428476E-2</v>
      </c>
      <c r="R42" s="35">
        <f>IF(P42=0,"",(M42-P42)/ABS(P42))</f>
        <v>-0.86503846749712909</v>
      </c>
    </row>
    <row r="43" spans="2:20" x14ac:dyDescent="0.2">
      <c r="B43" s="19" t="s">
        <v>61</v>
      </c>
      <c r="C43" s="43">
        <f>C41-C42</f>
        <v>39115</v>
      </c>
      <c r="D43" s="44">
        <f>+C43/$C$20</f>
        <v>3.9845487319019587E-2</v>
      </c>
      <c r="E43" s="43">
        <f>E41-E42</f>
        <v>509.08966999990707</v>
      </c>
      <c r="F43" s="44">
        <f>+E43/$E$20</f>
        <v>5.9218594706149786E-4</v>
      </c>
      <c r="G43" s="44">
        <f>IF(C43=0,"",(E43-C43)/ABS(C43)+1)</f>
        <v>1.3015203119005614E-2</v>
      </c>
      <c r="H43" s="43">
        <f>H41-H42</f>
        <v>56694.253629999861</v>
      </c>
      <c r="I43" s="44">
        <f>+H43/$H$20</f>
        <v>5.8302960039268735E-2</v>
      </c>
      <c r="J43" s="45">
        <f>IF(H43=0,"",(E43-H43)/ABS(H43))</f>
        <v>-0.99102043615703372</v>
      </c>
      <c r="K43" s="43">
        <f>+K41-K42</f>
        <v>39115</v>
      </c>
      <c r="L43" s="44">
        <f>+K43/$K$20</f>
        <v>3.9845487319019587E-2</v>
      </c>
      <c r="M43" s="43">
        <f>+M41-M42</f>
        <v>509.08966999990707</v>
      </c>
      <c r="N43" s="44">
        <f>+M43/$M$20</f>
        <v>5.9218594706149786E-4</v>
      </c>
      <c r="O43" s="44">
        <f>IF(K43=0,"",(M43-K43)/ABS(K43)+1)</f>
        <v>1.3015203119005614E-2</v>
      </c>
      <c r="P43" s="43">
        <f>+P41-P42</f>
        <v>56694.253629999861</v>
      </c>
      <c r="Q43" s="44">
        <f>+P43/$P$20</f>
        <v>5.8302960039268735E-2</v>
      </c>
      <c r="R43" s="45">
        <f>IF(P43=0,"",(M43-P43)/ABS(P43))</f>
        <v>-0.99102043615703372</v>
      </c>
      <c r="T43" s="41"/>
    </row>
    <row r="44" spans="2:20" x14ac:dyDescent="0.2">
      <c r="J44" s="35"/>
      <c r="R44" s="35"/>
    </row>
    <row r="45" spans="2:20" x14ac:dyDescent="0.2">
      <c r="B45" s="20" t="s">
        <v>62</v>
      </c>
      <c r="C45" s="33">
        <v>149889</v>
      </c>
      <c r="D45" s="34">
        <f>+C45/$C$20</f>
        <v>0.15268823338260326</v>
      </c>
      <c r="E45" s="33">
        <v>78458.407649999906</v>
      </c>
      <c r="F45" s="34">
        <f>+E45/$E$20</f>
        <v>9.1264799066067756E-2</v>
      </c>
      <c r="G45" s="34">
        <f>IF(C45=0,"",(E45-C45)/ABS(C45)+1)</f>
        <v>0.52344339911534465</v>
      </c>
      <c r="H45" s="33">
        <v>162065.83093999984</v>
      </c>
      <c r="I45" s="34">
        <f>+H45/$H$20</f>
        <v>0.16666446879593072</v>
      </c>
      <c r="J45" s="35">
        <f>IF(H45=0,"",(E45-H45)/ABS(H45))</f>
        <v>-0.51588556825993226</v>
      </c>
      <c r="K45" s="33">
        <v>149889</v>
      </c>
      <c r="L45" s="34">
        <f>+K45/$K$20</f>
        <v>0.15268823338260326</v>
      </c>
      <c r="M45" s="33">
        <v>78458.407649999906</v>
      </c>
      <c r="N45" s="34">
        <f>+M45/$M$20</f>
        <v>9.1264799066067756E-2</v>
      </c>
      <c r="O45" s="34">
        <f>IF(K45=0,"",(M45-K45)/ABS(K45)+1)</f>
        <v>0.52344339911534465</v>
      </c>
      <c r="P45" s="33">
        <v>162065.83093999984</v>
      </c>
      <c r="Q45" s="34">
        <f>+P45/$P$20</f>
        <v>0.16666446879593072</v>
      </c>
      <c r="R45" s="35">
        <f>IF(P45=0,"",(M45-P45)/ABS(P45))</f>
        <v>-0.51588556825993226</v>
      </c>
      <c r="T45" s="41"/>
    </row>
    <row r="46" spans="2:20" x14ac:dyDescent="0.2">
      <c r="B46" s="20" t="s">
        <v>37</v>
      </c>
      <c r="C46" s="33">
        <v>471048</v>
      </c>
      <c r="D46" s="35">
        <f t="shared" ref="D46" si="11">+C46/$C$20</f>
        <v>0.47984499835483929</v>
      </c>
      <c r="E46" s="33">
        <v>425437.90100000001</v>
      </c>
      <c r="F46" s="35">
        <f>+E46/$E$20</f>
        <v>0.49488009905914371</v>
      </c>
      <c r="G46" s="35">
        <f>IF(C46=0,"",(E46-C46)/ABS(C46)+1)</f>
        <v>0.90317313946774003</v>
      </c>
      <c r="H46" s="33">
        <v>437035.23599999998</v>
      </c>
      <c r="I46" s="35">
        <f t="shared" ref="I46" si="12">+H46/$H$20</f>
        <v>0.44943616449299822</v>
      </c>
      <c r="J46" s="35">
        <f>IF(H46=0,"",(E46-H46)/ABS(H46))</f>
        <v>-2.6536384356889622E-2</v>
      </c>
      <c r="K46" s="33">
        <v>471048</v>
      </c>
      <c r="L46" s="35">
        <f t="shared" ref="L46" si="13">+K46/$K$20</f>
        <v>0.47984499835483929</v>
      </c>
      <c r="M46" s="33">
        <v>425437.90100000001</v>
      </c>
      <c r="N46" s="35">
        <f>+M46/$M$20</f>
        <v>0.49488009905914371</v>
      </c>
      <c r="O46" s="35">
        <f>IF(K46=0,"",(M46-K46)/ABS(K46)+1)</f>
        <v>0.90317313946774003</v>
      </c>
      <c r="P46" s="33">
        <v>437035.23599999998</v>
      </c>
      <c r="Q46" s="35">
        <f t="shared" ref="Q46" si="14">+P46/$P$20</f>
        <v>0.44943616449299822</v>
      </c>
      <c r="R46" s="35">
        <f>IF(P46=0,"",(M46-P46)/ABS(P46))</f>
        <v>-2.6536384356889622E-2</v>
      </c>
    </row>
    <row r="47" spans="2:20" x14ac:dyDescent="0.2"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 t="s">
        <v>63</v>
      </c>
      <c r="Q47" s="36"/>
      <c r="R47" s="36"/>
    </row>
    <row r="48" spans="2:20" x14ac:dyDescent="0.2">
      <c r="C48" s="13" t="s">
        <v>63</v>
      </c>
      <c r="E48" s="13" t="s">
        <v>63</v>
      </c>
      <c r="H48" s="13" t="s">
        <v>63</v>
      </c>
      <c r="K48" s="13" t="s">
        <v>63</v>
      </c>
      <c r="M48" s="13" t="s">
        <v>63</v>
      </c>
    </row>
    <row r="49" spans="5:16" x14ac:dyDescent="0.2">
      <c r="H49" s="41"/>
      <c r="P49" s="41"/>
    </row>
    <row r="50" spans="5:16" x14ac:dyDescent="0.2">
      <c r="E50" s="41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7A719-B334-40EA-BEAA-60D5CAD288D7}">
  <sheetPr>
    <tabColor theme="2" tint="-0.499984740745262"/>
  </sheetPr>
  <dimension ref="A1:AI56"/>
  <sheetViews>
    <sheetView showGridLines="0" topLeftCell="A5" zoomScale="95" zoomScaleNormal="95" workbookViewId="0">
      <selection activeCell="A31" sqref="A31"/>
    </sheetView>
  </sheetViews>
  <sheetFormatPr baseColWidth="10" defaultColWidth="11.42578125" defaultRowHeight="12.75" x14ac:dyDescent="0.2"/>
  <cols>
    <col min="1" max="1" width="3.140625" style="32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2" width="9.7109375" style="2" bestFit="1" customWidth="1"/>
    <col min="23" max="23" width="14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64</v>
      </c>
      <c r="T3" s="18" t="str">
        <f>+B3</f>
        <v>MUSICAR COLOMBIA</v>
      </c>
      <c r="Y3" s="55"/>
    </row>
    <row r="4" spans="1:35" x14ac:dyDescent="0.2">
      <c r="B4" s="2" t="s">
        <v>22</v>
      </c>
      <c r="T4" s="3" t="s">
        <v>23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24</v>
      </c>
      <c r="T5" s="3" t="s">
        <v>24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1" t="str">
        <f>Paramet!E3&amp;" de "&amp;Paramet!F3</f>
        <v>ENERO de 2026</v>
      </c>
      <c r="C6" s="56"/>
      <c r="D6" s="56"/>
      <c r="E6" s="56"/>
      <c r="F6" s="56"/>
      <c r="G6" s="56"/>
      <c r="H6" s="56"/>
      <c r="I6" s="56"/>
      <c r="J6" s="57"/>
      <c r="K6" s="22" t="s">
        <v>25</v>
      </c>
      <c r="L6" s="22"/>
      <c r="M6" s="22"/>
      <c r="N6" s="22"/>
      <c r="O6" s="22"/>
      <c r="P6" s="22"/>
      <c r="Q6" s="22"/>
      <c r="R6" s="22"/>
      <c r="S6" s="58"/>
      <c r="T6" s="21" t="str">
        <f>+B6</f>
        <v>ENERO de 2026</v>
      </c>
      <c r="U6" s="59"/>
      <c r="V6" s="59"/>
      <c r="W6" s="59"/>
      <c r="X6" s="22" t="s">
        <v>25</v>
      </c>
      <c r="Y6" s="22"/>
      <c r="Z6" s="22"/>
      <c r="AA6" s="22"/>
      <c r="AB6" s="22"/>
      <c r="AC6" s="22"/>
    </row>
    <row r="7" spans="1:35" s="61" customFormat="1" ht="15.75" customHeight="1" x14ac:dyDescent="0.2">
      <c r="A7" s="60"/>
      <c r="D7" s="61" t="str">
        <f>"Ppto "&amp;Paramet!F3</f>
        <v>Ppto 2026</v>
      </c>
      <c r="F7" s="61" t="str">
        <f>"Real "&amp;Paramet!F3</f>
        <v>Real 2026</v>
      </c>
      <c r="G7" s="62" t="s">
        <v>26</v>
      </c>
      <c r="I7" s="61" t="str">
        <f>"Real "&amp;Paramet!F4</f>
        <v>Real 2025</v>
      </c>
      <c r="J7" s="62" t="s">
        <v>27</v>
      </c>
      <c r="K7" s="62"/>
      <c r="L7" s="61" t="str">
        <f>+D7</f>
        <v>Ppto 2026</v>
      </c>
      <c r="M7" s="62"/>
      <c r="N7" s="61" t="str">
        <f>+F7</f>
        <v>Real 2026</v>
      </c>
      <c r="O7" s="62" t="s">
        <v>26</v>
      </c>
      <c r="P7" s="62" t="str">
        <f>+I7</f>
        <v>Real 2025</v>
      </c>
      <c r="Q7" s="62"/>
      <c r="R7" s="62" t="s">
        <v>27</v>
      </c>
      <c r="S7" s="63"/>
      <c r="U7" s="61" t="str">
        <f>+D7</f>
        <v>Ppto 2026</v>
      </c>
      <c r="V7" s="61" t="str">
        <f>+N7</f>
        <v>Real 2026</v>
      </c>
      <c r="W7" s="61" t="str">
        <f>+I7</f>
        <v>Real 2025</v>
      </c>
      <c r="X7" s="61" t="str">
        <f>+U7</f>
        <v>Ppto 2026</v>
      </c>
      <c r="Y7" s="61" t="str">
        <f>+V7</f>
        <v>Real 2026</v>
      </c>
      <c r="Z7" s="61" t="s">
        <v>28</v>
      </c>
      <c r="AA7" s="61" t="s">
        <v>26</v>
      </c>
      <c r="AB7" s="61" t="str">
        <f>+W7</f>
        <v>Real 2025</v>
      </c>
      <c r="AC7" s="61" t="s">
        <v>27</v>
      </c>
    </row>
    <row r="8" spans="1:35" ht="13.5" thickBot="1" x14ac:dyDescent="0.25">
      <c r="A8" s="64" t="s">
        <v>65</v>
      </c>
      <c r="B8" s="65" t="s">
        <v>29</v>
      </c>
      <c r="C8" s="66" t="s">
        <v>30</v>
      </c>
      <c r="D8" s="66" t="s">
        <v>31</v>
      </c>
      <c r="E8" s="66" t="s">
        <v>30</v>
      </c>
      <c r="F8" s="66" t="s">
        <v>31</v>
      </c>
      <c r="G8" s="66" t="s">
        <v>32</v>
      </c>
      <c r="H8" s="66" t="s">
        <v>30</v>
      </c>
      <c r="I8" s="66" t="s">
        <v>31</v>
      </c>
      <c r="J8" s="66" t="s">
        <v>32</v>
      </c>
      <c r="K8" s="66" t="s">
        <v>30</v>
      </c>
      <c r="L8" s="66" t="s">
        <v>31</v>
      </c>
      <c r="M8" s="66" t="s">
        <v>30</v>
      </c>
      <c r="N8" s="66" t="s">
        <v>31</v>
      </c>
      <c r="O8" s="66" t="s">
        <v>32</v>
      </c>
      <c r="P8" s="66" t="s">
        <v>30</v>
      </c>
      <c r="Q8" s="66" t="s">
        <v>31</v>
      </c>
      <c r="R8" s="66" t="s">
        <v>32</v>
      </c>
      <c r="S8" s="58"/>
      <c r="T8" s="30"/>
      <c r="U8" s="31"/>
      <c r="V8" s="31"/>
      <c r="W8" s="31"/>
      <c r="X8" s="31"/>
      <c r="Y8" s="31"/>
      <c r="Z8" s="31"/>
      <c r="AA8" s="31" t="s">
        <v>32</v>
      </c>
      <c r="AB8" s="31"/>
      <c r="AC8" s="31" t="s">
        <v>32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2" t="s">
        <v>66</v>
      </c>
      <c r="B10" s="3" t="s">
        <v>67</v>
      </c>
      <c r="C10" s="33">
        <v>447825</v>
      </c>
      <c r="D10" s="35">
        <f t="shared" ref="D10:D15" si="0">+C10/$C$20</f>
        <v>0.45618830010584038</v>
      </c>
      <c r="E10" s="33">
        <v>360127.53899999999</v>
      </c>
      <c r="F10" s="35">
        <f t="shared" ref="F10:F20" si="1">+E10/$E$20</f>
        <v>0.42950690629116883</v>
      </c>
      <c r="G10" s="35">
        <f t="shared" ref="G10:G20" si="2">IF(C10=0,"",(E10-C10)/ABS(C10)+1)</f>
        <v>0.80417024284039518</v>
      </c>
      <c r="H10" s="33">
        <v>436845.17</v>
      </c>
      <c r="I10" s="35">
        <f t="shared" ref="I10:I18" si="3">+H10/$H$20</f>
        <v>0.4621068876526398</v>
      </c>
      <c r="J10" s="35">
        <f t="shared" ref="J10:J20" si="4">IF(H10=0,"",(E10-H10)/ABS(H10))</f>
        <v>-0.17561744130077023</v>
      </c>
      <c r="K10" s="33">
        <v>447825</v>
      </c>
      <c r="L10" s="35">
        <f t="shared" ref="L10:L46" si="5">+K10/$K$20</f>
        <v>0.45618830010584038</v>
      </c>
      <c r="M10" s="33">
        <v>360127.53899999999</v>
      </c>
      <c r="N10" s="35">
        <f t="shared" ref="N10:N20" si="6">+M10/$M$20</f>
        <v>0.42950690629116883</v>
      </c>
      <c r="O10" s="35">
        <f t="shared" ref="O10:O19" si="7">IF(K10=0,"",(M10-K10)/ABS(K10)+1)</f>
        <v>0.80417024284039518</v>
      </c>
      <c r="P10" s="33">
        <v>436845.17</v>
      </c>
      <c r="Q10" s="35">
        <f t="shared" ref="Q10:Q46" si="8">+P10/$P$20</f>
        <v>0.4621068876526398</v>
      </c>
      <c r="R10" s="35">
        <f t="shared" ref="R10:R18" si="9">IF(P10=0,"",(M10-P10)/ABS(P10))</f>
        <v>-0.17561744130077023</v>
      </c>
      <c r="S10" s="67"/>
      <c r="T10" s="3" t="s">
        <v>33</v>
      </c>
      <c r="U10" s="33">
        <f>+V10</f>
        <v>40346</v>
      </c>
      <c r="V10" s="33">
        <v>40346</v>
      </c>
      <c r="W10" s="33">
        <v>125133</v>
      </c>
      <c r="X10" s="33">
        <v>40346</v>
      </c>
      <c r="Y10" s="33">
        <v>40346</v>
      </c>
      <c r="Z10" s="63">
        <f>+Y10-X10</f>
        <v>0</v>
      </c>
      <c r="AA10" s="68">
        <f>IF(X10=0,"",(Y10-X10)/ABS(X10)+1)</f>
        <v>1</v>
      </c>
      <c r="AB10" s="33">
        <v>125133</v>
      </c>
      <c r="AC10" s="35">
        <f>IF(W10=0,"",(Y10-AB10)/ABS(AB10))</f>
        <v>-0.67757506013601532</v>
      </c>
      <c r="AD10" s="53"/>
      <c r="AE10" s="53"/>
      <c r="AF10" s="53"/>
      <c r="AH10" s="53"/>
    </row>
    <row r="11" spans="1:35" x14ac:dyDescent="0.2">
      <c r="A11" s="39" t="s">
        <v>68</v>
      </c>
      <c r="B11" s="3" t="s">
        <v>69</v>
      </c>
      <c r="C11" s="33">
        <v>19623</v>
      </c>
      <c r="D11" s="35">
        <f t="shared" si="0"/>
        <v>1.9989466896615654E-2</v>
      </c>
      <c r="E11" s="33">
        <v>2237.2190000000001</v>
      </c>
      <c r="F11" s="35">
        <f t="shared" si="1"/>
        <v>2.6682241909464816E-3</v>
      </c>
      <c r="G11" s="35">
        <f t="shared" si="2"/>
        <v>0.11401003923966779</v>
      </c>
      <c r="H11" s="33">
        <v>19206.948</v>
      </c>
      <c r="I11" s="35">
        <f t="shared" si="3"/>
        <v>2.0317640141439806E-2</v>
      </c>
      <c r="J11" s="35">
        <f t="shared" si="4"/>
        <v>-0.88352032816457871</v>
      </c>
      <c r="K11" s="33">
        <v>19623</v>
      </c>
      <c r="L11" s="35">
        <f t="shared" si="5"/>
        <v>1.9989466896615654E-2</v>
      </c>
      <c r="M11" s="33">
        <v>2237.2190000000001</v>
      </c>
      <c r="N11" s="35">
        <f t="shared" si="6"/>
        <v>2.6682241909464816E-3</v>
      </c>
      <c r="O11" s="35">
        <f t="shared" si="7"/>
        <v>0.11401003923966779</v>
      </c>
      <c r="P11" s="33">
        <v>19206.948</v>
      </c>
      <c r="Q11" s="35">
        <f t="shared" si="8"/>
        <v>2.0317640141439806E-2</v>
      </c>
      <c r="R11" s="35">
        <f t="shared" si="9"/>
        <v>-0.88352032816457871</v>
      </c>
      <c r="S11" s="67"/>
      <c r="T11" s="3" t="s">
        <v>34</v>
      </c>
      <c r="U11" s="33">
        <v>1048877.9825200001</v>
      </c>
      <c r="V11" s="33">
        <v>1048877.9825200001</v>
      </c>
      <c r="W11" s="33">
        <v>1150933.00828</v>
      </c>
      <c r="X11" s="33">
        <v>1048877.9825200001</v>
      </c>
      <c r="Y11" s="33">
        <v>1048877.9825200001</v>
      </c>
      <c r="Z11" s="63">
        <f>+Y11-X11</f>
        <v>0</v>
      </c>
      <c r="AA11" s="68">
        <f>IF(X11=0,"",(Y11-X11)/ABS(X11)+1)</f>
        <v>1</v>
      </c>
      <c r="AB11" s="33">
        <v>1150933.00828</v>
      </c>
      <c r="AC11" s="35">
        <f>IF(AB11=0,"",(Y11-AB11)/ABS(AB11))</f>
        <v>-8.867156039995322E-2</v>
      </c>
      <c r="AD11" s="53"/>
      <c r="AE11" s="53"/>
      <c r="AF11" s="53"/>
      <c r="AG11" s="53"/>
      <c r="AH11" s="53"/>
      <c r="AI11" s="55"/>
    </row>
    <row r="12" spans="1:35" x14ac:dyDescent="0.2">
      <c r="A12" s="39" t="s">
        <v>70</v>
      </c>
      <c r="B12" s="3" t="s">
        <v>71</v>
      </c>
      <c r="C12" s="33">
        <v>88410</v>
      </c>
      <c r="D12" s="35">
        <f t="shared" si="0"/>
        <v>9.0061089962278448E-2</v>
      </c>
      <c r="E12" s="33">
        <v>72001.100999999995</v>
      </c>
      <c r="F12" s="35">
        <f t="shared" si="1"/>
        <v>8.5872272434205546E-2</v>
      </c>
      <c r="G12" s="35">
        <f t="shared" si="2"/>
        <v>0.8143999660671869</v>
      </c>
      <c r="H12" s="33">
        <v>64450.296000000002</v>
      </c>
      <c r="I12" s="35">
        <f t="shared" si="3"/>
        <v>6.8177303397566197E-2</v>
      </c>
      <c r="J12" s="35">
        <f t="shared" si="4"/>
        <v>0.11715702593514843</v>
      </c>
      <c r="K12" s="33">
        <v>88410</v>
      </c>
      <c r="L12" s="35">
        <f t="shared" si="5"/>
        <v>9.0061089962278448E-2</v>
      </c>
      <c r="M12" s="33">
        <v>72001.100999999995</v>
      </c>
      <c r="N12" s="35">
        <f t="shared" si="6"/>
        <v>8.5872272434205546E-2</v>
      </c>
      <c r="O12" s="35">
        <f t="shared" si="7"/>
        <v>0.8143999660671869</v>
      </c>
      <c r="P12" s="33">
        <v>64450.296000000002</v>
      </c>
      <c r="Q12" s="35">
        <f t="shared" si="8"/>
        <v>6.8177303397566197E-2</v>
      </c>
      <c r="R12" s="35">
        <f t="shared" si="9"/>
        <v>0.11715702593514843</v>
      </c>
      <c r="S12" s="67"/>
      <c r="T12" s="2" t="s">
        <v>72</v>
      </c>
      <c r="U12" s="55">
        <f>+V12</f>
        <v>0</v>
      </c>
      <c r="V12" s="33"/>
      <c r="W12" s="33"/>
      <c r="X12" s="33">
        <f>+Y12</f>
        <v>0</v>
      </c>
      <c r="Y12" s="33"/>
      <c r="AB12" s="33"/>
      <c r="AD12" s="53"/>
      <c r="AE12" s="53"/>
      <c r="AF12" s="53"/>
      <c r="AG12" s="53"/>
      <c r="AH12" s="53"/>
      <c r="AI12" s="55"/>
    </row>
    <row r="13" spans="1:35" x14ac:dyDescent="0.2">
      <c r="A13" s="39" t="s">
        <v>73</v>
      </c>
      <c r="B13" s="3" t="s">
        <v>74</v>
      </c>
      <c r="C13" s="33">
        <v>41585</v>
      </c>
      <c r="D13" s="35">
        <f t="shared" si="0"/>
        <v>4.2361615496904752E-2</v>
      </c>
      <c r="E13" s="33">
        <v>63782.828999999998</v>
      </c>
      <c r="F13" s="35">
        <f t="shared" si="1"/>
        <v>7.6070732147725709E-2</v>
      </c>
      <c r="G13" s="35">
        <f t="shared" si="2"/>
        <v>1.5337941324996993</v>
      </c>
      <c r="H13" s="33">
        <v>85021.883000000002</v>
      </c>
      <c r="I13" s="35">
        <f t="shared" si="3"/>
        <v>8.9938496368168364E-2</v>
      </c>
      <c r="J13" s="35">
        <f t="shared" si="4"/>
        <v>-0.24980691147477882</v>
      </c>
      <c r="K13" s="33">
        <v>41585</v>
      </c>
      <c r="L13" s="35">
        <f t="shared" si="5"/>
        <v>4.2361615496904752E-2</v>
      </c>
      <c r="M13" s="33">
        <v>63782.828999999998</v>
      </c>
      <c r="N13" s="35">
        <f t="shared" si="6"/>
        <v>7.6070732147725709E-2</v>
      </c>
      <c r="O13" s="35">
        <f t="shared" si="7"/>
        <v>1.5337941324996993</v>
      </c>
      <c r="P13" s="33">
        <v>85021.883000000002</v>
      </c>
      <c r="Q13" s="35">
        <f t="shared" si="8"/>
        <v>8.9938496368168364E-2</v>
      </c>
      <c r="R13" s="35">
        <f t="shared" si="9"/>
        <v>-0.24980691147477882</v>
      </c>
      <c r="S13" s="67"/>
      <c r="T13" s="3" t="s">
        <v>35</v>
      </c>
      <c r="U13" s="33">
        <v>199514.117</v>
      </c>
      <c r="V13" s="33">
        <v>199514.117</v>
      </c>
      <c r="W13" s="33">
        <v>165803.79199999999</v>
      </c>
      <c r="X13" s="33">
        <v>199514.117</v>
      </c>
      <c r="Y13" s="33">
        <v>199514.117</v>
      </c>
      <c r="Z13" s="63">
        <f>+X13-Y13</f>
        <v>0</v>
      </c>
      <c r="AA13" s="68">
        <f>IF(X13=0,"",(Y13-X13)/ABS(X13)+1)</f>
        <v>1</v>
      </c>
      <c r="AB13" s="33">
        <v>165803.79199999999</v>
      </c>
      <c r="AC13" s="35">
        <f>IF(AB13=0,"",(Y13-AB13)/ABS(AB13))</f>
        <v>0.20331455989860603</v>
      </c>
      <c r="AD13" s="53"/>
      <c r="AE13" s="53"/>
      <c r="AF13" s="53"/>
      <c r="AG13" s="53"/>
      <c r="AH13" s="53"/>
      <c r="AI13" s="55"/>
    </row>
    <row r="14" spans="1:35" x14ac:dyDescent="0.2">
      <c r="A14" s="39">
        <v>4170250500</v>
      </c>
      <c r="B14" s="3" t="s">
        <v>75</v>
      </c>
      <c r="C14" s="33">
        <v>0</v>
      </c>
      <c r="D14" s="35">
        <f t="shared" si="0"/>
        <v>0</v>
      </c>
      <c r="E14" s="33">
        <v>0</v>
      </c>
      <c r="F14" s="35">
        <f t="shared" si="1"/>
        <v>0</v>
      </c>
      <c r="G14" s="35" t="str">
        <f t="shared" si="2"/>
        <v/>
      </c>
      <c r="H14" s="33">
        <v>0</v>
      </c>
      <c r="I14" s="35">
        <f t="shared" si="3"/>
        <v>0</v>
      </c>
      <c r="J14" s="35" t="e">
        <f t="shared" si="4"/>
        <v>#DIV/0!</v>
      </c>
      <c r="K14" s="33">
        <v>0</v>
      </c>
      <c r="L14" s="35">
        <f t="shared" si="5"/>
        <v>0</v>
      </c>
      <c r="M14" s="33">
        <v>0</v>
      </c>
      <c r="N14" s="35">
        <f t="shared" si="6"/>
        <v>0</v>
      </c>
      <c r="O14" s="35" t="str">
        <f t="shared" si="7"/>
        <v/>
      </c>
      <c r="P14" s="33">
        <v>0</v>
      </c>
      <c r="Q14" s="35">
        <f t="shared" si="8"/>
        <v>0</v>
      </c>
      <c r="R14" s="35" t="str">
        <f t="shared" si="9"/>
        <v/>
      </c>
      <c r="S14" s="67"/>
      <c r="T14" s="3" t="s">
        <v>36</v>
      </c>
      <c r="U14" s="33">
        <v>9191.5490000000009</v>
      </c>
      <c r="V14" s="33">
        <v>9191.5490000000009</v>
      </c>
      <c r="W14" s="33">
        <v>19127.453000000001</v>
      </c>
      <c r="X14" s="33">
        <v>9191.5490000000009</v>
      </c>
      <c r="Y14" s="33">
        <v>9191.5490000000009</v>
      </c>
      <c r="Z14" s="63">
        <f>+X14-Y14</f>
        <v>0</v>
      </c>
      <c r="AA14" s="68">
        <f>IF(X14=0,"",(Y14-X14)/ABS(X14)+1)</f>
        <v>1</v>
      </c>
      <c r="AB14" s="33">
        <v>19127.453000000001</v>
      </c>
      <c r="AC14" s="35">
        <f>IF(AB14=0,"",(Y14-AB14)/ABS(AB14))</f>
        <v>-0.51945776575689406</v>
      </c>
      <c r="AD14" s="53"/>
      <c r="AE14" s="53"/>
      <c r="AF14" s="53"/>
      <c r="AG14" s="53"/>
      <c r="AH14" s="53"/>
      <c r="AI14" s="55"/>
    </row>
    <row r="15" spans="1:35" x14ac:dyDescent="0.2">
      <c r="A15" s="39" t="s">
        <v>76</v>
      </c>
      <c r="B15" s="3" t="s">
        <v>77</v>
      </c>
      <c r="C15" s="33">
        <v>139561</v>
      </c>
      <c r="D15" s="35">
        <f t="shared" si="0"/>
        <v>0.14216735410276601</v>
      </c>
      <c r="E15" s="33">
        <v>122958.01</v>
      </c>
      <c r="F15" s="35">
        <f t="shared" si="1"/>
        <v>0.14664614271228671</v>
      </c>
      <c r="G15" s="35">
        <f t="shared" si="2"/>
        <v>0.88103417143757923</v>
      </c>
      <c r="H15" s="33">
        <v>138090.03200000001</v>
      </c>
      <c r="I15" s="35">
        <f t="shared" si="3"/>
        <v>0.1460754502639309</v>
      </c>
      <c r="J15" s="35">
        <f t="shared" si="4"/>
        <v>-0.10958084215665916</v>
      </c>
      <c r="K15" s="33">
        <v>139561</v>
      </c>
      <c r="L15" s="35">
        <f t="shared" si="5"/>
        <v>0.14216735410276601</v>
      </c>
      <c r="M15" s="33">
        <v>122958.01</v>
      </c>
      <c r="N15" s="35">
        <f t="shared" si="6"/>
        <v>0.14664614271228671</v>
      </c>
      <c r="O15" s="35">
        <f t="shared" si="7"/>
        <v>0.88103417143757923</v>
      </c>
      <c r="P15" s="33">
        <v>138090.03200000001</v>
      </c>
      <c r="Q15" s="35">
        <f t="shared" si="8"/>
        <v>0.1460754502639309</v>
      </c>
      <c r="R15" s="35">
        <f t="shared" si="9"/>
        <v>-0.10958084215665916</v>
      </c>
      <c r="S15" s="67"/>
      <c r="T15" s="3" t="s">
        <v>37</v>
      </c>
      <c r="U15" s="33">
        <v>598376.26500000001</v>
      </c>
      <c r="V15" s="33">
        <v>598376.26500000001</v>
      </c>
      <c r="W15" s="33">
        <v>519236.29300000001</v>
      </c>
      <c r="X15" s="33">
        <v>598376.26500000001</v>
      </c>
      <c r="Y15" s="33">
        <v>598376.26500000001</v>
      </c>
      <c r="Z15" s="63">
        <f>+X15-Y15</f>
        <v>0</v>
      </c>
      <c r="AA15" s="68">
        <f>IF(X15=0,"",(Y15-X15)/ABS(X15)+1)</f>
        <v>1</v>
      </c>
      <c r="AB15" s="33">
        <v>519236.29300000001</v>
      </c>
      <c r="AC15" s="35">
        <f>IF(AB15=0,"",(Y15-AB15)/ABS(AB15))</f>
        <v>0.15241610239290421</v>
      </c>
      <c r="AD15" s="53"/>
      <c r="AE15" s="53"/>
      <c r="AF15" s="53"/>
      <c r="AG15" s="53"/>
      <c r="AH15" s="53"/>
      <c r="AI15" s="55"/>
    </row>
    <row r="16" spans="1:35" x14ac:dyDescent="0.2">
      <c r="A16" s="39">
        <v>4155951000</v>
      </c>
      <c r="B16" s="3" t="s">
        <v>78</v>
      </c>
      <c r="C16" s="33">
        <v>0</v>
      </c>
      <c r="D16" s="35"/>
      <c r="E16" s="33">
        <v>0</v>
      </c>
      <c r="F16" s="35">
        <f t="shared" si="1"/>
        <v>0</v>
      </c>
      <c r="G16" s="35" t="str">
        <f t="shared" si="2"/>
        <v/>
      </c>
      <c r="H16" s="33">
        <v>0</v>
      </c>
      <c r="I16" s="35">
        <f t="shared" si="3"/>
        <v>0</v>
      </c>
      <c r="J16" s="35" t="e">
        <f t="shared" si="4"/>
        <v>#DIV/0!</v>
      </c>
      <c r="K16" s="33">
        <v>0</v>
      </c>
      <c r="L16" s="35">
        <f t="shared" si="5"/>
        <v>0</v>
      </c>
      <c r="M16" s="33">
        <v>0</v>
      </c>
      <c r="N16" s="35">
        <f t="shared" si="6"/>
        <v>0</v>
      </c>
      <c r="O16" s="35" t="str">
        <f t="shared" si="7"/>
        <v/>
      </c>
      <c r="P16" s="33">
        <v>0</v>
      </c>
      <c r="Q16" s="35">
        <f t="shared" si="8"/>
        <v>0</v>
      </c>
      <c r="R16" s="35" t="str">
        <f t="shared" si="9"/>
        <v/>
      </c>
      <c r="S16" s="67"/>
      <c r="T16" s="3" t="s">
        <v>38</v>
      </c>
      <c r="U16" s="33">
        <v>158162.24056999999</v>
      </c>
      <c r="V16" s="33">
        <v>158162.24056999999</v>
      </c>
      <c r="W16" s="33">
        <v>275593.43650000001</v>
      </c>
      <c r="X16" s="33">
        <v>158162.24056999999</v>
      </c>
      <c r="Y16" s="33">
        <v>158162.24056999999</v>
      </c>
      <c r="Z16" s="63">
        <f>+X16-Y16</f>
        <v>0</v>
      </c>
      <c r="AA16" s="68">
        <f>IF(X16=0,"",(Y16-X16)/ABS(X16)+1)</f>
        <v>1</v>
      </c>
      <c r="AB16" s="33">
        <v>275593.43650000001</v>
      </c>
      <c r="AC16" s="35">
        <f>IF(AB16=0,"",(Y16-AB16)/ABS(AB16))</f>
        <v>-0.42610302125246735</v>
      </c>
      <c r="AD16" s="53"/>
      <c r="AE16" s="53"/>
      <c r="AF16" s="53"/>
      <c r="AG16" s="53"/>
      <c r="AH16" s="53"/>
      <c r="AI16" s="55"/>
    </row>
    <row r="17" spans="1:35" x14ac:dyDescent="0.2">
      <c r="A17" s="39" t="s">
        <v>79</v>
      </c>
      <c r="B17" s="3" t="s">
        <v>80</v>
      </c>
      <c r="C17" s="33">
        <v>13844</v>
      </c>
      <c r="D17" s="35">
        <f>+C17/$C$20</f>
        <v>1.410254190066489E-2</v>
      </c>
      <c r="E17" s="33">
        <v>16265.067999999999</v>
      </c>
      <c r="F17" s="35">
        <f t="shared" si="1"/>
        <v>1.9398569342111569E-2</v>
      </c>
      <c r="G17" s="35">
        <f t="shared" si="2"/>
        <v>1.1748821149956659</v>
      </c>
      <c r="H17" s="33">
        <v>12848.95</v>
      </c>
      <c r="I17" s="35">
        <f t="shared" si="3"/>
        <v>1.3591974232207689E-2</v>
      </c>
      <c r="J17" s="35">
        <f t="shared" si="4"/>
        <v>0.26586748333521404</v>
      </c>
      <c r="K17" s="33">
        <v>13844</v>
      </c>
      <c r="L17" s="35">
        <f t="shared" si="5"/>
        <v>1.410254190066489E-2</v>
      </c>
      <c r="M17" s="33">
        <v>16265.067999999999</v>
      </c>
      <c r="N17" s="35">
        <f t="shared" si="6"/>
        <v>1.9398569342111569E-2</v>
      </c>
      <c r="O17" s="35">
        <f t="shared" si="7"/>
        <v>1.1748821149956659</v>
      </c>
      <c r="P17" s="33">
        <v>12848.95</v>
      </c>
      <c r="Q17" s="35">
        <f t="shared" si="8"/>
        <v>1.3591974232207689E-2</v>
      </c>
      <c r="R17" s="35">
        <f t="shared" si="9"/>
        <v>0.26586748333521404</v>
      </c>
      <c r="S17" s="67"/>
      <c r="T17" s="3" t="s">
        <v>39</v>
      </c>
      <c r="U17" s="33">
        <f t="shared" ref="U17:X17" si="10">SUM(U13:U16)</f>
        <v>965244.17157000001</v>
      </c>
      <c r="V17" s="33">
        <f>SUM(V13:V16)</f>
        <v>965244.17157000001</v>
      </c>
      <c r="W17" s="33">
        <f>SUM(W13:W16)</f>
        <v>979760.97450000001</v>
      </c>
      <c r="X17" s="33">
        <f t="shared" si="10"/>
        <v>965244.17157000001</v>
      </c>
      <c r="Y17" s="33">
        <f>SUM(Y13:Y16)</f>
        <v>965244.17157000001</v>
      </c>
      <c r="Z17" s="63">
        <f>+Y17-X17</f>
        <v>0</v>
      </c>
      <c r="AA17" s="68">
        <f>IF(X17=0,"",(Y17-X17)/ABS(X17)+1)</f>
        <v>1</v>
      </c>
      <c r="AB17" s="33">
        <f t="shared" ref="AB17" si="11">SUM(AB13:AB16)</f>
        <v>979760.97450000001</v>
      </c>
      <c r="AC17" s="35">
        <f>IF(AB17=0,"",(Y17-AB17)/ABS(AB17))</f>
        <v>-1.4816678054980036E-2</v>
      </c>
      <c r="AD17" s="53"/>
      <c r="AE17" s="53"/>
      <c r="AF17" s="53"/>
      <c r="AG17" s="53"/>
      <c r="AH17" s="53"/>
      <c r="AI17" s="55"/>
    </row>
    <row r="18" spans="1:35" x14ac:dyDescent="0.2">
      <c r="A18" s="39" t="s">
        <v>81</v>
      </c>
      <c r="B18" s="3" t="s">
        <v>82</v>
      </c>
      <c r="C18" s="33">
        <v>228585</v>
      </c>
      <c r="D18" s="42">
        <f t="shared" ref="D18:D46" si="12">+C18/$C$20</f>
        <v>0.23285391074570094</v>
      </c>
      <c r="E18" s="33">
        <v>196218.17300000001</v>
      </c>
      <c r="F18" s="35">
        <f t="shared" si="1"/>
        <v>0.23402003822688874</v>
      </c>
      <c r="G18" s="35">
        <f t="shared" si="2"/>
        <v>0.85840353916486212</v>
      </c>
      <c r="H18" s="33">
        <v>132354.448</v>
      </c>
      <c r="I18" s="35">
        <f t="shared" si="3"/>
        <v>0.14000819107663057</v>
      </c>
      <c r="J18" s="42">
        <f t="shared" si="4"/>
        <v>0.48252042878075396</v>
      </c>
      <c r="K18" s="33">
        <v>228585</v>
      </c>
      <c r="L18" s="35">
        <f t="shared" si="5"/>
        <v>0.23285391074570094</v>
      </c>
      <c r="M18" s="33">
        <v>196218.17300000001</v>
      </c>
      <c r="N18" s="35">
        <f t="shared" si="6"/>
        <v>0.23402003822688874</v>
      </c>
      <c r="O18" s="35">
        <f t="shared" si="7"/>
        <v>0.85840353916486212</v>
      </c>
      <c r="P18" s="33">
        <v>132354.448</v>
      </c>
      <c r="Q18" s="35">
        <f t="shared" si="8"/>
        <v>0.14000819107663057</v>
      </c>
      <c r="R18" s="42">
        <f t="shared" si="9"/>
        <v>0.48252042878075396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2" t="s">
        <v>83</v>
      </c>
      <c r="B19" s="3" t="s">
        <v>84</v>
      </c>
      <c r="C19" s="33">
        <v>2234</v>
      </c>
      <c r="D19" s="35">
        <f t="shared" si="12"/>
        <v>2.2757207892289341E-3</v>
      </c>
      <c r="E19" s="33">
        <v>4877.4610000000002</v>
      </c>
      <c r="F19" s="35">
        <f t="shared" si="1"/>
        <v>5.8171146546663593E-3</v>
      </c>
      <c r="G19" s="35">
        <f t="shared" si="2"/>
        <v>2.1832860340196958</v>
      </c>
      <c r="H19" s="33">
        <v>56515.877999999997</v>
      </c>
      <c r="I19" s="35"/>
      <c r="J19" s="35">
        <f t="shared" si="4"/>
        <v>-0.91369750992809484</v>
      </c>
      <c r="K19" s="33">
        <v>2234</v>
      </c>
      <c r="L19" s="35">
        <f t="shared" si="5"/>
        <v>2.2757207892289341E-3</v>
      </c>
      <c r="M19" s="33">
        <v>4877.4610000000002</v>
      </c>
      <c r="N19" s="35">
        <f t="shared" si="6"/>
        <v>5.8171146546663593E-3</v>
      </c>
      <c r="O19" s="35">
        <f t="shared" si="7"/>
        <v>2.1832860340196958</v>
      </c>
      <c r="P19" s="33">
        <v>56515.877999999997</v>
      </c>
      <c r="Q19" s="35">
        <f t="shared" si="8"/>
        <v>5.9784056867416661E-2</v>
      </c>
      <c r="R19" s="35"/>
      <c r="S19" s="67"/>
      <c r="T19" s="3" t="s">
        <v>40</v>
      </c>
      <c r="U19" s="33">
        <f>U11-U17</f>
        <v>83633.810950000072</v>
      </c>
      <c r="V19" s="33">
        <f>V11-V17</f>
        <v>83633.810950000072</v>
      </c>
      <c r="W19" s="33">
        <f>W11-W17</f>
        <v>171172.03377999994</v>
      </c>
      <c r="X19" s="33">
        <f>X11-X17</f>
        <v>83633.810950000072</v>
      </c>
      <c r="Y19" s="33">
        <f>Y11-Y17</f>
        <v>83633.810950000072</v>
      </c>
      <c r="Z19" s="33">
        <f>+Y19-X19</f>
        <v>0</v>
      </c>
      <c r="AA19" s="68">
        <f>IF(X19=0,"",(Y19-X19)/ABS(X19)+1)</f>
        <v>1</v>
      </c>
      <c r="AB19" s="33">
        <f>AB11-AB17</f>
        <v>171172.03377999994</v>
      </c>
      <c r="AC19" s="35">
        <f>IF(AB19=0,"",(Y19-AB19)/ABS(AB19))</f>
        <v>-0.51140493512222318</v>
      </c>
      <c r="AD19" s="53"/>
      <c r="AE19" s="53"/>
      <c r="AF19" s="53"/>
      <c r="AG19" s="53"/>
      <c r="AH19" s="53"/>
    </row>
    <row r="20" spans="1:35" x14ac:dyDescent="0.2">
      <c r="B20" s="21" t="s">
        <v>41</v>
      </c>
      <c r="C20" s="69">
        <f>SUM(C10:C19)</f>
        <v>981667</v>
      </c>
      <c r="D20" s="45">
        <f t="shared" si="12"/>
        <v>1</v>
      </c>
      <c r="E20" s="69">
        <f>SUM(E10:E19)</f>
        <v>838467.4</v>
      </c>
      <c r="F20" s="45">
        <f t="shared" si="1"/>
        <v>1</v>
      </c>
      <c r="G20" s="45">
        <f t="shared" si="2"/>
        <v>0.8541260936753502</v>
      </c>
      <c r="H20" s="69">
        <f>SUM(H10:H19)</f>
        <v>945333.60499999998</v>
      </c>
      <c r="I20" s="45">
        <f>+H22/$H$22</f>
        <v>1</v>
      </c>
      <c r="J20" s="45">
        <f t="shared" si="4"/>
        <v>-0.11304602357809967</v>
      </c>
      <c r="K20" s="69">
        <f>SUM(K10:K19)</f>
        <v>981667</v>
      </c>
      <c r="L20" s="45">
        <f t="shared" si="5"/>
        <v>1</v>
      </c>
      <c r="M20" s="69">
        <f>SUM(M10:M19)</f>
        <v>838467.4</v>
      </c>
      <c r="N20" s="45">
        <f t="shared" si="6"/>
        <v>1</v>
      </c>
      <c r="O20" s="45">
        <f>IF(K20=0,"",(M20-K20)/ABS(K20)+1)</f>
        <v>0.8541260936753502</v>
      </c>
      <c r="P20" s="69">
        <f>SUM(P10:P19)</f>
        <v>945333.60499999998</v>
      </c>
      <c r="Q20" s="45">
        <f t="shared" si="8"/>
        <v>1</v>
      </c>
      <c r="R20" s="45">
        <f>IF(P20=0,"",(M20-P20)/ABS(P20))</f>
        <v>-0.11304602357809967</v>
      </c>
      <c r="S20" s="67"/>
      <c r="T20" s="3"/>
      <c r="U20" s="33"/>
      <c r="V20" s="33"/>
      <c r="W20" s="33"/>
      <c r="X20" s="33"/>
      <c r="Y20" s="33"/>
      <c r="Z20" s="63"/>
      <c r="AA20" s="68"/>
      <c r="AB20" s="33"/>
      <c r="AC20" s="35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3"/>
      <c r="D21" s="35"/>
      <c r="E21" s="33"/>
      <c r="F21" s="35"/>
      <c r="G21" s="35"/>
      <c r="H21" s="33"/>
      <c r="I21" s="35"/>
      <c r="J21" s="35"/>
      <c r="K21" s="33"/>
      <c r="L21" s="35"/>
      <c r="M21" s="33"/>
      <c r="N21" s="35"/>
      <c r="O21" s="35"/>
      <c r="P21" s="33"/>
      <c r="Q21" s="35"/>
      <c r="R21" s="35"/>
      <c r="S21" s="67"/>
      <c r="T21" s="3" t="s">
        <v>42</v>
      </c>
      <c r="U21" s="33">
        <f>+U10+U19+U12</f>
        <v>123979.81095000007</v>
      </c>
      <c r="V21" s="33">
        <f>+V10+V19+V12</f>
        <v>123979.81095000007</v>
      </c>
      <c r="W21" s="33">
        <f>+W10+W19+W12</f>
        <v>296305.03377999994</v>
      </c>
      <c r="X21" s="33">
        <f>+X10+X19+X12</f>
        <v>123979.81095000007</v>
      </c>
      <c r="Y21" s="33">
        <f>+Y10+Y19+Y12</f>
        <v>123979.81095000007</v>
      </c>
      <c r="Z21" s="63">
        <f>+Y21-X21</f>
        <v>0</v>
      </c>
      <c r="AA21" s="68">
        <f>IF(X21=0,"",(Y21-X21)/ABS(X21)+1)</f>
        <v>1</v>
      </c>
      <c r="AB21" s="33">
        <f>+AB10+AB19+AB12</f>
        <v>296305.03377999994</v>
      </c>
      <c r="AC21" s="35">
        <f>IF(AB21=0,"",(Y21-AB21)/ABS(AB21))</f>
        <v>-0.58158047682020686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43</v>
      </c>
      <c r="C22" s="33">
        <v>89977</v>
      </c>
      <c r="D22" s="35">
        <f t="shared" si="12"/>
        <v>9.1657354275940822E-2</v>
      </c>
      <c r="E22" s="33">
        <v>107654.43923</v>
      </c>
      <c r="F22" s="35">
        <f>+E22/$E$20</f>
        <v>0.12839430516916936</v>
      </c>
      <c r="G22" s="35">
        <f>IF(C22=0,"",(E22-C22)/ABS(C22)+1)</f>
        <v>1.1964661994731987</v>
      </c>
      <c r="H22" s="33">
        <v>77976.995779999997</v>
      </c>
      <c r="I22" s="35">
        <f t="shared" ref="I22:I46" si="13">+H22/$H$20</f>
        <v>8.2486220068311231E-2</v>
      </c>
      <c r="J22" s="35">
        <f>IF(H22=0,"",(E22-H22)/ABS(H22))</f>
        <v>0.38059229075367701</v>
      </c>
      <c r="K22" s="33">
        <v>89977</v>
      </c>
      <c r="L22" s="35">
        <f t="shared" si="5"/>
        <v>9.1657354275940822E-2</v>
      </c>
      <c r="M22" s="33">
        <v>107654.43923</v>
      </c>
      <c r="N22" s="35">
        <f>+M22/$M$20</f>
        <v>0.12839430516916936</v>
      </c>
      <c r="O22" s="35">
        <f>IF(K22=0,"",(M22-K22)/ABS(K22)+1)</f>
        <v>1.1964661994731987</v>
      </c>
      <c r="P22" s="33">
        <v>77976.995779999997</v>
      </c>
      <c r="Q22" s="35">
        <f t="shared" si="8"/>
        <v>8.2486220068311231E-2</v>
      </c>
      <c r="R22" s="35">
        <f>IF(P22=0,"",(M22-P22)/ABS(P22))</f>
        <v>0.38059229075367701</v>
      </c>
      <c r="S22" s="67"/>
      <c r="T22" s="3"/>
      <c r="U22" s="33"/>
      <c r="V22" s="33"/>
      <c r="W22" s="33"/>
      <c r="X22" s="33"/>
      <c r="Y22" s="33"/>
      <c r="Z22" s="63"/>
      <c r="AA22" s="68"/>
      <c r="AB22" s="33"/>
      <c r="AC22" s="35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3"/>
      <c r="D23" s="35"/>
      <c r="E23" s="33"/>
      <c r="F23" s="35"/>
      <c r="G23" s="35"/>
      <c r="H23" s="33"/>
      <c r="I23" s="35"/>
      <c r="J23" s="35"/>
      <c r="K23" s="33"/>
      <c r="L23" s="35"/>
      <c r="M23" s="33"/>
      <c r="N23" s="35"/>
      <c r="O23" s="35"/>
      <c r="P23" s="33"/>
      <c r="Q23" s="35"/>
      <c r="R23" s="35"/>
      <c r="S23" s="67"/>
      <c r="T23" s="3" t="s">
        <v>44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63">
        <f>+Y23-X23</f>
        <v>0</v>
      </c>
      <c r="AA23" s="68" t="str">
        <f>IF(X23=0,"",(Y23-X23)/ABS(X23)+1)</f>
        <v/>
      </c>
      <c r="AB23" s="33">
        <v>0</v>
      </c>
      <c r="AC23" s="35" t="str">
        <f>IF(AB23=0,"",(Y23-AB23)/ABS(AB23))</f>
        <v/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45</v>
      </c>
      <c r="C24" s="33">
        <f>+C20-C22</f>
        <v>891690</v>
      </c>
      <c r="D24" s="35">
        <f t="shared" si="12"/>
        <v>0.90834264572405921</v>
      </c>
      <c r="E24" s="33">
        <f>+E20-E22</f>
        <v>730812.96077000001</v>
      </c>
      <c r="F24" s="35">
        <f>+E24/$E$20</f>
        <v>0.87160569483083061</v>
      </c>
      <c r="G24" s="35">
        <f>IF(C24=0,"",(E24-C24)/ABS(C24)+1)</f>
        <v>0.81958187348742273</v>
      </c>
      <c r="H24" s="33">
        <f>+H20-H22</f>
        <v>867356.60921999998</v>
      </c>
      <c r="I24" s="35">
        <f t="shared" si="13"/>
        <v>0.91751377993168881</v>
      </c>
      <c r="J24" s="35">
        <f>IF(H24=0,"",(E24-H24)/ABS(H24))</f>
        <v>-0.15742503948034881</v>
      </c>
      <c r="K24" s="33">
        <f>+K20-K22</f>
        <v>891690</v>
      </c>
      <c r="L24" s="35">
        <f t="shared" si="5"/>
        <v>0.90834264572405921</v>
      </c>
      <c r="M24" s="33">
        <f>+M20-M22</f>
        <v>730812.96077000001</v>
      </c>
      <c r="N24" s="35">
        <f>+M24/$M$20</f>
        <v>0.87160569483083061</v>
      </c>
      <c r="O24" s="35">
        <f>IF(K24=0,"",(M24-K24)/ABS(K24)+1)</f>
        <v>0.81958187348742273</v>
      </c>
      <c r="P24" s="33">
        <f>+P20-P22</f>
        <v>867356.60921999998</v>
      </c>
      <c r="Q24" s="35">
        <f t="shared" si="8"/>
        <v>0.91751377993168881</v>
      </c>
      <c r="R24" s="35">
        <f>IF(P24=0,"",(M24-P24)/ABS(P24))</f>
        <v>-0.15742503948034881</v>
      </c>
      <c r="S24" s="67"/>
      <c r="T24" s="3"/>
      <c r="U24" s="33"/>
      <c r="V24" s="33"/>
      <c r="W24" s="33"/>
      <c r="X24" s="33"/>
      <c r="Y24" s="33"/>
      <c r="Z24" s="63"/>
      <c r="AA24" s="68"/>
      <c r="AB24" s="33"/>
      <c r="AC24" s="35"/>
      <c r="AD24" s="53"/>
      <c r="AE24" s="53"/>
      <c r="AF24" s="53"/>
      <c r="AG24" s="53"/>
      <c r="AH24" s="53"/>
      <c r="AI24" s="55"/>
    </row>
    <row r="25" spans="1:35" x14ac:dyDescent="0.2">
      <c r="B25" s="3"/>
      <c r="C25" s="33"/>
      <c r="D25" s="35"/>
      <c r="E25" s="33"/>
      <c r="F25" s="35"/>
      <c r="G25" s="35"/>
      <c r="H25" s="33"/>
      <c r="I25" s="35"/>
      <c r="J25" s="35"/>
      <c r="K25" s="33"/>
      <c r="L25" s="35"/>
      <c r="M25" s="33"/>
      <c r="N25" s="35"/>
      <c r="O25" s="35"/>
      <c r="P25" s="33"/>
      <c r="Q25" s="35"/>
      <c r="R25" s="35"/>
      <c r="S25" s="67"/>
      <c r="T25" s="3" t="s">
        <v>46</v>
      </c>
      <c r="U25" s="33">
        <v>351483.77748000005</v>
      </c>
      <c r="V25" s="33">
        <v>351483.77748000005</v>
      </c>
      <c r="W25" s="33">
        <v>304893.54135000001</v>
      </c>
      <c r="X25" s="33">
        <v>351483.77748000005</v>
      </c>
      <c r="Y25" s="33">
        <v>351483.77748000005</v>
      </c>
      <c r="Z25" s="63">
        <f>+Y25-X25</f>
        <v>0</v>
      </c>
      <c r="AA25" s="68">
        <f>IF(X25=0,"",(Y25-X25)/ABS(X25)+1)</f>
        <v>1</v>
      </c>
      <c r="AB25" s="33">
        <v>304893.54135000001</v>
      </c>
      <c r="AC25" s="35">
        <f>IF(AB25=0,"",(Y25-AB25)/ABS(AB25))</f>
        <v>0.15280820946127277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47</v>
      </c>
      <c r="C26" s="33">
        <v>175863</v>
      </c>
      <c r="D26" s="35">
        <f t="shared" si="12"/>
        <v>0.17914730759004835</v>
      </c>
      <c r="E26" s="33">
        <v>175740.34668000002</v>
      </c>
      <c r="F26" s="35">
        <f>+E26/$E$20</f>
        <v>0.20959711335229017</v>
      </c>
      <c r="G26" s="35">
        <f>IF(C26=0,"",(E26-C26)/ABS(C26)+1)</f>
        <v>0.99930256324525346</v>
      </c>
      <c r="H26" s="33">
        <v>193664.64747999999</v>
      </c>
      <c r="I26" s="35">
        <f t="shared" si="13"/>
        <v>0.20486381363751477</v>
      </c>
      <c r="J26" s="35">
        <f>IF(H26=0,"",(E26-H26)/ABS(H26))</f>
        <v>-9.2553292680074895E-2</v>
      </c>
      <c r="K26" s="33">
        <v>175863</v>
      </c>
      <c r="L26" s="35">
        <f t="shared" si="5"/>
        <v>0.17914730759004835</v>
      </c>
      <c r="M26" s="33">
        <v>175740.34668000002</v>
      </c>
      <c r="N26" s="35">
        <f>+M26/$M$20</f>
        <v>0.20959711335229017</v>
      </c>
      <c r="O26" s="35">
        <f>IF(K26=0,"",(M26-K26)/ABS(K26)+1)</f>
        <v>0.99930256324525346</v>
      </c>
      <c r="P26" s="33">
        <v>193664.64747999999</v>
      </c>
      <c r="Q26" s="35">
        <f t="shared" si="8"/>
        <v>0.20486381363751477</v>
      </c>
      <c r="R26" s="35">
        <f>IF(P26=0,"",(M26-P26)/ABS(P26))</f>
        <v>-9.2553292680074895E-2</v>
      </c>
      <c r="S26" s="67"/>
      <c r="T26" s="3"/>
      <c r="U26" s="33"/>
      <c r="V26" s="33"/>
      <c r="W26" s="33"/>
      <c r="X26" s="33"/>
      <c r="Y26" s="33"/>
      <c r="Z26" s="63"/>
      <c r="AA26" s="68"/>
      <c r="AB26" s="33"/>
      <c r="AC26" s="35"/>
      <c r="AD26" s="53"/>
      <c r="AE26" s="53"/>
      <c r="AF26" s="53"/>
      <c r="AG26" s="53"/>
      <c r="AH26" s="53"/>
      <c r="AI26" s="55"/>
    </row>
    <row r="27" spans="1:35" x14ac:dyDescent="0.2">
      <c r="B27" s="3" t="s">
        <v>48</v>
      </c>
      <c r="C27" s="33">
        <v>328914</v>
      </c>
      <c r="D27" s="35">
        <f t="shared" si="12"/>
        <v>0.33505659251049491</v>
      </c>
      <c r="E27" s="33">
        <v>289124.48766000004</v>
      </c>
      <c r="F27" s="35">
        <f>+E27/$E$20</f>
        <v>0.34482495999248158</v>
      </c>
      <c r="G27" s="35">
        <f>IF(C27=0,"",(E27-C27)/ABS(C27)+1)</f>
        <v>0.87902761104726479</v>
      </c>
      <c r="H27" s="33">
        <v>341963.54689</v>
      </c>
      <c r="I27" s="35">
        <f t="shared" si="13"/>
        <v>0.36173848584384133</v>
      </c>
      <c r="J27" s="35">
        <f>IF(H27=0,"",(E27-H27)/ABS(H27))</f>
        <v>-0.15451664281338381</v>
      </c>
      <c r="K27" s="33">
        <v>328914</v>
      </c>
      <c r="L27" s="35">
        <f t="shared" si="5"/>
        <v>0.33505659251049491</v>
      </c>
      <c r="M27" s="33">
        <v>289124.48766000004</v>
      </c>
      <c r="N27" s="35">
        <f>+M27/$M$20</f>
        <v>0.34482495999248158</v>
      </c>
      <c r="O27" s="35">
        <f>IF(K27=0,"",(M27-K27)/ABS(K27)+1)</f>
        <v>0.87902761104726479</v>
      </c>
      <c r="P27" s="33">
        <v>341963.54689</v>
      </c>
      <c r="Q27" s="35">
        <f t="shared" si="8"/>
        <v>0.36173848584384133</v>
      </c>
      <c r="R27" s="35">
        <f>IF(P27=0,"",(M27-P27)/ABS(P27))</f>
        <v>-0.15451664281338381</v>
      </c>
      <c r="S27" s="67"/>
      <c r="T27" s="3" t="s">
        <v>49</v>
      </c>
      <c r="U27" s="33">
        <v>-196192.64660000001</v>
      </c>
      <c r="V27" s="33">
        <v>-196192.64660000001</v>
      </c>
      <c r="W27" s="33">
        <v>89499.917090000003</v>
      </c>
      <c r="X27" s="33">
        <f>+Y27</f>
        <v>-196192.64660000001</v>
      </c>
      <c r="Y27" s="33">
        <v>-196192.64660000001</v>
      </c>
      <c r="Z27" s="63">
        <f>+Y27-X27</f>
        <v>0</v>
      </c>
      <c r="AA27" s="68">
        <f>IF(X27=0,"",(Y27-X27)/ABS(X27)+1)</f>
        <v>1</v>
      </c>
      <c r="AB27" s="33">
        <v>89499.917090000003</v>
      </c>
      <c r="AC27" s="35">
        <f>IF(AB27=0,"",(Y27-AB27)/ABS(AB27))</f>
        <v>-3.1920986407474667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50</v>
      </c>
      <c r="C28" s="33">
        <f>SUM(C26:C27)</f>
        <v>504777</v>
      </c>
      <c r="D28" s="35">
        <f t="shared" si="12"/>
        <v>0.51420390010054329</v>
      </c>
      <c r="E28" s="33">
        <f>SUM(E26:E27)</f>
        <v>464864.83434000006</v>
      </c>
      <c r="F28" s="35">
        <f>+E28/$E$20</f>
        <v>0.55442207334477167</v>
      </c>
      <c r="G28" s="35">
        <f>IF(C28=0,"",(E28-C28)/ABS(C28)+1)</f>
        <v>0.92093109301731269</v>
      </c>
      <c r="H28" s="33">
        <f>SUM(H26:H27)</f>
        <v>535628.19436999992</v>
      </c>
      <c r="I28" s="35">
        <f t="shared" si="13"/>
        <v>0.56660229948135599</v>
      </c>
      <c r="J28" s="35">
        <f>IF(H28=0,"",(E28-H28)/ABS(H28))</f>
        <v>-0.13211283642981297</v>
      </c>
      <c r="K28" s="33">
        <f>SUM(K26:K27)</f>
        <v>504777</v>
      </c>
      <c r="L28" s="35">
        <f t="shared" si="5"/>
        <v>0.51420390010054329</v>
      </c>
      <c r="M28" s="33">
        <f>SUM(M26:M27)</f>
        <v>464864.83434000006</v>
      </c>
      <c r="N28" s="35">
        <f>+M28/$M$20</f>
        <v>0.55442207334477167</v>
      </c>
      <c r="O28" s="35">
        <f>IF(K28=0,"",(M28-K28)/ABS(K28)+1)</f>
        <v>0.92093109301731269</v>
      </c>
      <c r="P28" s="33">
        <f>SUM(P26:P27)</f>
        <v>535628.19436999992</v>
      </c>
      <c r="Q28" s="35">
        <f t="shared" si="8"/>
        <v>0.56660229948135599</v>
      </c>
      <c r="R28" s="35">
        <f>IF(P28=0,"",(M28-P28)/ABS(P28))</f>
        <v>-0.13211283642981297</v>
      </c>
      <c r="S28" s="67"/>
      <c r="T28" s="3" t="s">
        <v>51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63">
        <f>+Y28-X28</f>
        <v>0</v>
      </c>
      <c r="AA28" s="68" t="str">
        <f>IF(X28=0,"",(Y28-X28)/ABS(X28)+1)</f>
        <v/>
      </c>
      <c r="AB28" s="33">
        <v>0</v>
      </c>
      <c r="AC28" s="35" t="str">
        <f>IF(AB28=0,"",(Y28-AB28)/ABS(AB28))</f>
        <v/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3"/>
      <c r="D29" s="35"/>
      <c r="E29" s="33"/>
      <c r="F29" s="35"/>
      <c r="G29" s="35"/>
      <c r="H29" s="33"/>
      <c r="I29" s="35"/>
      <c r="J29" s="35"/>
      <c r="K29" s="33"/>
      <c r="L29" s="35"/>
      <c r="M29" s="33"/>
      <c r="N29" s="35"/>
      <c r="O29" s="35"/>
      <c r="P29" s="33"/>
      <c r="Q29" s="35"/>
      <c r="R29" s="35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52</v>
      </c>
      <c r="C30" s="33">
        <v>59919</v>
      </c>
      <c r="D30" s="35">
        <f t="shared" si="12"/>
        <v>6.1038009834292077E-2</v>
      </c>
      <c r="E30" s="33">
        <v>53439.186999999998</v>
      </c>
      <c r="F30" s="35">
        <f>+E30/$E$20</f>
        <v>6.3734364627652779E-2</v>
      </c>
      <c r="G30" s="35">
        <f>IF(C30=0,"",(E30-C30)/ABS(C30)+1)</f>
        <v>0.89185712378377469</v>
      </c>
      <c r="H30" s="33">
        <v>54435.418950000007</v>
      </c>
      <c r="I30" s="35">
        <f t="shared" si="13"/>
        <v>5.7583289816508752E-2</v>
      </c>
      <c r="J30" s="35">
        <f>IF(H30=0,"",(E30-H30)/ABS(H30))</f>
        <v>-1.8301171722680538E-2</v>
      </c>
      <c r="K30" s="33">
        <v>59919</v>
      </c>
      <c r="L30" s="35">
        <f t="shared" si="5"/>
        <v>6.1038009834292077E-2</v>
      </c>
      <c r="M30" s="33">
        <v>53439.186999999998</v>
      </c>
      <c r="N30" s="35">
        <f>+M30/$M$20</f>
        <v>6.3734364627652779E-2</v>
      </c>
      <c r="O30" s="35">
        <f>IF(K30=0,"",(M30-K30)/ABS(K30)+1)</f>
        <v>0.89185712378377469</v>
      </c>
      <c r="P30" s="33">
        <v>54435.418950000007</v>
      </c>
      <c r="Q30" s="35">
        <f t="shared" si="8"/>
        <v>5.7583289816508752E-2</v>
      </c>
      <c r="R30" s="35">
        <f>IF(P30=0,"",(M30-P30)/ABS(P30))</f>
        <v>-1.8301171722680538E-2</v>
      </c>
      <c r="S30" s="67"/>
      <c r="T30" s="21" t="s">
        <v>53</v>
      </c>
      <c r="U30" s="69">
        <f>U21-U23-U25-U27-U28</f>
        <v>-31311.319929999969</v>
      </c>
      <c r="V30" s="69">
        <f>V21-V23-V25-V27-V28</f>
        <v>-31311.319929999969</v>
      </c>
      <c r="W30" s="69">
        <f>W21-W23-W25-W27-W28</f>
        <v>-98088.424660000077</v>
      </c>
      <c r="X30" s="69">
        <f>X21-X23-X25-X27-X28</f>
        <v>-31311.319929999969</v>
      </c>
      <c r="Y30" s="69">
        <f>Y21-Y23-Y25-Y27-Y28</f>
        <v>-31311.319929999969</v>
      </c>
      <c r="Z30" s="71">
        <f>+Y30-X30</f>
        <v>0</v>
      </c>
      <c r="AA30" s="72">
        <f>IF(U30=0,"",(V30-U30)/ABS(U30)+1)</f>
        <v>1</v>
      </c>
      <c r="AB30" s="69">
        <f>AB21-AB23-AB25-AB27-AB28</f>
        <v>-98088.424660000077</v>
      </c>
      <c r="AC30" s="35">
        <f>IF(AB30=0,"",(Y30-AB30)/ABS(AB30))</f>
        <v>0.68078476090799578</v>
      </c>
      <c r="AD30" s="54"/>
      <c r="AE30" s="54"/>
    </row>
    <row r="31" spans="1:35" x14ac:dyDescent="0.2">
      <c r="B31" s="3" t="s">
        <v>54</v>
      </c>
      <c r="C31" s="33">
        <v>215233</v>
      </c>
      <c r="D31" s="35">
        <f t="shared" si="12"/>
        <v>0.21925255712986175</v>
      </c>
      <c r="E31" s="33">
        <v>192930.74234</v>
      </c>
      <c r="F31" s="35">
        <f>+E31/$E$20</f>
        <v>0.23009927677569814</v>
      </c>
      <c r="G31" s="35">
        <f>IF(C31=0,"",(E31-C31)/ABS(C31)+1)</f>
        <v>0.8963808632505238</v>
      </c>
      <c r="H31" s="33">
        <v>189717.95197999998</v>
      </c>
      <c r="I31" s="35">
        <f t="shared" si="13"/>
        <v>0.20068889011937746</v>
      </c>
      <c r="J31" s="35">
        <f>IF(H31=0,"",(E31-H31)/ABS(H31))</f>
        <v>1.6934561682063198E-2</v>
      </c>
      <c r="K31" s="33">
        <v>215233</v>
      </c>
      <c r="L31" s="35">
        <f t="shared" si="5"/>
        <v>0.21925255712986175</v>
      </c>
      <c r="M31" s="33">
        <v>192930.74234</v>
      </c>
      <c r="N31" s="35">
        <f>+M31/$M$20</f>
        <v>0.23009927677569814</v>
      </c>
      <c r="O31" s="35">
        <f>IF(K31=0,"",(M31-K31)/ABS(K31)+1)</f>
        <v>0.8963808632505238</v>
      </c>
      <c r="P31" s="33">
        <v>189717.95197999998</v>
      </c>
      <c r="Q31" s="35">
        <f t="shared" si="8"/>
        <v>0.20068889011937746</v>
      </c>
      <c r="R31" s="35">
        <f>IF(P31=0,"",(M31-P31)/ABS(P31))</f>
        <v>1.6934561682063198E-2</v>
      </c>
      <c r="S31" s="67"/>
      <c r="T31" s="54"/>
      <c r="U31" s="58" t="s">
        <v>63</v>
      </c>
      <c r="V31" s="58" t="s">
        <v>63</v>
      </c>
      <c r="W31" s="54"/>
      <c r="X31" s="58" t="s">
        <v>63</v>
      </c>
      <c r="Y31" s="58" t="s">
        <v>63</v>
      </c>
      <c r="Z31" s="58"/>
      <c r="AA31" s="58"/>
      <c r="AB31" s="73" t="s">
        <v>63</v>
      </c>
      <c r="AC31" s="54"/>
      <c r="AD31" s="54"/>
      <c r="AE31" s="54"/>
    </row>
    <row r="32" spans="1:35" x14ac:dyDescent="0.2">
      <c r="B32" s="3" t="s">
        <v>55</v>
      </c>
      <c r="C32" s="33">
        <f>SUM(C30:C31)</f>
        <v>275152</v>
      </c>
      <c r="D32" s="35">
        <f t="shared" si="12"/>
        <v>0.28029056696415383</v>
      </c>
      <c r="E32" s="33">
        <f>SUM(E30:E31)</f>
        <v>246369.92934</v>
      </c>
      <c r="F32" s="35">
        <f>+E32/$E$20</f>
        <v>0.29383364140335094</v>
      </c>
      <c r="G32" s="35">
        <f>IF(C32=0,"",(E32-C32)/ABS(C32)+1)</f>
        <v>0.89539574249869158</v>
      </c>
      <c r="H32" s="33">
        <f>SUM(H30:H31)</f>
        <v>244153.37092999998</v>
      </c>
      <c r="I32" s="35">
        <f t="shared" si="13"/>
        <v>0.25827217993588619</v>
      </c>
      <c r="J32" s="35">
        <f>IF(H32=0,"",(E32-H32)/ABS(H32))</f>
        <v>9.0785492805484369E-3</v>
      </c>
      <c r="K32" s="33">
        <f>SUM(K30:K31)</f>
        <v>275152</v>
      </c>
      <c r="L32" s="35">
        <f t="shared" si="5"/>
        <v>0.28029056696415383</v>
      </c>
      <c r="M32" s="33">
        <f>SUM(M30:M31)</f>
        <v>246369.92934</v>
      </c>
      <c r="N32" s="35">
        <f>+M32/$M$20</f>
        <v>0.29383364140335094</v>
      </c>
      <c r="O32" s="35">
        <f>IF(K32=0,"",(M32-K32)/ABS(K32)+1)</f>
        <v>0.89539574249869158</v>
      </c>
      <c r="P32" s="33">
        <f>SUM(P30:P31)</f>
        <v>244153.37092999998</v>
      </c>
      <c r="Q32" s="35">
        <f t="shared" si="8"/>
        <v>0.25827217993588619</v>
      </c>
      <c r="R32" s="35">
        <f>IF(P32=0,"",(M32-P32)/ABS(P32))</f>
        <v>9.0785492805484369E-3</v>
      </c>
      <c r="S32" s="67"/>
      <c r="T32" s="54" t="s">
        <v>85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3"/>
      <c r="D33" s="35"/>
      <c r="E33" s="33"/>
      <c r="F33" s="35"/>
      <c r="G33" s="35"/>
      <c r="H33" s="33"/>
      <c r="I33" s="35"/>
      <c r="J33" s="35"/>
      <c r="K33" s="33"/>
      <c r="L33" s="35"/>
      <c r="M33" s="33"/>
      <c r="N33" s="35"/>
      <c r="O33" s="35"/>
      <c r="P33" s="33"/>
      <c r="Q33" s="35"/>
      <c r="R33" s="35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56</v>
      </c>
      <c r="C34" s="33">
        <f>C28+C32</f>
        <v>779929</v>
      </c>
      <c r="D34" s="35">
        <f t="shared" si="12"/>
        <v>0.79449446706469706</v>
      </c>
      <c r="E34" s="33">
        <f>E28+E32</f>
        <v>711234.76368000009</v>
      </c>
      <c r="F34" s="35">
        <f>+E34/$E$20</f>
        <v>0.84825571474812267</v>
      </c>
      <c r="G34" s="35">
        <f>IF(C34=0,"",(E34-C34)/ABS(C34)+1)</f>
        <v>0.91192244894086527</v>
      </c>
      <c r="H34" s="33">
        <f>H28+H32</f>
        <v>779781.5652999999</v>
      </c>
      <c r="I34" s="35">
        <f t="shared" si="13"/>
        <v>0.82487447941724223</v>
      </c>
      <c r="J34" s="35">
        <f>IF(H34=0,"",(E34-H34)/ABS(H34))</f>
        <v>-8.7905132245115689E-2</v>
      </c>
      <c r="K34" s="33">
        <f>K28+K32</f>
        <v>779929</v>
      </c>
      <c r="L34" s="35">
        <f t="shared" si="5"/>
        <v>0.79449446706469706</v>
      </c>
      <c r="M34" s="33">
        <f>M28+M32</f>
        <v>711234.76368000009</v>
      </c>
      <c r="N34" s="35">
        <f>+M34/$M$20</f>
        <v>0.84825571474812267</v>
      </c>
      <c r="O34" s="35">
        <f>IF(K34=0,"",(M34-K34)/ABS(K34)+1)</f>
        <v>0.91192244894086527</v>
      </c>
      <c r="P34" s="33">
        <f>P28+P32</f>
        <v>779781.5652999999</v>
      </c>
      <c r="Q34" s="35">
        <f t="shared" si="8"/>
        <v>0.82487447941724223</v>
      </c>
      <c r="R34" s="35">
        <f>IF(P34=0,"",(M34-P34)/ABS(P34))</f>
        <v>-8.7905132245115689E-2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3"/>
      <c r="D35" s="35"/>
      <c r="E35" s="33"/>
      <c r="F35" s="35"/>
      <c r="G35" s="35"/>
      <c r="H35" s="33"/>
      <c r="I35" s="35"/>
      <c r="J35" s="35"/>
      <c r="K35" s="33"/>
      <c r="L35" s="35"/>
      <c r="M35" s="33"/>
      <c r="N35" s="35"/>
      <c r="O35" s="35"/>
      <c r="P35" s="33"/>
      <c r="Q35" s="35"/>
      <c r="R35" s="35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1" t="s">
        <v>57</v>
      </c>
      <c r="C36" s="69">
        <f>C24-C34</f>
        <v>111761</v>
      </c>
      <c r="D36" s="45">
        <f t="shared" si="12"/>
        <v>0.11384817865936209</v>
      </c>
      <c r="E36" s="69">
        <f>E24-E34</f>
        <v>19578.197089999914</v>
      </c>
      <c r="F36" s="45">
        <f>+E36/$E$20</f>
        <v>2.3349980082707944E-2</v>
      </c>
      <c r="G36" s="45">
        <f>IF(C36=0,"",(E36-C36)/ABS(C36)+1)</f>
        <v>0.17517915095605729</v>
      </c>
      <c r="H36" s="69">
        <f>H24-H34</f>
        <v>87575.043920000084</v>
      </c>
      <c r="I36" s="45">
        <f t="shared" si="13"/>
        <v>9.2639300514446521E-2</v>
      </c>
      <c r="J36" s="45">
        <f>IF(H36=0,"",(E36-H36)/ABS(H36))</f>
        <v>-0.77644091040497087</v>
      </c>
      <c r="K36" s="69">
        <f>K24-K34</f>
        <v>111761</v>
      </c>
      <c r="L36" s="45">
        <f t="shared" si="5"/>
        <v>0.11384817865936209</v>
      </c>
      <c r="M36" s="69">
        <f>+M24-M34</f>
        <v>19578.197089999914</v>
      </c>
      <c r="N36" s="45">
        <f>+M36/$M$20</f>
        <v>2.3349980082707944E-2</v>
      </c>
      <c r="O36" s="45">
        <f>IF(K36=0,"",(M36-K36)/ABS(K36)+1)</f>
        <v>0.17517915095605729</v>
      </c>
      <c r="P36" s="69">
        <f>P24-P34</f>
        <v>87575.043920000084</v>
      </c>
      <c r="Q36" s="45">
        <f t="shared" si="8"/>
        <v>9.2639300514446521E-2</v>
      </c>
      <c r="R36" s="45">
        <f>IF(P36=0,"",(M36-P36)/ABS(P36))</f>
        <v>-0.77644091040497087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3"/>
      <c r="D37" s="35"/>
      <c r="E37" s="33"/>
      <c r="F37" s="35"/>
      <c r="G37" s="35"/>
      <c r="H37" s="33"/>
      <c r="I37" s="35"/>
      <c r="J37" s="35"/>
      <c r="K37" s="33"/>
      <c r="L37" s="35"/>
      <c r="M37" s="33"/>
      <c r="N37" s="35"/>
      <c r="O37" s="35"/>
      <c r="P37" s="33"/>
      <c r="Q37" s="35"/>
      <c r="R37" s="35"/>
      <c r="S37" s="67"/>
      <c r="W37" s="55"/>
      <c r="X37" s="73"/>
      <c r="Y37" s="73"/>
      <c r="Z37" s="73"/>
      <c r="AA37" s="73"/>
    </row>
    <row r="38" spans="1:29" x14ac:dyDescent="0.2">
      <c r="B38" s="3" t="s">
        <v>58</v>
      </c>
      <c r="C38" s="33">
        <v>446</v>
      </c>
      <c r="D38" s="35">
        <f t="shared" si="12"/>
        <v>4.5432921754525721E-4</v>
      </c>
      <c r="E38" s="33">
        <v>453.30596999999995</v>
      </c>
      <c r="F38" s="35">
        <f>+E38/$E$20</f>
        <v>5.4063636821181113E-4</v>
      </c>
      <c r="G38" s="35">
        <f>IF(C38=0,"",(E38-C38)/ABS(C38)+1)</f>
        <v>1.0163810986547084</v>
      </c>
      <c r="H38" s="33">
        <v>514.93687</v>
      </c>
      <c r="I38" s="35">
        <f t="shared" si="13"/>
        <v>5.4471444501330297E-4</v>
      </c>
      <c r="J38" s="35">
        <f>IF(H38=0,"",(E38-H38)/ABS(H38))</f>
        <v>-0.11968632193690083</v>
      </c>
      <c r="K38" s="33">
        <v>446</v>
      </c>
      <c r="L38" s="35">
        <f t="shared" si="5"/>
        <v>4.5432921754525721E-4</v>
      </c>
      <c r="M38" s="33">
        <v>453.30596999999995</v>
      </c>
      <c r="N38" s="35">
        <f>+M38/$M$20</f>
        <v>5.4063636821181113E-4</v>
      </c>
      <c r="O38" s="35">
        <f>IF(K38=0,"",(M38-K38)/ABS(K38)+1)</f>
        <v>1.0163810986547084</v>
      </c>
      <c r="P38" s="33">
        <v>514.93687</v>
      </c>
      <c r="Q38" s="35">
        <f t="shared" si="8"/>
        <v>5.4471444501330297E-4</v>
      </c>
      <c r="R38" s="35">
        <f>IF(P38=0,"",(M38-P38)/ABS(P38))</f>
        <v>-0.11968632193690083</v>
      </c>
      <c r="S38" s="67"/>
      <c r="T38" s="53"/>
      <c r="X38" s="73"/>
      <c r="Y38" s="73"/>
      <c r="Z38" s="73"/>
      <c r="AA38" s="73"/>
    </row>
    <row r="39" spans="1:29" x14ac:dyDescent="0.2">
      <c r="B39" s="3" t="s">
        <v>59</v>
      </c>
      <c r="C39" s="33">
        <v>36633</v>
      </c>
      <c r="D39" s="35">
        <f t="shared" si="12"/>
        <v>3.7317135036626474E-2</v>
      </c>
      <c r="E39" s="33">
        <v>23448.838390000001</v>
      </c>
      <c r="F39" s="35">
        <f>+E39/$E$20</f>
        <v>2.7966308994243544E-2</v>
      </c>
      <c r="G39" s="35">
        <f>IF(C39=0,"",(E39-C39)/ABS(C39)+1)</f>
        <v>0.6401015038353397</v>
      </c>
      <c r="H39" s="33">
        <v>33710.144780000002</v>
      </c>
      <c r="I39" s="35">
        <f t="shared" si="13"/>
        <v>3.5659522312231781E-2</v>
      </c>
      <c r="J39" s="35">
        <f>IF(H39=0,"",(E39-H39)/ABS(H39))</f>
        <v>-0.30439817025312699</v>
      </c>
      <c r="K39" s="33">
        <v>36633</v>
      </c>
      <c r="L39" s="35">
        <f t="shared" si="5"/>
        <v>3.7317135036626474E-2</v>
      </c>
      <c r="M39" s="33">
        <v>23448.838390000001</v>
      </c>
      <c r="N39" s="35">
        <f>+M39/$M$20</f>
        <v>2.7966308994243544E-2</v>
      </c>
      <c r="O39" s="35">
        <f>IF(K39=0,"",(M39-K39)/ABS(K39)+1)</f>
        <v>0.6401015038353397</v>
      </c>
      <c r="P39" s="33">
        <v>33710.144780000002</v>
      </c>
      <c r="Q39" s="35">
        <f t="shared" si="8"/>
        <v>3.5659522312231781E-2</v>
      </c>
      <c r="R39" s="35">
        <f>IF(P39=0,"",(M39-P39)/ABS(P39))</f>
        <v>-0.30439817025312699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3"/>
      <c r="D40" s="35"/>
      <c r="E40" s="33"/>
      <c r="F40" s="35"/>
      <c r="G40" s="35"/>
      <c r="H40" s="33"/>
      <c r="I40" s="35"/>
      <c r="J40" s="35"/>
      <c r="K40" s="33"/>
      <c r="L40" s="35"/>
      <c r="M40" s="33"/>
      <c r="N40" s="35"/>
      <c r="O40" s="35"/>
      <c r="P40" s="33"/>
      <c r="Q40" s="35"/>
      <c r="R40" s="35"/>
      <c r="S40" s="67"/>
      <c r="T40" s="53"/>
      <c r="X40" s="73"/>
      <c r="Y40" s="73"/>
      <c r="Z40" s="73"/>
      <c r="AA40" s="73"/>
    </row>
    <row r="41" spans="1:29" x14ac:dyDescent="0.2">
      <c r="B41" s="3" t="s">
        <v>60</v>
      </c>
      <c r="C41" s="33">
        <f>C36+C38-C39</f>
        <v>75574</v>
      </c>
      <c r="D41" s="35">
        <f t="shared" si="12"/>
        <v>7.6985372840280869E-2</v>
      </c>
      <c r="E41" s="33">
        <f>E36+E38-E39</f>
        <v>-3417.3353300000854</v>
      </c>
      <c r="F41" s="35">
        <f>+E41/$E$20</f>
        <v>-4.0756925433237893E-3</v>
      </c>
      <c r="G41" s="35">
        <f>IF(C41=0,"",(E41-C41)/ABS(C41)+1)</f>
        <v>-4.5218399581868018E-2</v>
      </c>
      <c r="H41" s="33">
        <f>H36+H38-H39</f>
        <v>54379.836010000086</v>
      </c>
      <c r="I41" s="35">
        <f t="shared" si="13"/>
        <v>5.7524492647228052E-2</v>
      </c>
      <c r="J41" s="35">
        <f>IF(H41=0,"",(E41-H41)/ABS(H41))</f>
        <v>-1.0628419572536347</v>
      </c>
      <c r="K41" s="33">
        <f>K36+K38-K39</f>
        <v>75574</v>
      </c>
      <c r="L41" s="35">
        <f t="shared" si="5"/>
        <v>7.6985372840280869E-2</v>
      </c>
      <c r="M41" s="33">
        <f>M36+M38-M39</f>
        <v>-3417.3353300000854</v>
      </c>
      <c r="N41" s="35">
        <f>+M41/$M$20</f>
        <v>-4.0756925433237893E-3</v>
      </c>
      <c r="O41" s="35">
        <f>IF(K41=0,"",(M41-K41)/ABS(K41)+1)</f>
        <v>-4.5218399581868018E-2</v>
      </c>
      <c r="P41" s="33">
        <f>P36+P38-P39</f>
        <v>54379.836010000086</v>
      </c>
      <c r="Q41" s="35">
        <f t="shared" si="8"/>
        <v>5.7524492647228052E-2</v>
      </c>
      <c r="R41" s="35">
        <f>IF(P41=0,"",(M41-P41)/ABS(P41))</f>
        <v>-1.0628419572536347</v>
      </c>
      <c r="S41" s="67"/>
      <c r="T41" s="53"/>
      <c r="X41" s="73"/>
      <c r="Y41" s="73"/>
      <c r="Z41" s="73"/>
      <c r="AA41" s="73"/>
    </row>
    <row r="42" spans="1:29" x14ac:dyDescent="0.2">
      <c r="B42" s="3" t="s">
        <v>46</v>
      </c>
      <c r="C42" s="33">
        <v>23513</v>
      </c>
      <c r="D42" s="35">
        <f t="shared" si="12"/>
        <v>2.3952114107940879E-2</v>
      </c>
      <c r="E42" s="33">
        <v>3194.4670000000001</v>
      </c>
      <c r="F42" s="35">
        <f>+E42/$E$20</f>
        <v>3.8098881363783496E-3</v>
      </c>
      <c r="G42" s="35">
        <f>IF(C42=0,"",(E42-C42)/ABS(C42)+1)</f>
        <v>0.13585960957768051</v>
      </c>
      <c r="H42" s="33">
        <v>23669.463</v>
      </c>
      <c r="I42" s="35">
        <f t="shared" si="13"/>
        <v>2.503821177498498E-2</v>
      </c>
      <c r="J42" s="35">
        <f>IF(H42=0,"",(E42-H42)/ABS(H42))</f>
        <v>-0.86503846749712909</v>
      </c>
      <c r="K42" s="33">
        <v>23513</v>
      </c>
      <c r="L42" s="35">
        <f t="shared" si="5"/>
        <v>2.3952114107940879E-2</v>
      </c>
      <c r="M42" s="33">
        <v>3194.4670000000001</v>
      </c>
      <c r="N42" s="35">
        <f>+M42/$M$20</f>
        <v>3.8098881363783496E-3</v>
      </c>
      <c r="O42" s="35">
        <f>IF(K42=0,"",(M42-K42)/ABS(K42)+1)</f>
        <v>0.13585960957768051</v>
      </c>
      <c r="P42" s="33">
        <v>23669.463</v>
      </c>
      <c r="Q42" s="35">
        <f t="shared" si="8"/>
        <v>2.503821177498498E-2</v>
      </c>
      <c r="R42" s="35">
        <f>IF(P42=0,"",(M42-P42)/ABS(P42))</f>
        <v>-0.86503846749712909</v>
      </c>
      <c r="S42" s="67"/>
      <c r="X42" s="73"/>
      <c r="Y42" s="73"/>
      <c r="Z42" s="73"/>
      <c r="AA42" s="73"/>
    </row>
    <row r="43" spans="1:29" x14ac:dyDescent="0.2">
      <c r="B43" s="21" t="s">
        <v>61</v>
      </c>
      <c r="C43" s="69">
        <f>+C41-C42</f>
        <v>52061</v>
      </c>
      <c r="D43" s="45">
        <f t="shared" si="12"/>
        <v>5.3033258732339987E-2</v>
      </c>
      <c r="E43" s="69">
        <f>E41-E42</f>
        <v>-6611.8023300000859</v>
      </c>
      <c r="F43" s="45">
        <f>+E43/$E$20</f>
        <v>-7.8855806797021397E-3</v>
      </c>
      <c r="G43" s="45">
        <f>IF(C43=0,"",(E43-C43)/ABS(C43)+1)</f>
        <v>-0.12700106279172685</v>
      </c>
      <c r="H43" s="69">
        <f>+H41-H42</f>
        <v>30710.373010000087</v>
      </c>
      <c r="I43" s="45">
        <f t="shared" si="13"/>
        <v>3.2486280872243069E-2</v>
      </c>
      <c r="J43" s="45">
        <f>IF(H43=0,"",(E43-H43)/ABS(H43))</f>
        <v>-1.215295409399525</v>
      </c>
      <c r="K43" s="69">
        <f>+K41-K42</f>
        <v>52061</v>
      </c>
      <c r="L43" s="45">
        <f t="shared" si="5"/>
        <v>5.3033258732339987E-2</v>
      </c>
      <c r="M43" s="69">
        <f>+M41-M42</f>
        <v>-6611.8023300000859</v>
      </c>
      <c r="N43" s="45">
        <f>+M43/$M$20</f>
        <v>-7.8855806797021397E-3</v>
      </c>
      <c r="O43" s="45">
        <f>IF(K43=0,"",(M43-K43)/ABS(K43)+1)</f>
        <v>-0.12700106279172685</v>
      </c>
      <c r="P43" s="69">
        <f>P41-P42</f>
        <v>30710.373010000087</v>
      </c>
      <c r="Q43" s="45">
        <f t="shared" si="8"/>
        <v>3.2486280872243069E-2</v>
      </c>
      <c r="R43" s="45">
        <f>IF(P43=0,"",(M43-P43)/ABS(P43))</f>
        <v>-1.215295409399525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3"/>
      <c r="D44" s="35"/>
      <c r="E44" s="33"/>
      <c r="F44" s="35"/>
      <c r="G44" s="35"/>
      <c r="H44" s="33"/>
      <c r="I44" s="35"/>
      <c r="J44" s="35"/>
      <c r="K44" s="33"/>
      <c r="L44" s="35"/>
      <c r="M44" s="33"/>
      <c r="N44" s="35"/>
      <c r="O44" s="35"/>
      <c r="P44" s="33"/>
      <c r="Q44" s="35"/>
      <c r="R44" s="35"/>
      <c r="S44" s="67"/>
      <c r="W44" s="55"/>
      <c r="X44" s="73"/>
      <c r="Y44" s="73"/>
      <c r="Z44" s="73"/>
      <c r="AA44" s="73"/>
    </row>
    <row r="45" spans="1:29" x14ac:dyDescent="0.2">
      <c r="A45" s="39" t="s">
        <v>86</v>
      </c>
      <c r="B45" s="3" t="s">
        <v>87</v>
      </c>
      <c r="C45" s="33">
        <v>162835</v>
      </c>
      <c r="D45" s="35">
        <f t="shared" si="12"/>
        <v>0.16587600479592368</v>
      </c>
      <c r="E45" s="33">
        <v>71048.041649999912</v>
      </c>
      <c r="F45" s="35">
        <f>+E45/$E$20</f>
        <v>8.4735604091464869E-2</v>
      </c>
      <c r="G45" s="35">
        <f>IF(C45=0,"",(E45-C45)/ABS(C45)+1)</f>
        <v>0.43631922897411435</v>
      </c>
      <c r="H45" s="33">
        <v>78923.590090000085</v>
      </c>
      <c r="I45" s="35">
        <f t="shared" si="13"/>
        <v>8.3487553676884346E-2</v>
      </c>
      <c r="J45" s="35">
        <f>IF(H45=0,"",(E45-H45)/ABS(H45))</f>
        <v>-9.9787001972659051E-2</v>
      </c>
      <c r="K45" s="33">
        <v>162835</v>
      </c>
      <c r="L45" s="35">
        <f t="shared" si="5"/>
        <v>0.16587600479592368</v>
      </c>
      <c r="M45" s="33">
        <v>71048.041649999912</v>
      </c>
      <c r="N45" s="35">
        <f>+M45/$M$20</f>
        <v>8.4735604091464869E-2</v>
      </c>
      <c r="O45" s="35">
        <f>IF(K45=0,"",(M45-K45)/ABS(K45)+1)</f>
        <v>0.43631922897411435</v>
      </c>
      <c r="P45" s="33">
        <v>135788.26100000009</v>
      </c>
      <c r="Q45" s="35">
        <f t="shared" si="8"/>
        <v>0.14364057331908781</v>
      </c>
      <c r="R45" s="35">
        <f>IF(P45=0,"",(M45-P45)/ABS(P45))</f>
        <v>-0.47677331511006044</v>
      </c>
      <c r="S45" s="67"/>
      <c r="X45" s="73"/>
      <c r="Y45" s="73"/>
      <c r="Z45" s="73"/>
      <c r="AA45" s="73"/>
    </row>
    <row r="46" spans="1:29" x14ac:dyDescent="0.2">
      <c r="A46" s="75"/>
      <c r="B46" s="3" t="s">
        <v>37</v>
      </c>
      <c r="C46" s="33">
        <v>460433</v>
      </c>
      <c r="D46" s="35">
        <f t="shared" si="12"/>
        <v>0.46903175924218704</v>
      </c>
      <c r="E46" s="33">
        <v>414618.52500000002</v>
      </c>
      <c r="F46" s="35">
        <f>+E46/$E$20</f>
        <v>0.4944957013236293</v>
      </c>
      <c r="G46" s="35">
        <f>IF(C46=0,"",(E46-C46)/ABS(C46)+1)</f>
        <v>0.9004969778447679</v>
      </c>
      <c r="H46" s="33">
        <v>437035.23599999998</v>
      </c>
      <c r="I46" s="35">
        <f t="shared" si="13"/>
        <v>0.46230794471756875</v>
      </c>
      <c r="J46" s="35">
        <f>IF(H46=0,"",(E46-H46)/ABS(H46))</f>
        <v>-5.129268570006093E-2</v>
      </c>
      <c r="K46" s="33">
        <v>460433</v>
      </c>
      <c r="L46" s="35">
        <f t="shared" si="5"/>
        <v>0.46903175924218704</v>
      </c>
      <c r="M46" s="33">
        <v>414618.52500000002</v>
      </c>
      <c r="N46" s="35">
        <f>+M46/$M$20</f>
        <v>0.4944957013236293</v>
      </c>
      <c r="O46" s="35">
        <f>IF(K46=0,"",(M46-K46)/ABS(K46)+1)</f>
        <v>0.9004969778447679</v>
      </c>
      <c r="P46" s="33">
        <v>437035.23599999998</v>
      </c>
      <c r="Q46" s="35">
        <f t="shared" si="8"/>
        <v>0.46230794471756875</v>
      </c>
      <c r="R46" s="35">
        <f>IF(P46=0,"",(M46-P46)/ABS(P46))</f>
        <v>-5.129268570006093E-2</v>
      </c>
      <c r="S46" s="67"/>
      <c r="X46" s="73"/>
      <c r="Y46" s="73"/>
      <c r="Z46" s="73"/>
      <c r="AA46" s="73"/>
    </row>
    <row r="47" spans="1:29" x14ac:dyDescent="0.2">
      <c r="B47" s="3" t="s">
        <v>85</v>
      </c>
      <c r="C47" s="33"/>
      <c r="J47" s="33"/>
      <c r="K47" s="33"/>
      <c r="L47" s="33"/>
      <c r="M47" s="33"/>
      <c r="N47" s="33"/>
      <c r="O47" s="33"/>
      <c r="P47" s="33"/>
      <c r="Q47" s="33"/>
      <c r="S47" s="67"/>
      <c r="X47" s="73"/>
      <c r="Y47" s="73"/>
      <c r="Z47" s="73"/>
      <c r="AA47" s="73"/>
    </row>
    <row r="48" spans="1:29" x14ac:dyDescent="0.2"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S48" s="67"/>
      <c r="X48" s="73"/>
      <c r="Y48" s="73"/>
      <c r="Z48" s="73"/>
      <c r="AA48" s="73"/>
    </row>
    <row r="49" spans="1:27" x14ac:dyDescent="0.2"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X49" s="73"/>
      <c r="Y49" s="73"/>
      <c r="Z49" s="73"/>
      <c r="AA49" s="73"/>
    </row>
    <row r="50" spans="1:27" x14ac:dyDescent="0.2"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76"/>
    </row>
    <row r="51" spans="1:27" x14ac:dyDescent="0.2"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</row>
    <row r="52" spans="1:27" x14ac:dyDescent="0.2"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</row>
    <row r="53" spans="1:27" x14ac:dyDescent="0.2"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</row>
    <row r="54" spans="1:27" x14ac:dyDescent="0.2">
      <c r="J54" s="33"/>
      <c r="K54" s="33"/>
      <c r="L54" s="33"/>
      <c r="M54" s="33"/>
      <c r="N54" s="33"/>
      <c r="O54" s="33"/>
      <c r="P54" s="33"/>
      <c r="Q54" s="33"/>
      <c r="R54" s="33"/>
      <c r="S54" s="33"/>
    </row>
    <row r="55" spans="1:27" x14ac:dyDescent="0.2">
      <c r="A55" s="32" t="s">
        <v>88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C7439E-BB73-4ECB-9B1B-A12E4A124978}">
  <sheetPr>
    <tabColor theme="2" tint="-0.249977111117893"/>
  </sheetPr>
  <dimension ref="A1:V48"/>
  <sheetViews>
    <sheetView showGridLines="0" zoomScale="93" zoomScaleNormal="93" workbookViewId="0">
      <selection activeCell="C18" sqref="C18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89</v>
      </c>
      <c r="T3" s="18"/>
    </row>
    <row r="4" spans="1:22" x14ac:dyDescent="0.2">
      <c r="B4" s="3" t="s">
        <v>90</v>
      </c>
    </row>
    <row r="5" spans="1:22" x14ac:dyDescent="0.2">
      <c r="A5" s="78" t="str">
        <f>+Paramet!A3</f>
        <v>202501</v>
      </c>
      <c r="B5" s="3" t="s">
        <v>24</v>
      </c>
    </row>
    <row r="6" spans="1:22" ht="13.5" thickBot="1" x14ac:dyDescent="0.25">
      <c r="A6" s="78" t="str">
        <f>+Paramet!A4</f>
        <v>202501</v>
      </c>
      <c r="B6" s="79" t="str">
        <f>+'COLOMB$ '!B6</f>
        <v>ENERO de 2026</v>
      </c>
      <c r="K6" s="22" t="s">
        <v>25</v>
      </c>
      <c r="L6" s="22"/>
      <c r="M6" s="22"/>
      <c r="N6" s="22"/>
      <c r="O6" s="22"/>
      <c r="P6" s="22"/>
      <c r="Q6" s="22"/>
      <c r="R6" s="22"/>
    </row>
    <row r="7" spans="1:22" x14ac:dyDescent="0.2">
      <c r="A7" s="78" t="str">
        <f>+Paramet!B3</f>
        <v>202601</v>
      </c>
      <c r="B7" s="3"/>
      <c r="C7" s="54" t="str">
        <f>+'COLOMB$ '!D7:D7</f>
        <v>Ppto 2026</v>
      </c>
      <c r="D7" s="54"/>
      <c r="E7" s="54" t="str">
        <f>+'COLOMB$ '!F7:F7</f>
        <v>Real 2026</v>
      </c>
      <c r="F7" s="54"/>
      <c r="G7" s="51" t="s">
        <v>26</v>
      </c>
      <c r="H7" s="54" t="str">
        <f>+'COLOMB$ '!I7:I7</f>
        <v>Real 2025</v>
      </c>
      <c r="I7" s="54"/>
      <c r="J7" s="51" t="s">
        <v>27</v>
      </c>
      <c r="K7" s="54" t="str">
        <f>+C7</f>
        <v>Ppto 2026</v>
      </c>
      <c r="L7" s="54"/>
      <c r="M7" s="54" t="str">
        <f>+E7</f>
        <v>Real 2026</v>
      </c>
      <c r="N7" s="54"/>
      <c r="O7" s="51" t="s">
        <v>26</v>
      </c>
      <c r="P7" s="2" t="str">
        <f>+H7</f>
        <v>Real 2025</v>
      </c>
      <c r="R7" s="51" t="s">
        <v>27</v>
      </c>
    </row>
    <row r="8" spans="1:22" ht="13.5" thickBot="1" x14ac:dyDescent="0.25">
      <c r="A8" s="78" t="str">
        <f>+Paramet!B4</f>
        <v>202601</v>
      </c>
      <c r="B8" s="30" t="s">
        <v>29</v>
      </c>
      <c r="C8" s="31" t="s">
        <v>30</v>
      </c>
      <c r="D8" s="31" t="s">
        <v>31</v>
      </c>
      <c r="E8" s="31" t="s">
        <v>30</v>
      </c>
      <c r="F8" s="31" t="s">
        <v>31</v>
      </c>
      <c r="G8" s="31" t="s">
        <v>32</v>
      </c>
      <c r="H8" s="31" t="s">
        <v>30</v>
      </c>
      <c r="I8" s="31" t="s">
        <v>31</v>
      </c>
      <c r="J8" s="31" t="s">
        <v>32</v>
      </c>
      <c r="K8" s="31" t="s">
        <v>30</v>
      </c>
      <c r="L8" s="31" t="s">
        <v>31</v>
      </c>
      <c r="M8" s="31" t="s">
        <v>30</v>
      </c>
      <c r="N8" s="31" t="s">
        <v>31</v>
      </c>
      <c r="O8" s="31" t="s">
        <v>32</v>
      </c>
      <c r="P8" s="31" t="s">
        <v>30</v>
      </c>
      <c r="Q8" s="31" t="s">
        <v>31</v>
      </c>
      <c r="R8" s="31" t="s">
        <v>32</v>
      </c>
    </row>
    <row r="9" spans="1:22" ht="15.75" customHeight="1" x14ac:dyDescent="0.2">
      <c r="A9" s="80" t="s">
        <v>91</v>
      </c>
    </row>
    <row r="10" spans="1:22" x14ac:dyDescent="0.2">
      <c r="B10" s="3" t="str">
        <f>+'COLOMB$ '!B10</f>
        <v>Musical Experience  (Ambiental)</v>
      </c>
      <c r="C10" s="33">
        <v>0</v>
      </c>
      <c r="D10" s="68" t="e">
        <f t="shared" ref="D10:D18" si="0">+C10/$C$20</f>
        <v>#DIV/0!</v>
      </c>
      <c r="E10" s="33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3"/>
      <c r="I10" s="68">
        <f t="shared" ref="I10:I16" si="3">+H10/$H$20</f>
        <v>0</v>
      </c>
      <c r="J10" s="68" t="str">
        <f t="shared" ref="J10:J46" si="4">IF(H10&lt;=0,"",(E10-H10)/ABS(H10))</f>
        <v/>
      </c>
      <c r="K10" s="33"/>
      <c r="L10" s="68" t="e">
        <f t="shared" ref="L10:L20" si="5">+K10/$K$20</f>
        <v>#DIV/0!</v>
      </c>
      <c r="M10" s="33">
        <v>0</v>
      </c>
      <c r="N10" s="68">
        <f t="shared" ref="N10:N20" si="6">IF($M$20=0,0,M10/$M$20)</f>
        <v>0</v>
      </c>
      <c r="O10" s="68" t="str">
        <f t="shared" ref="O10:O17" si="7">IF(K10=0,"",(M10-K10)/ABS(K10)+1)</f>
        <v/>
      </c>
      <c r="P10" s="33"/>
      <c r="Q10" s="68">
        <f t="shared" ref="Q10:Q17" si="8">+P10/$P$20</f>
        <v>0</v>
      </c>
      <c r="R10" s="35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3">
        <v>0</v>
      </c>
      <c r="D11" s="68" t="e">
        <f t="shared" si="0"/>
        <v>#DIV/0!</v>
      </c>
      <c r="E11" s="33"/>
      <c r="F11" s="68">
        <f t="shared" si="1"/>
        <v>0</v>
      </c>
      <c r="G11" s="68" t="str">
        <f t="shared" si="2"/>
        <v/>
      </c>
      <c r="H11" s="33"/>
      <c r="I11" s="68">
        <f t="shared" si="3"/>
        <v>0</v>
      </c>
      <c r="J11" s="68" t="str">
        <f t="shared" si="4"/>
        <v/>
      </c>
      <c r="K11" s="33"/>
      <c r="L11" s="68" t="e">
        <f t="shared" si="5"/>
        <v>#DIV/0!</v>
      </c>
      <c r="M11" s="33">
        <v>0</v>
      </c>
      <c r="N11" s="68">
        <f t="shared" si="6"/>
        <v>0</v>
      </c>
      <c r="O11" s="68" t="str">
        <f t="shared" si="7"/>
        <v/>
      </c>
      <c r="P11" s="33"/>
      <c r="Q11" s="68">
        <f t="shared" si="8"/>
        <v>0</v>
      </c>
      <c r="R11" s="35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3">
        <v>0</v>
      </c>
      <c r="D12" s="68" t="e">
        <f t="shared" si="0"/>
        <v>#DIV/0!</v>
      </c>
      <c r="E12" s="33"/>
      <c r="F12" s="68">
        <f t="shared" si="1"/>
        <v>0</v>
      </c>
      <c r="G12" s="68" t="str">
        <f t="shared" si="2"/>
        <v/>
      </c>
      <c r="H12" s="33"/>
      <c r="I12" s="68">
        <f t="shared" si="3"/>
        <v>0</v>
      </c>
      <c r="J12" s="68" t="str">
        <f t="shared" si="4"/>
        <v/>
      </c>
      <c r="K12" s="33"/>
      <c r="L12" s="68" t="e">
        <f t="shared" si="5"/>
        <v>#DIV/0!</v>
      </c>
      <c r="M12" s="33">
        <v>0</v>
      </c>
      <c r="N12" s="68">
        <f t="shared" si="6"/>
        <v>0</v>
      </c>
      <c r="O12" s="68" t="str">
        <f t="shared" si="7"/>
        <v/>
      </c>
      <c r="P12" s="33">
        <f>+H12+T13</f>
        <v>0</v>
      </c>
      <c r="Q12" s="68">
        <f t="shared" si="8"/>
        <v>0</v>
      </c>
      <c r="R12" s="35" t="str">
        <f t="shared" si="9"/>
        <v/>
      </c>
    </row>
    <row r="13" spans="1:22" x14ac:dyDescent="0.2">
      <c r="B13" s="3" t="str">
        <f>+'COLOMB$ '!B13</f>
        <v>Service &amp; Equipment Experience</v>
      </c>
      <c r="C13" s="33">
        <v>0</v>
      </c>
      <c r="D13" s="68" t="e">
        <f t="shared" si="0"/>
        <v>#DIV/0!</v>
      </c>
      <c r="E13" s="33">
        <v>0</v>
      </c>
      <c r="F13" s="68">
        <f t="shared" si="1"/>
        <v>0</v>
      </c>
      <c r="G13" s="68" t="str">
        <f t="shared" si="2"/>
        <v/>
      </c>
      <c r="H13" s="33">
        <v>364</v>
      </c>
      <c r="I13" s="68">
        <f t="shared" si="3"/>
        <v>1</v>
      </c>
      <c r="J13" s="68">
        <f t="shared" si="4"/>
        <v>-1</v>
      </c>
      <c r="K13" s="33">
        <v>0</v>
      </c>
      <c r="L13" s="68" t="e">
        <f t="shared" si="5"/>
        <v>#DIV/0!</v>
      </c>
      <c r="M13" s="33">
        <v>0</v>
      </c>
      <c r="N13" s="68">
        <f t="shared" si="6"/>
        <v>0</v>
      </c>
      <c r="O13" s="68" t="str">
        <f t="shared" si="7"/>
        <v/>
      </c>
      <c r="P13" s="33">
        <v>364</v>
      </c>
      <c r="Q13" s="68">
        <f t="shared" si="8"/>
        <v>1</v>
      </c>
      <c r="R13" s="35">
        <f t="shared" si="9"/>
        <v>-1</v>
      </c>
    </row>
    <row r="14" spans="1:22" x14ac:dyDescent="0.2">
      <c r="B14" s="3" t="str">
        <f>+'COLOMB$ '!B14</f>
        <v>POP Satelital</v>
      </c>
      <c r="C14" s="33">
        <v>0</v>
      </c>
      <c r="D14" s="68" t="e">
        <f t="shared" si="0"/>
        <v>#DIV/0!</v>
      </c>
      <c r="E14" s="33"/>
      <c r="F14" s="68">
        <f t="shared" si="1"/>
        <v>0</v>
      </c>
      <c r="G14" s="68" t="str">
        <f t="shared" si="2"/>
        <v/>
      </c>
      <c r="H14" s="33"/>
      <c r="I14" s="68">
        <f t="shared" si="3"/>
        <v>0</v>
      </c>
      <c r="J14" s="68" t="str">
        <f t="shared" si="4"/>
        <v/>
      </c>
      <c r="K14" s="33"/>
      <c r="L14" s="68" t="e">
        <f t="shared" si="5"/>
        <v>#DIV/0!</v>
      </c>
      <c r="M14" s="33">
        <v>0</v>
      </c>
      <c r="N14" s="68">
        <f t="shared" si="6"/>
        <v>0</v>
      </c>
      <c r="O14" s="68" t="str">
        <f t="shared" si="7"/>
        <v/>
      </c>
      <c r="P14" s="33">
        <f>+H14+T15</f>
        <v>0</v>
      </c>
      <c r="Q14" s="68">
        <f t="shared" si="8"/>
        <v>0</v>
      </c>
      <c r="R14" s="35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3">
        <v>0</v>
      </c>
      <c r="D15" s="68" t="e">
        <f t="shared" si="0"/>
        <v>#DIV/0!</v>
      </c>
      <c r="E15" s="33"/>
      <c r="F15" s="68">
        <f t="shared" si="1"/>
        <v>0</v>
      </c>
      <c r="G15" s="68" t="str">
        <f t="shared" si="2"/>
        <v/>
      </c>
      <c r="H15" s="33"/>
      <c r="I15" s="68">
        <f t="shared" si="3"/>
        <v>0</v>
      </c>
      <c r="J15" s="68" t="str">
        <f t="shared" si="4"/>
        <v/>
      </c>
      <c r="K15" s="33"/>
      <c r="L15" s="68" t="e">
        <f t="shared" si="5"/>
        <v>#DIV/0!</v>
      </c>
      <c r="M15" s="33">
        <v>0</v>
      </c>
      <c r="N15" s="68">
        <f t="shared" si="6"/>
        <v>0</v>
      </c>
      <c r="O15" s="68" t="str">
        <f t="shared" si="7"/>
        <v/>
      </c>
      <c r="P15" s="33"/>
      <c r="Q15" s="68">
        <f t="shared" si="8"/>
        <v>0</v>
      </c>
      <c r="R15" s="35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3">
        <v>0</v>
      </c>
      <c r="D16" s="68" t="e">
        <f t="shared" si="0"/>
        <v>#DIV/0!</v>
      </c>
      <c r="E16" s="33"/>
      <c r="F16" s="68">
        <f t="shared" si="1"/>
        <v>0</v>
      </c>
      <c r="G16" s="68" t="str">
        <f t="shared" si="2"/>
        <v/>
      </c>
      <c r="H16" s="33"/>
      <c r="I16" s="68">
        <f t="shared" si="3"/>
        <v>0</v>
      </c>
      <c r="J16" s="68" t="str">
        <f t="shared" si="4"/>
        <v/>
      </c>
      <c r="K16" s="33"/>
      <c r="L16" s="68" t="e">
        <f t="shared" si="5"/>
        <v>#DIV/0!</v>
      </c>
      <c r="M16" s="33">
        <v>0</v>
      </c>
      <c r="N16" s="68">
        <f t="shared" si="6"/>
        <v>0</v>
      </c>
      <c r="O16" s="68" t="str">
        <f t="shared" si="7"/>
        <v/>
      </c>
      <c r="P16" s="33"/>
      <c r="Q16" s="68">
        <f t="shared" si="8"/>
        <v>0</v>
      </c>
      <c r="R16" s="35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3">
        <v>0</v>
      </c>
      <c r="D17" s="68" t="e">
        <f t="shared" si="0"/>
        <v>#DIV/0!</v>
      </c>
      <c r="E17" s="33"/>
      <c r="F17" s="68">
        <f t="shared" si="1"/>
        <v>0</v>
      </c>
      <c r="G17" s="68" t="str">
        <f t="shared" si="2"/>
        <v/>
      </c>
      <c r="H17" s="33">
        <v>0</v>
      </c>
      <c r="I17" s="68"/>
      <c r="J17" s="68" t="str">
        <f t="shared" si="4"/>
        <v/>
      </c>
      <c r="K17" s="33"/>
      <c r="L17" s="68" t="e">
        <f t="shared" si="5"/>
        <v>#DIV/0!</v>
      </c>
      <c r="M17" s="33">
        <v>0</v>
      </c>
      <c r="N17" s="68">
        <f t="shared" si="6"/>
        <v>0</v>
      </c>
      <c r="O17" s="68" t="str">
        <f t="shared" si="7"/>
        <v/>
      </c>
      <c r="P17" s="33"/>
      <c r="Q17" s="68">
        <f t="shared" si="8"/>
        <v>0</v>
      </c>
      <c r="R17" s="35" t="str">
        <f t="shared" si="9"/>
        <v/>
      </c>
    </row>
    <row r="18" spans="2:21" x14ac:dyDescent="0.2">
      <c r="B18" s="3" t="str">
        <f>+'COLOMB$ '!B18</f>
        <v>Olfa Experience</v>
      </c>
      <c r="C18" s="33">
        <v>0</v>
      </c>
      <c r="D18" s="68" t="e">
        <f t="shared" si="0"/>
        <v>#DIV/0!</v>
      </c>
      <c r="E18" s="33"/>
      <c r="F18" s="68">
        <f t="shared" si="1"/>
        <v>0</v>
      </c>
      <c r="G18" s="68"/>
      <c r="H18" s="33"/>
      <c r="I18" s="68"/>
      <c r="J18" s="68" t="str">
        <f t="shared" si="4"/>
        <v/>
      </c>
      <c r="K18" s="33">
        <v>0</v>
      </c>
      <c r="L18" s="68" t="e">
        <f t="shared" si="5"/>
        <v>#DIV/0!</v>
      </c>
      <c r="M18" s="33">
        <v>1206.6590000000001</v>
      </c>
      <c r="N18" s="68">
        <f t="shared" si="6"/>
        <v>0</v>
      </c>
      <c r="O18" s="68"/>
      <c r="P18" s="33"/>
      <c r="Q18" s="68"/>
      <c r="R18" s="35" t="str">
        <f t="shared" si="9"/>
        <v/>
      </c>
    </row>
    <row r="19" spans="2:21" x14ac:dyDescent="0.2">
      <c r="B19" s="3" t="str">
        <f>+'COLOMB$ '!B19</f>
        <v>Locutor virtual</v>
      </c>
      <c r="C19" s="33"/>
      <c r="D19" s="68"/>
      <c r="E19" s="33"/>
      <c r="F19" s="68">
        <f t="shared" si="1"/>
        <v>0</v>
      </c>
      <c r="G19" s="68"/>
      <c r="H19" s="33"/>
      <c r="I19" s="68"/>
      <c r="J19" s="68" t="str">
        <f t="shared" si="4"/>
        <v/>
      </c>
      <c r="K19" s="33"/>
      <c r="L19" s="68" t="e">
        <f t="shared" si="5"/>
        <v>#DIV/0!</v>
      </c>
      <c r="M19" s="33"/>
      <c r="N19" s="68">
        <f t="shared" si="6"/>
        <v>0</v>
      </c>
      <c r="O19" s="68"/>
      <c r="P19" s="33"/>
      <c r="Q19" s="68"/>
      <c r="R19" s="35" t="str">
        <f t="shared" si="9"/>
        <v/>
      </c>
    </row>
    <row r="20" spans="2:21" x14ac:dyDescent="0.2">
      <c r="B20" s="21" t="s">
        <v>41</v>
      </c>
      <c r="C20" s="69">
        <f>SUM(C10:C19)</f>
        <v>0</v>
      </c>
      <c r="D20" s="72" t="e">
        <f>+C20/$C$20</f>
        <v>#DIV/0!</v>
      </c>
      <c r="E20" s="69">
        <f>SUM(E10:E17)</f>
        <v>0</v>
      </c>
      <c r="F20" s="72">
        <f t="shared" si="1"/>
        <v>0</v>
      </c>
      <c r="G20" s="72" t="str">
        <f>IF(C20=0,"",(E20-C20)/ABS(C20)+1)</f>
        <v/>
      </c>
      <c r="H20" s="69">
        <f>SUM(H10:H19)</f>
        <v>364</v>
      </c>
      <c r="I20" s="72">
        <f>+H22/$H$22</f>
        <v>1</v>
      </c>
      <c r="J20" s="68">
        <f t="shared" si="4"/>
        <v>-1</v>
      </c>
      <c r="K20" s="69">
        <f>SUM(K10:K19)</f>
        <v>0</v>
      </c>
      <c r="L20" s="72" t="e">
        <f t="shared" si="5"/>
        <v>#DIV/0!</v>
      </c>
      <c r="M20" s="69">
        <f>SUM(M10:M17)</f>
        <v>0</v>
      </c>
      <c r="N20" s="68">
        <f t="shared" si="6"/>
        <v>0</v>
      </c>
      <c r="O20" s="72" t="str">
        <f>IF(K20=0,"",(M20-K20)/ABS(K20)+1)</f>
        <v/>
      </c>
      <c r="P20" s="69">
        <f>SUM(P10:P17)</f>
        <v>364</v>
      </c>
      <c r="Q20" s="72">
        <f>+P20/$P$20</f>
        <v>1</v>
      </c>
      <c r="R20" s="35">
        <f t="shared" si="9"/>
        <v>-1</v>
      </c>
    </row>
    <row r="21" spans="2:21" x14ac:dyDescent="0.2">
      <c r="J21" s="68" t="str">
        <f t="shared" si="4"/>
        <v/>
      </c>
      <c r="R21" s="35" t="str">
        <f t="shared" si="9"/>
        <v/>
      </c>
      <c r="S21" s="79"/>
      <c r="T21" s="81"/>
      <c r="U21" s="81"/>
    </row>
    <row r="22" spans="2:21" x14ac:dyDescent="0.2">
      <c r="B22" s="3" t="s">
        <v>43</v>
      </c>
      <c r="C22" s="33">
        <v>0</v>
      </c>
      <c r="D22" s="68" t="e">
        <f>+C22/$C$20</f>
        <v>#DIV/0!</v>
      </c>
      <c r="E22" s="33">
        <v>381.6</v>
      </c>
      <c r="F22" s="68">
        <f>IF($E$20=0,0,E22/$E$20)</f>
        <v>0</v>
      </c>
      <c r="G22" s="68" t="str">
        <f>IF(C22=0,"",(E22-C22)/ABS(C22)+1)</f>
        <v/>
      </c>
      <c r="H22" s="33">
        <v>796.63406000000009</v>
      </c>
      <c r="I22" s="68">
        <f>+H22/$H$20</f>
        <v>2.1885551098901099</v>
      </c>
      <c r="J22" s="68">
        <f t="shared" si="4"/>
        <v>-0.52098457854036517</v>
      </c>
      <c r="K22" s="33">
        <v>0</v>
      </c>
      <c r="L22" s="68" t="e">
        <f>+K22/$K$20</f>
        <v>#DIV/0!</v>
      </c>
      <c r="M22" s="33">
        <v>381.6</v>
      </c>
      <c r="N22" s="68">
        <f>IF($M$20=0,0,M22/$M$20)</f>
        <v>0</v>
      </c>
      <c r="O22" s="68" t="str">
        <f>IF(K22=0,"",(M22-K22)/ABS(K22)+1)</f>
        <v/>
      </c>
      <c r="P22" s="63">
        <v>796.63406000000009</v>
      </c>
      <c r="Q22" s="68"/>
      <c r="R22" s="35">
        <f t="shared" si="9"/>
        <v>-0.52098457854036517</v>
      </c>
    </row>
    <row r="23" spans="2:21" x14ac:dyDescent="0.2">
      <c r="J23" s="68" t="str">
        <f t="shared" si="4"/>
        <v/>
      </c>
      <c r="R23" s="35" t="str">
        <f t="shared" si="9"/>
        <v/>
      </c>
      <c r="T23" s="53"/>
      <c r="U23" s="53"/>
    </row>
    <row r="24" spans="2:21" x14ac:dyDescent="0.2">
      <c r="B24" s="3" t="s">
        <v>45</v>
      </c>
      <c r="C24" s="33">
        <f>+C20-C22</f>
        <v>0</v>
      </c>
      <c r="D24" s="68" t="e">
        <f>+C24/$C$20</f>
        <v>#DIV/0!</v>
      </c>
      <c r="E24" s="33">
        <f>+E20-E22</f>
        <v>-381.6</v>
      </c>
      <c r="F24" s="68">
        <f>IF($E$20=0,0,E24/$E$20)</f>
        <v>0</v>
      </c>
      <c r="G24" s="68" t="str">
        <f>IF(C24=0,"",(E24-C24)/ABS(C24)+1)</f>
        <v/>
      </c>
      <c r="H24" s="33">
        <f>+H20-H22</f>
        <v>-432.63406000000009</v>
      </c>
      <c r="I24" s="68">
        <f>+H24/$H$20</f>
        <v>-1.1885551098901102</v>
      </c>
      <c r="J24" s="68" t="str">
        <f t="shared" si="4"/>
        <v/>
      </c>
      <c r="K24" s="33">
        <f>+K20-K22</f>
        <v>0</v>
      </c>
      <c r="L24" s="68" t="e">
        <f>+K24/$K$20</f>
        <v>#DIV/0!</v>
      </c>
      <c r="M24" s="33">
        <f>+M20-M22</f>
        <v>-381.6</v>
      </c>
      <c r="N24" s="68">
        <f>IF($M$20=0,0,M24/$M$20)</f>
        <v>0</v>
      </c>
      <c r="O24" s="68" t="str">
        <f>IF(K24=0,"",(M24-K24)/ABS(K24)+1)</f>
        <v/>
      </c>
      <c r="P24" s="33">
        <f>+P20-P22</f>
        <v>-432.63406000000009</v>
      </c>
      <c r="Q24" s="68">
        <f>+P24/$P$20</f>
        <v>-1.1885551098901102</v>
      </c>
      <c r="R24" s="35" t="str">
        <f t="shared" si="9"/>
        <v/>
      </c>
    </row>
    <row r="25" spans="2:21" x14ac:dyDescent="0.2">
      <c r="J25" s="68" t="str">
        <f t="shared" si="4"/>
        <v/>
      </c>
      <c r="R25" s="35" t="str">
        <f t="shared" si="9"/>
        <v/>
      </c>
      <c r="T25" s="53"/>
      <c r="U25" s="53"/>
    </row>
    <row r="26" spans="2:21" x14ac:dyDescent="0.2">
      <c r="B26" s="3" t="s">
        <v>47</v>
      </c>
      <c r="C26" s="33">
        <v>0</v>
      </c>
      <c r="D26" s="68" t="e">
        <f>+C26/$C$20</f>
        <v>#DIV/0!</v>
      </c>
      <c r="E26" s="33">
        <v>289.47399999999999</v>
      </c>
      <c r="F26" s="68">
        <f>IF($E$20=0,0,E26/$E$20)</f>
        <v>0</v>
      </c>
      <c r="G26" s="68" t="str">
        <f>IF(C26=0,"",(E26-C26)/ABS(C26)+1)</f>
        <v/>
      </c>
      <c r="H26" s="33">
        <v>289.48379</v>
      </c>
      <c r="I26" s="68">
        <f>+H26/$H$20</f>
        <v>0.7952851373626374</v>
      </c>
      <c r="J26" s="68">
        <f t="shared" si="4"/>
        <v>-3.3818819354304823E-5</v>
      </c>
      <c r="K26" s="33">
        <v>0</v>
      </c>
      <c r="L26" s="68" t="e">
        <f>+K26/$K$20</f>
        <v>#DIV/0!</v>
      </c>
      <c r="M26" s="33">
        <v>289.47399999999999</v>
      </c>
      <c r="N26" s="68">
        <f>IF($M$20=0,0,M26/$M$20)</f>
        <v>0</v>
      </c>
      <c r="O26" s="68" t="str">
        <f>IF(K26=0,"",(M26-K26)/ABS(K26)+1)</f>
        <v/>
      </c>
      <c r="P26" s="33">
        <v>289.48379</v>
      </c>
      <c r="Q26" s="68">
        <f>+P26/$P$20</f>
        <v>0.7952851373626374</v>
      </c>
      <c r="R26" s="35">
        <f t="shared" si="9"/>
        <v>-3.3818819354304823E-5</v>
      </c>
    </row>
    <row r="27" spans="2:21" x14ac:dyDescent="0.2">
      <c r="B27" s="3" t="s">
        <v>48</v>
      </c>
      <c r="C27" s="33">
        <v>12946</v>
      </c>
      <c r="D27" s="68" t="e">
        <f>+C27/$C$20</f>
        <v>#DIV/0!</v>
      </c>
      <c r="E27" s="33">
        <v>13419.376</v>
      </c>
      <c r="F27" s="68">
        <f>IF($E$20=0,0,E27/$E$20)</f>
        <v>0</v>
      </c>
      <c r="G27" s="68">
        <f>IF(C27=0,"",(E27-C27)/ABS(C27)+1)</f>
        <v>1.0365654256140893</v>
      </c>
      <c r="H27" s="33">
        <v>0</v>
      </c>
      <c r="I27" s="68">
        <f>+H27/$H$20</f>
        <v>0</v>
      </c>
      <c r="J27" s="68" t="str">
        <f t="shared" si="4"/>
        <v/>
      </c>
      <c r="K27" s="33">
        <v>12946</v>
      </c>
      <c r="L27" s="68" t="e">
        <f>+K27/$K$20</f>
        <v>#DIV/0!</v>
      </c>
      <c r="M27" s="33">
        <v>13419.376</v>
      </c>
      <c r="N27" s="68">
        <f>IF($M$20=0,0,M27/$M$20)</f>
        <v>0</v>
      </c>
      <c r="O27" s="68">
        <f>IF(K27=0,"",(M27-K27)/ABS(K27)+1)</f>
        <v>1.0365654256140893</v>
      </c>
      <c r="P27" s="33">
        <v>0</v>
      </c>
      <c r="Q27" s="68">
        <f>+P27/$P$20</f>
        <v>0</v>
      </c>
      <c r="R27" s="35" t="str">
        <f t="shared" si="9"/>
        <v/>
      </c>
      <c r="S27" s="53"/>
      <c r="T27" s="53"/>
      <c r="U27" s="53"/>
    </row>
    <row r="28" spans="2:21" x14ac:dyDescent="0.2">
      <c r="B28" s="3" t="s">
        <v>50</v>
      </c>
      <c r="C28" s="33">
        <f>SUM(C26:C27)</f>
        <v>12946</v>
      </c>
      <c r="D28" s="68" t="e">
        <f>+C28/$C$20</f>
        <v>#DIV/0!</v>
      </c>
      <c r="E28" s="33">
        <f>SUM(E26:E27)</f>
        <v>13708.85</v>
      </c>
      <c r="F28" s="68">
        <f>IF($E$20=0,0,E28/$E$20)</f>
        <v>0</v>
      </c>
      <c r="G28" s="68">
        <f>IF(C28=0,"",(E28-C28)/ABS(C28)+1)</f>
        <v>1.0589255368453576</v>
      </c>
      <c r="H28" s="33">
        <f>SUM(H26:H27)</f>
        <v>289.48379</v>
      </c>
      <c r="I28" s="68">
        <f>+H28/$H$20</f>
        <v>0.7952851373626374</v>
      </c>
      <c r="J28" s="68">
        <f t="shared" si="4"/>
        <v>46.356192206824431</v>
      </c>
      <c r="K28" s="33">
        <f>SUM(K26:K27)</f>
        <v>12946</v>
      </c>
      <c r="L28" s="68" t="e">
        <f>+K28/$K$20</f>
        <v>#DIV/0!</v>
      </c>
      <c r="M28" s="33">
        <f>SUM(M26:M27)</f>
        <v>13708.85</v>
      </c>
      <c r="N28" s="68">
        <f>IF($M$20=0,0,M28/$M$20)</f>
        <v>0</v>
      </c>
      <c r="O28" s="68">
        <f>IF(K28=0,"",(M28-K28)/ABS(K28)+1)</f>
        <v>1.0589255368453576</v>
      </c>
      <c r="P28" s="33">
        <f>SUM(P26:P27)</f>
        <v>289.48379</v>
      </c>
      <c r="Q28" s="68">
        <f>+P28/$P$20</f>
        <v>0.7952851373626374</v>
      </c>
      <c r="R28" s="35">
        <f t="shared" si="9"/>
        <v>46.356192206824431</v>
      </c>
      <c r="S28" s="53"/>
      <c r="T28" s="53"/>
      <c r="U28" s="53"/>
    </row>
    <row r="29" spans="2:21" x14ac:dyDescent="0.2">
      <c r="J29" s="68" t="str">
        <f t="shared" si="4"/>
        <v/>
      </c>
      <c r="R29" s="35" t="str">
        <f t="shared" si="9"/>
        <v/>
      </c>
      <c r="S29" s="53"/>
      <c r="T29" s="53"/>
      <c r="U29" s="53"/>
    </row>
    <row r="30" spans="2:21" x14ac:dyDescent="0.2">
      <c r="B30" s="3" t="s">
        <v>52</v>
      </c>
      <c r="C30" s="33">
        <v>0</v>
      </c>
      <c r="D30" s="68" t="e">
        <f>+C30/$C$20</f>
        <v>#DIV/0!</v>
      </c>
      <c r="E30" s="33">
        <v>0</v>
      </c>
      <c r="F30" s="68">
        <f>IF($E$20=0,0,E30/$E$20)</f>
        <v>0</v>
      </c>
      <c r="G30" s="68" t="str">
        <f>IF(C30=0,"",(E30-C30)/ABS(C30)+1)</f>
        <v/>
      </c>
      <c r="H30" s="33">
        <v>4.2045300000000001</v>
      </c>
      <c r="I30" s="68"/>
      <c r="J30" s="68">
        <f t="shared" si="4"/>
        <v>-1</v>
      </c>
      <c r="K30" s="33">
        <v>0</v>
      </c>
      <c r="L30" s="68" t="e">
        <f>+K30/$K$20</f>
        <v>#DIV/0!</v>
      </c>
      <c r="M30" s="33">
        <v>0</v>
      </c>
      <c r="N30" s="68">
        <f>IF($M$20=0,0,M30/$M$20)</f>
        <v>0</v>
      </c>
      <c r="O30" s="68" t="str">
        <f>IF(K30=0,"",(M30-K30)/ABS(K30)+1)</f>
        <v/>
      </c>
      <c r="P30" s="33">
        <v>4.2045300000000001</v>
      </c>
      <c r="Q30" s="68">
        <f>+P30/$P$20</f>
        <v>1.1550906593406594E-2</v>
      </c>
      <c r="R30" s="35">
        <f t="shared" si="9"/>
        <v>-1</v>
      </c>
    </row>
    <row r="31" spans="2:21" x14ac:dyDescent="0.2">
      <c r="B31" s="3" t="s">
        <v>54</v>
      </c>
      <c r="C31" s="33"/>
      <c r="D31" s="68"/>
      <c r="E31" s="33">
        <v>0</v>
      </c>
      <c r="F31" s="68">
        <f>IF($E$20=0,0,E31/$E$20)</f>
        <v>0</v>
      </c>
      <c r="G31" s="68" t="str">
        <f>IF(C31=0,"",(E31-C31)/ABS(C31)+1)</f>
        <v/>
      </c>
      <c r="H31" s="33">
        <v>0</v>
      </c>
      <c r="I31" s="68"/>
      <c r="J31" s="68" t="str">
        <f>IF(H31&lt;=0,"",(E31-H31)/ABS(H31))</f>
        <v/>
      </c>
      <c r="K31" s="33">
        <v>0</v>
      </c>
      <c r="L31" s="68" t="e">
        <f>+K31/$K$20</f>
        <v>#DIV/0!</v>
      </c>
      <c r="M31" s="33">
        <v>0</v>
      </c>
      <c r="N31" s="68">
        <f>IF($M$20=0,0,M31/$M$20)</f>
        <v>0</v>
      </c>
      <c r="O31" s="68" t="str">
        <f>IF(K31=0,"",(M31-K31)/ABS(K31)+1)</f>
        <v/>
      </c>
      <c r="P31" s="33">
        <v>0</v>
      </c>
      <c r="Q31" s="68">
        <f>+P39/$P$20</f>
        <v>2.7472527472527472E-6</v>
      </c>
      <c r="R31" s="35" t="str">
        <f>IF(P31&lt;=0,"",(M31-P31)/ABS(P31))</f>
        <v/>
      </c>
      <c r="S31" s="53"/>
      <c r="T31" s="53"/>
      <c r="U31" s="53"/>
    </row>
    <row r="32" spans="2:21" x14ac:dyDescent="0.2">
      <c r="B32" s="3" t="s">
        <v>55</v>
      </c>
      <c r="C32" s="33">
        <f>SUM(C30:C31)</f>
        <v>0</v>
      </c>
      <c r="D32" s="68" t="e">
        <f>+C32/$C$20</f>
        <v>#DIV/0!</v>
      </c>
      <c r="E32" s="33">
        <f>SUM(E30:E31)</f>
        <v>0</v>
      </c>
      <c r="F32" s="68">
        <f>IF($E$20=0,0,E32/$E$20)</f>
        <v>0</v>
      </c>
      <c r="G32" s="68" t="str">
        <f>IF(C32=0,"",(E32-C32)/ABS(C32)+1)</f>
        <v/>
      </c>
      <c r="H32" s="33">
        <f>SUM(H30:H31)</f>
        <v>4.2045300000000001</v>
      </c>
      <c r="I32" s="68">
        <f>+H32/$H$20</f>
        <v>1.1550906593406594E-2</v>
      </c>
      <c r="J32" s="68">
        <f>IF(H32&lt;=0,"",(E32-H32)/ABS(H32))</f>
        <v>-1</v>
      </c>
      <c r="K32" s="33">
        <f>SUM(K30:K31)</f>
        <v>0</v>
      </c>
      <c r="L32" s="68" t="e">
        <f>+K32/$K$20</f>
        <v>#DIV/0!</v>
      </c>
      <c r="M32" s="33">
        <f>SUM(M30:M31)</f>
        <v>0</v>
      </c>
      <c r="N32" s="68">
        <f>IF($M$20=0,0,M32/$M$20)</f>
        <v>0</v>
      </c>
      <c r="O32" s="68" t="str">
        <f>IF(K32=0,"",(M32-K32)/ABS(K32)+1)</f>
        <v/>
      </c>
      <c r="P32" s="33">
        <f>+P30+P31</f>
        <v>4.2045300000000001</v>
      </c>
      <c r="Q32" s="68">
        <f>+P32/$P$20</f>
        <v>1.1550906593406594E-2</v>
      </c>
      <c r="R32" s="35">
        <f>IF(P32&lt;=0,"",(M32-P32)/ABS(P32))</f>
        <v>-1</v>
      </c>
    </row>
    <row r="33" spans="1:21" x14ac:dyDescent="0.2">
      <c r="S33" s="53"/>
      <c r="T33" s="53"/>
      <c r="U33" s="53"/>
    </row>
    <row r="34" spans="1:21" x14ac:dyDescent="0.2">
      <c r="B34" s="3" t="s">
        <v>56</v>
      </c>
      <c r="C34" s="33">
        <f>C28+C32</f>
        <v>12946</v>
      </c>
      <c r="D34" s="68" t="e">
        <f>+C34/$C$20</f>
        <v>#DIV/0!</v>
      </c>
      <c r="E34" s="33">
        <f>E28+E32</f>
        <v>13708.85</v>
      </c>
      <c r="F34" s="68">
        <f>IF($E$20=0,0,E34/$E$20)</f>
        <v>0</v>
      </c>
      <c r="G34" s="68">
        <f>IF(C34=0,"",(E34-C34)/ABS(C34)+1)</f>
        <v>1.0589255368453576</v>
      </c>
      <c r="H34" s="33">
        <f>+H32+H28</f>
        <v>293.68831999999998</v>
      </c>
      <c r="I34" s="68">
        <f>+H34/$H$20</f>
        <v>0.80683604395604391</v>
      </c>
      <c r="J34" s="68">
        <f>IF(H34&lt;=0,"",(E34-H34)/ABS(H34))</f>
        <v>45.678226767751617</v>
      </c>
      <c r="K34" s="33">
        <f>K28+K32</f>
        <v>12946</v>
      </c>
      <c r="L34" s="68" t="e">
        <f>+K34/$K$20</f>
        <v>#DIV/0!</v>
      </c>
      <c r="M34" s="33">
        <f>M28+M32</f>
        <v>13708.85</v>
      </c>
      <c r="N34" s="68">
        <f>IF($M$20=0,0,M34/$M$20)</f>
        <v>0</v>
      </c>
      <c r="O34" s="68">
        <f>IF(K34=0,"",(M34-K34)/ABS(K34)+1)</f>
        <v>1.0589255368453576</v>
      </c>
      <c r="P34" s="33">
        <f>P28+P32</f>
        <v>293.68831999999998</v>
      </c>
      <c r="Q34" s="68">
        <f>+P34/$P$20</f>
        <v>0.80683604395604391</v>
      </c>
      <c r="R34" s="35">
        <f>IF(P34&lt;=0,"",(M34-P34)/ABS(P34))</f>
        <v>45.678226767751617</v>
      </c>
      <c r="S34" s="53"/>
      <c r="T34" s="53"/>
      <c r="U34" s="53"/>
    </row>
    <row r="35" spans="1:21" x14ac:dyDescent="0.2">
      <c r="J35" s="68" t="str">
        <f t="shared" si="4"/>
        <v/>
      </c>
      <c r="R35" s="35" t="str">
        <f t="shared" si="9"/>
        <v/>
      </c>
      <c r="S35" s="53"/>
      <c r="T35" s="53"/>
      <c r="U35" s="53"/>
    </row>
    <row r="36" spans="1:21" x14ac:dyDescent="0.2">
      <c r="B36" s="21" t="s">
        <v>57</v>
      </c>
      <c r="C36" s="69">
        <f>C24-C34</f>
        <v>-12946</v>
      </c>
      <c r="D36" s="72" t="e">
        <f>+C36/$C$20</f>
        <v>#DIV/0!</v>
      </c>
      <c r="E36" s="69">
        <f>E24-E34</f>
        <v>-14090.45</v>
      </c>
      <c r="F36" s="72">
        <f>IF($E$20=0,0,E36/$E$20)</f>
        <v>0</v>
      </c>
      <c r="G36" s="72">
        <f>IF(C36=0,"",(E36-C36)/ABS(C36)+1)</f>
        <v>0.91159817704310209</v>
      </c>
      <c r="H36" s="69">
        <f>+H24-H34</f>
        <v>-726.32238000000007</v>
      </c>
      <c r="I36" s="72">
        <f>+H36/$H$20</f>
        <v>-1.995391153846154</v>
      </c>
      <c r="J36" s="72" t="str">
        <f t="shared" si="4"/>
        <v/>
      </c>
      <c r="K36" s="69">
        <f>K24-K34</f>
        <v>-12946</v>
      </c>
      <c r="L36" s="72" t="e">
        <f>+K36/$K$20</f>
        <v>#DIV/0!</v>
      </c>
      <c r="M36" s="69">
        <f>M24-M34</f>
        <v>-14090.45</v>
      </c>
      <c r="N36" s="72">
        <f>IF($M$20=0,0,M36/$M$20)</f>
        <v>0</v>
      </c>
      <c r="O36" s="72">
        <f>IF(K36=0,"",(M36-K36)/ABS(K36)+1)</f>
        <v>0.91159817704310209</v>
      </c>
      <c r="P36" s="69">
        <f>P24-P34</f>
        <v>-726.32238000000007</v>
      </c>
      <c r="Q36" s="72">
        <f>+P36/$P$20</f>
        <v>-1.995391153846154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5" t="str">
        <f t="shared" si="9"/>
        <v/>
      </c>
      <c r="S37" s="53"/>
      <c r="T37" s="53"/>
      <c r="U37" s="53"/>
    </row>
    <row r="38" spans="1:21" x14ac:dyDescent="0.2">
      <c r="B38" s="3" t="s">
        <v>58</v>
      </c>
      <c r="C38" s="33"/>
      <c r="D38" s="68" t="e">
        <f>+C38/$C$20</f>
        <v>#DIV/0!</v>
      </c>
      <c r="E38" s="33">
        <v>0</v>
      </c>
      <c r="F38" s="68">
        <f>IF($E$20=0,0,E38/$E$20)</f>
        <v>0</v>
      </c>
      <c r="G38" s="68" t="str">
        <f>IF(C38=0,"",(E38-C38)/ABS(C38)+1)</f>
        <v/>
      </c>
      <c r="H38" s="33">
        <v>0</v>
      </c>
      <c r="I38" s="68">
        <f>+H38/$H$20</f>
        <v>0</v>
      </c>
      <c r="J38" s="68" t="str">
        <f t="shared" si="4"/>
        <v/>
      </c>
      <c r="K38" s="33"/>
      <c r="L38" s="68" t="e">
        <f>+K38/$K$20</f>
        <v>#DIV/0!</v>
      </c>
      <c r="M38" s="33">
        <v>0</v>
      </c>
      <c r="N38" s="68">
        <f>IF($M$20=0,0,M38/$M$20)</f>
        <v>0</v>
      </c>
      <c r="O38" s="68" t="str">
        <f>IF(K38=0,"",(M38-K38)/ABS(K38)+1)</f>
        <v/>
      </c>
      <c r="P38" s="33">
        <v>0</v>
      </c>
      <c r="Q38" s="68">
        <f>+P38/$P$20</f>
        <v>0</v>
      </c>
      <c r="R38" s="35" t="str">
        <f t="shared" si="9"/>
        <v/>
      </c>
    </row>
    <row r="39" spans="1:21" x14ac:dyDescent="0.2">
      <c r="B39" s="3" t="s">
        <v>59</v>
      </c>
      <c r="C39" s="33"/>
      <c r="D39" s="68"/>
      <c r="E39" s="33">
        <v>0</v>
      </c>
      <c r="F39" s="68">
        <f>IF($E$20=0,0,E39/$E$20)</f>
        <v>0</v>
      </c>
      <c r="G39" s="68" t="str">
        <f>IF(C39=0,"",(E39-C39)/ABS(C39)+1)</f>
        <v/>
      </c>
      <c r="H39" s="33">
        <v>1E-3</v>
      </c>
      <c r="I39" s="68"/>
      <c r="J39" s="68">
        <f t="shared" si="4"/>
        <v>-1</v>
      </c>
      <c r="K39" s="33">
        <v>0</v>
      </c>
      <c r="L39" s="68" t="e">
        <f>+K39/$K$20</f>
        <v>#DIV/0!</v>
      </c>
      <c r="M39" s="33">
        <v>0</v>
      </c>
      <c r="N39" s="68">
        <f>IF($M$20=0,0,M39/$M$20)</f>
        <v>0</v>
      </c>
      <c r="O39" s="68" t="str">
        <f>IF(K39=0,"",(M39-K39)/ABS(K39)+1)</f>
        <v/>
      </c>
      <c r="P39" s="33">
        <v>1E-3</v>
      </c>
      <c r="Q39" s="68">
        <f>+P39/$P$20</f>
        <v>2.7472527472527472E-6</v>
      </c>
      <c r="R39" s="35">
        <f t="shared" si="9"/>
        <v>-1</v>
      </c>
      <c r="S39" s="53"/>
      <c r="T39" s="53"/>
      <c r="U39" s="53"/>
    </row>
    <row r="40" spans="1:21" x14ac:dyDescent="0.2">
      <c r="J40" s="68" t="str">
        <f t="shared" si="4"/>
        <v/>
      </c>
      <c r="R40" s="35" t="str">
        <f t="shared" si="9"/>
        <v/>
      </c>
      <c r="S40" s="53"/>
      <c r="T40" s="53"/>
      <c r="U40" s="53"/>
    </row>
    <row r="41" spans="1:21" x14ac:dyDescent="0.2">
      <c r="B41" s="3" t="s">
        <v>60</v>
      </c>
      <c r="C41" s="33">
        <f>+C36-C39</f>
        <v>-12946</v>
      </c>
      <c r="D41" s="68" t="e">
        <f>+C41/$C$20</f>
        <v>#DIV/0!</v>
      </c>
      <c r="E41" s="33">
        <f>+E36-E39</f>
        <v>-14090.45</v>
      </c>
      <c r="F41" s="68">
        <f>IF($E$20=0,0,E41/$E$20)</f>
        <v>0</v>
      </c>
      <c r="G41" s="68">
        <f>IF(C41=0,"",(E41-C41)/ABS(C41)+1)</f>
        <v>0.91159817704310209</v>
      </c>
      <c r="H41" s="33">
        <f>+H36+H38-H39</f>
        <v>-726.32338000000004</v>
      </c>
      <c r="I41" s="68">
        <f>+H41/$H$20</f>
        <v>-1.9953939010989012</v>
      </c>
      <c r="J41" s="68" t="str">
        <f t="shared" si="4"/>
        <v/>
      </c>
      <c r="K41" s="33">
        <f>K36+K38-K39</f>
        <v>-12946</v>
      </c>
      <c r="L41" s="68" t="e">
        <f>+K41/$K$20</f>
        <v>#DIV/0!</v>
      </c>
      <c r="M41" s="33">
        <f>M36+M38-M39</f>
        <v>-14090.45</v>
      </c>
      <c r="N41" s="68">
        <f>IF($M$20=0,0,M41/$M$20)</f>
        <v>0</v>
      </c>
      <c r="O41" s="68">
        <f>IF(K41=0,"",(M41-K41)/ABS(K41)+1)</f>
        <v>0.91159817704310209</v>
      </c>
      <c r="P41" s="33">
        <f>+P36-P39</f>
        <v>-726.32338000000004</v>
      </c>
      <c r="Q41" s="68">
        <f>+P41/$P$20</f>
        <v>-1.9953939010989012</v>
      </c>
      <c r="R41" s="35" t="str">
        <f t="shared" si="9"/>
        <v/>
      </c>
    </row>
    <row r="42" spans="1:21" x14ac:dyDescent="0.2">
      <c r="B42" s="3" t="s">
        <v>46</v>
      </c>
      <c r="C42" s="33">
        <v>0</v>
      </c>
      <c r="D42" s="68" t="e">
        <f>+C42/$C$20</f>
        <v>#DIV/0!</v>
      </c>
      <c r="E42" s="33"/>
      <c r="F42" s="68">
        <f>IF($E$20=0,0,E42/$E$20)</f>
        <v>0</v>
      </c>
      <c r="G42" s="68" t="str">
        <f>IF(C42=0,"",(E42-C42)/ABS(C42)+1)</f>
        <v/>
      </c>
      <c r="H42" s="33"/>
      <c r="I42" s="68">
        <f>+I41*33%</f>
        <v>-0.65847998736263746</v>
      </c>
      <c r="J42" s="68" t="str">
        <f t="shared" si="4"/>
        <v/>
      </c>
      <c r="K42" s="33">
        <v>0</v>
      </c>
      <c r="L42" s="68" t="e">
        <f>+K42/$K$20</f>
        <v>#DIV/0!</v>
      </c>
      <c r="M42" s="33">
        <f>+U43+E42</f>
        <v>0</v>
      </c>
      <c r="N42" s="68">
        <f>IF($M$20=0,0,M42/$M$20)</f>
        <v>0</v>
      </c>
      <c r="O42" s="68" t="str">
        <f>IF(K42=0,"",(M42-K42)/ABS(K42)+1)</f>
        <v/>
      </c>
      <c r="P42" s="33">
        <v>0</v>
      </c>
      <c r="Q42" s="68">
        <f>+P42/$P$20</f>
        <v>0</v>
      </c>
      <c r="R42" s="35" t="str">
        <f t="shared" si="9"/>
        <v/>
      </c>
      <c r="S42" s="53"/>
      <c r="T42" s="53"/>
      <c r="U42" s="53"/>
    </row>
    <row r="43" spans="1:21" x14ac:dyDescent="0.2">
      <c r="B43" s="21" t="s">
        <v>61</v>
      </c>
      <c r="C43" s="69">
        <f>+C41</f>
        <v>-12946</v>
      </c>
      <c r="D43" s="72" t="e">
        <f>+C43/$C$20</f>
        <v>#DIV/0!</v>
      </c>
      <c r="E43" s="69">
        <f>E41-E42</f>
        <v>-14090.45</v>
      </c>
      <c r="F43" s="72">
        <f>IF($E$20=0,0,E43/$E$20)</f>
        <v>0</v>
      </c>
      <c r="G43" s="72">
        <f>IF(C43=0,"",(E43-C43)/ABS(C43)+1)</f>
        <v>0.91159817704310209</v>
      </c>
      <c r="H43" s="69">
        <f>+H41-H42</f>
        <v>-726.32338000000004</v>
      </c>
      <c r="I43" s="72">
        <f>+H43/$H$20</f>
        <v>-1.9953939010989012</v>
      </c>
      <c r="J43" s="68" t="str">
        <f t="shared" si="4"/>
        <v/>
      </c>
      <c r="K43" s="69">
        <f>K41-K42</f>
        <v>-12946</v>
      </c>
      <c r="L43" s="72" t="e">
        <f>+K43/$K$20</f>
        <v>#DIV/0!</v>
      </c>
      <c r="M43" s="69">
        <f>+M41-M42</f>
        <v>-14090.45</v>
      </c>
      <c r="N43" s="72">
        <f>IF($M$20=0,0,M43/$M$20)</f>
        <v>0</v>
      </c>
      <c r="O43" s="72">
        <f>IF(K43=0,"",(M43-K43)/ABS(K43)+1)</f>
        <v>0.91159817704310209</v>
      </c>
      <c r="P43" s="69">
        <f>P41-P42</f>
        <v>-726.32338000000004</v>
      </c>
      <c r="Q43" s="72">
        <f>+P43/$P$20</f>
        <v>-1.9953939010989012</v>
      </c>
      <c r="R43" s="35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5" t="str">
        <f t="shared" si="9"/>
        <v/>
      </c>
      <c r="S44" s="53"/>
      <c r="T44" s="53"/>
      <c r="U44" s="53"/>
    </row>
    <row r="45" spans="1:21" x14ac:dyDescent="0.2">
      <c r="B45" s="3" t="s">
        <v>62</v>
      </c>
      <c r="C45" s="33">
        <v>-12946</v>
      </c>
      <c r="D45" s="68" t="e">
        <f>+C45/$C$20</f>
        <v>#DIV/0!</v>
      </c>
      <c r="E45" s="33">
        <v>-13800.976000000001</v>
      </c>
      <c r="F45" s="68">
        <f>IF($E$20=0,0,E45/$E$20)</f>
        <v>0</v>
      </c>
      <c r="G45" s="68">
        <f>IF(C45=0,"",(E45-C45)/ABS(C45)+1)</f>
        <v>0.93395828827437044</v>
      </c>
      <c r="H45" s="33">
        <v>-432.63506000000001</v>
      </c>
      <c r="I45" s="68">
        <f>+H45/$H$20</f>
        <v>-1.1885578571428572</v>
      </c>
      <c r="J45" s="68" t="str">
        <f t="shared" si="4"/>
        <v/>
      </c>
      <c r="K45" s="33">
        <v>-12946</v>
      </c>
      <c r="L45" s="68" t="e">
        <f>+K45/$K$20</f>
        <v>#DIV/0!</v>
      </c>
      <c r="M45" s="33">
        <v>-13800.976000000001</v>
      </c>
      <c r="N45" s="68">
        <f>IF($M$20=0,0,M45/$M$20)</f>
        <v>0</v>
      </c>
      <c r="O45" s="68">
        <f>IF(K45=0,"",(M45-K45)/ABS(K45)+1)</f>
        <v>0.93395828827437044</v>
      </c>
      <c r="P45" s="33">
        <v>-432.63406000000003</v>
      </c>
      <c r="Q45" s="68">
        <f>+P45/$P$20</f>
        <v>-1.1885551098901099</v>
      </c>
      <c r="R45" s="35" t="str">
        <f t="shared" si="9"/>
        <v/>
      </c>
    </row>
    <row r="46" spans="1:21" x14ac:dyDescent="0.2">
      <c r="B46" s="3" t="s">
        <v>37</v>
      </c>
      <c r="C46" s="33">
        <v>10615</v>
      </c>
      <c r="D46" s="68" t="e">
        <f>+C46/$C$20</f>
        <v>#DIV/0!</v>
      </c>
      <c r="E46" s="33">
        <v>0</v>
      </c>
      <c r="F46" s="68">
        <f>IF($E$20=0,0,E46/$E$20)</f>
        <v>0</v>
      </c>
      <c r="G46" s="68">
        <f>IF(C46=0,"",(E46-C46)/ABS(C46)+1)</f>
        <v>0</v>
      </c>
      <c r="H46" s="33">
        <v>0</v>
      </c>
      <c r="I46" s="68">
        <f>+H46/$H$20</f>
        <v>0</v>
      </c>
      <c r="J46" s="68" t="str">
        <f t="shared" si="4"/>
        <v/>
      </c>
      <c r="K46" s="33">
        <v>10615</v>
      </c>
      <c r="L46" s="68" t="e">
        <f>+K46/$K$20</f>
        <v>#DIV/0!</v>
      </c>
      <c r="M46" s="33">
        <v>0</v>
      </c>
      <c r="N46" s="68">
        <f>IF($M$20=0,0,M46/$M$20)</f>
        <v>0</v>
      </c>
      <c r="O46" s="68">
        <f>IF(K46=0,"",(M46-K46)/ABS(K46)+1)</f>
        <v>0</v>
      </c>
      <c r="P46" s="33">
        <v>0</v>
      </c>
      <c r="Q46" s="33">
        <f>+P46/$P$20</f>
        <v>0</v>
      </c>
      <c r="R46" s="35" t="str">
        <f>IF(P46=0,"",(M46-P46)/ABS(P46))</f>
        <v/>
      </c>
      <c r="S46" s="53"/>
      <c r="T46" s="53"/>
      <c r="U46" s="53"/>
    </row>
    <row r="48" spans="1:21" x14ac:dyDescent="0.2">
      <c r="M48" s="55" t="s">
        <v>63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816E3-7BDF-4161-A164-EFEA1FE5C7F1}">
  <sheetPr>
    <tabColor theme="2" tint="-9.9978637043366805E-2"/>
  </sheetPr>
  <dimension ref="A3:AJ48"/>
  <sheetViews>
    <sheetView showGridLines="0" zoomScale="91" zoomScaleNormal="91" workbookViewId="0">
      <selection activeCell="A15" sqref="A15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92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20" t="s">
        <v>93</v>
      </c>
      <c r="V4" s="20" t="str">
        <f>+'COLOMB$ '!T4</f>
        <v xml:space="preserve">Flujo de Caja </v>
      </c>
      <c r="Z4" s="15"/>
      <c r="AA4" s="15"/>
    </row>
    <row r="5" spans="1:36" x14ac:dyDescent="0.2">
      <c r="B5" s="20" t="s">
        <v>94</v>
      </c>
      <c r="V5" s="20" t="s">
        <v>94</v>
      </c>
      <c r="AI5" s="83">
        <f>+Paramet!G3-Paramet!G4</f>
        <v>350.26999999999953</v>
      </c>
      <c r="AJ5" s="84">
        <f>+AI5/Paramet!G4</f>
        <v>9.1161543866954561E-2</v>
      </c>
    </row>
    <row r="6" spans="1:36" ht="13.5" thickBot="1" x14ac:dyDescent="0.25">
      <c r="B6" s="19" t="str">
        <f>+'COLOMB$ '!B6</f>
        <v>ENERO de 2026</v>
      </c>
      <c r="C6" s="85"/>
      <c r="K6" s="86" t="s">
        <v>25</v>
      </c>
      <c r="L6" s="86"/>
      <c r="M6" s="86"/>
      <c r="N6" s="86"/>
      <c r="O6" s="86"/>
      <c r="P6" s="86"/>
      <c r="Q6" s="86"/>
      <c r="R6" s="86"/>
      <c r="V6" s="19" t="str">
        <f>+B6</f>
        <v>ENERO de 2026</v>
      </c>
      <c r="Z6" s="22" t="s">
        <v>25</v>
      </c>
      <c r="AA6" s="22"/>
      <c r="AB6" s="22"/>
      <c r="AC6" s="22"/>
      <c r="AD6" s="22"/>
      <c r="AE6" s="22"/>
    </row>
    <row r="7" spans="1:36" ht="15.75" customHeight="1" x14ac:dyDescent="0.2">
      <c r="C7" s="23" t="str">
        <f>+'COLOMB$ '!D7:D7</f>
        <v>Ppto 2026</v>
      </c>
      <c r="D7" s="23"/>
      <c r="E7" s="23" t="str">
        <f>+'COLOMB$ '!F7:F7</f>
        <v>Real 2026</v>
      </c>
      <c r="F7" s="23"/>
      <c r="G7" s="23" t="s">
        <v>26</v>
      </c>
      <c r="H7" s="23" t="str">
        <f>+'COLOMB$ '!I7:I7</f>
        <v>Real 2025</v>
      </c>
      <c r="I7" s="23"/>
      <c r="J7" s="23" t="s">
        <v>27</v>
      </c>
      <c r="K7" s="23" t="str">
        <f>+C7</f>
        <v>Ppto 2026</v>
      </c>
      <c r="L7" s="23"/>
      <c r="M7" s="23" t="str">
        <f>+E7</f>
        <v>Real 2026</v>
      </c>
      <c r="N7" s="23"/>
      <c r="O7" s="23" t="s">
        <v>26</v>
      </c>
      <c r="P7" s="23" t="str">
        <f>+H7</f>
        <v>Real 2025</v>
      </c>
      <c r="Q7" s="23"/>
      <c r="R7" s="23" t="s">
        <v>27</v>
      </c>
      <c r="T7" s="10"/>
      <c r="W7" s="15" t="str">
        <f>+C7</f>
        <v>Ppto 2026</v>
      </c>
      <c r="X7" s="15" t="str">
        <f>+M7</f>
        <v>Real 2026</v>
      </c>
      <c r="Y7" s="15" t="str">
        <f>+H7</f>
        <v>Real 2025</v>
      </c>
      <c r="Z7" s="15" t="str">
        <f>+W7</f>
        <v>Ppto 2026</v>
      </c>
      <c r="AA7" s="15" t="str">
        <f>+X7</f>
        <v>Real 2026</v>
      </c>
      <c r="AB7" s="15" t="s">
        <v>28</v>
      </c>
      <c r="AC7" s="15" t="s">
        <v>26</v>
      </c>
      <c r="AD7" s="15" t="str">
        <f>+Y7</f>
        <v>Real 2025</v>
      </c>
      <c r="AE7" s="15" t="s">
        <v>27</v>
      </c>
      <c r="AI7" s="13" t="s">
        <v>95</v>
      </c>
    </row>
    <row r="8" spans="1:36" ht="13.5" thickBot="1" x14ac:dyDescent="0.25">
      <c r="B8" s="87" t="s">
        <v>29</v>
      </c>
      <c r="C8" s="88" t="s">
        <v>30</v>
      </c>
      <c r="D8" s="88" t="s">
        <v>31</v>
      </c>
      <c r="E8" s="88" t="s">
        <v>30</v>
      </c>
      <c r="F8" s="88" t="s">
        <v>31</v>
      </c>
      <c r="G8" s="88" t="s">
        <v>32</v>
      </c>
      <c r="H8" s="88" t="s">
        <v>30</v>
      </c>
      <c r="I8" s="88" t="s">
        <v>31</v>
      </c>
      <c r="J8" s="88" t="s">
        <v>32</v>
      </c>
      <c r="K8" s="88" t="s">
        <v>30</v>
      </c>
      <c r="L8" s="88" t="s">
        <v>31</v>
      </c>
      <c r="M8" s="88" t="s">
        <v>30</v>
      </c>
      <c r="N8" s="88" t="s">
        <v>31</v>
      </c>
      <c r="O8" s="88" t="s">
        <v>32</v>
      </c>
      <c r="P8" s="88" t="s">
        <v>30</v>
      </c>
      <c r="Q8" s="88" t="s">
        <v>31</v>
      </c>
      <c r="R8" s="88" t="s">
        <v>32</v>
      </c>
      <c r="T8" s="17" t="s">
        <v>96</v>
      </c>
      <c r="U8" s="17"/>
      <c r="V8" s="30"/>
      <c r="W8" s="31"/>
      <c r="X8" s="31"/>
      <c r="Y8" s="31"/>
      <c r="Z8" s="31"/>
      <c r="AA8" s="31"/>
      <c r="AB8" s="31"/>
      <c r="AC8" s="31" t="s">
        <v>32</v>
      </c>
      <c r="AD8" s="31"/>
      <c r="AE8" s="31" t="s">
        <v>32</v>
      </c>
    </row>
    <row r="9" spans="1:36" x14ac:dyDescent="0.2">
      <c r="T9" s="38"/>
      <c r="U9" s="17" t="s">
        <v>97</v>
      </c>
      <c r="AH9" s="83"/>
    </row>
    <row r="10" spans="1:36" x14ac:dyDescent="0.2">
      <c r="B10" s="20" t="str">
        <f>+'COLOMB$ '!B10</f>
        <v>Musical Experience  (Ambiental)</v>
      </c>
      <c r="C10" s="36">
        <f>+'COL. CONS.$'!C10/Paramet!$G$5*1000</f>
        <v>101578.71457248818</v>
      </c>
      <c r="D10" s="34">
        <f t="shared" ref="D10:D15" si="0">+C10/$C$20</f>
        <v>0.45722882524889402</v>
      </c>
      <c r="E10" s="36">
        <f>+'COL. CONS.$'!E10/Paramet!$G$3*1000</f>
        <v>89530.886544529974</v>
      </c>
      <c r="F10" s="34">
        <f t="shared" ref="F10:F18" si="1">+E10/$E$20</f>
        <v>0.43912487889685331</v>
      </c>
      <c r="G10" s="34">
        <f t="shared" ref="G10:G18" si="2">IF(C10=0,"",(E10-C10)/ABS(C10)+1)</f>
        <v>0.88139416728530573</v>
      </c>
      <c r="H10" s="36">
        <f>+'COL. CONS.$'!H10/Paramet!$G$4*1000</f>
        <v>117209.88860838559</v>
      </c>
      <c r="I10" s="34">
        <f t="shared" ref="I10:I18" si="3">+H10/$H$20</f>
        <v>0.46313444918046726</v>
      </c>
      <c r="J10" s="35">
        <f t="shared" ref="J10:J18" si="4">IF(H10=0,"",(E10-H10)/ABS(H10))</f>
        <v>-0.23614903479974272</v>
      </c>
      <c r="K10" s="36">
        <f>+'COL. CONS.$'!K10/Paramet!$G$5*1000</f>
        <v>101578.71457248818</v>
      </c>
      <c r="L10" s="34">
        <f t="shared" ref="L10:L18" si="5">+K10/$K$20</f>
        <v>0.45722882524889402</v>
      </c>
      <c r="M10" s="36">
        <f>+'COL. CONS.$'!M10/Paramet!$G$3*1000</f>
        <v>89530.886544529974</v>
      </c>
      <c r="N10" s="34">
        <f t="shared" ref="N10:N18" si="6">+M10/$M$20</f>
        <v>0.43912487889685331</v>
      </c>
      <c r="O10" s="34">
        <f t="shared" ref="O10:O18" si="7">IF(K10=0,"",(M10-K10)/ABS(K10)+1)</f>
        <v>0.88139416728530573</v>
      </c>
      <c r="P10" s="36">
        <f>+'COL. CONS.$'!P10/Paramet!$G$4*1000</f>
        <v>117209.88860838559</v>
      </c>
      <c r="Q10" s="34">
        <f t="shared" ref="Q10:Q18" si="8">+P10/$P$20</f>
        <v>0.57969715755740259</v>
      </c>
      <c r="R10" s="35">
        <f t="shared" ref="R10:R18" si="9">IF(P10=0,"",(M10-P10)/ABS(P10))</f>
        <v>-0.23614903479974272</v>
      </c>
      <c r="T10" s="38"/>
      <c r="U10" s="37" t="s">
        <v>98</v>
      </c>
      <c r="V10" s="20" t="s">
        <v>33</v>
      </c>
      <c r="W10" s="36">
        <f>+'COL. CONS.$'!U10/Paramet!G5*1000</f>
        <v>9151.5543306908021</v>
      </c>
      <c r="X10" s="36">
        <f>'COLOMB$ '!V10/Paramet!$G$3*1000</f>
        <v>9623.2144007136449</v>
      </c>
      <c r="Y10" s="36">
        <f>'COLOMB$ '!W10/Paramet!$G$4*1000</f>
        <v>32567.212346771463</v>
      </c>
      <c r="Z10" s="36">
        <f>'COLOMB$ '!X10/Paramet!$G$5*1000</f>
        <v>9151.5543306908021</v>
      </c>
      <c r="AA10" s="36">
        <f>+'COL. CONS.$'!Y10/Paramet!G3*1000</f>
        <v>9623.2144007136449</v>
      </c>
      <c r="AB10" s="37">
        <f>+AA10-Z10</f>
        <v>471.66007002284277</v>
      </c>
      <c r="AC10" s="38">
        <f>IF(Z10=0,"",(AA10-Z10)/ABS(Z10)+1)</f>
        <v>1.0515387936277749</v>
      </c>
      <c r="AD10" s="36">
        <f>'COLOMB$ '!AB10/Paramet!$G$4*1000</f>
        <v>32567.212346771463</v>
      </c>
      <c r="AE10" s="35">
        <f>IF(Y10=0,"",(AA10-AD10)/ABS(AD10))</f>
        <v>-0.70451218549973194</v>
      </c>
      <c r="AF10" s="83"/>
    </row>
    <row r="11" spans="1:36" x14ac:dyDescent="0.2">
      <c r="B11" s="20" t="str">
        <f>+'COLOMB$ '!B11</f>
        <v>Instalaciones</v>
      </c>
      <c r="C11" s="36">
        <f>+'COL. CONS.$'!C11/Paramet!$G$5*1000</f>
        <v>4451.0224218298117</v>
      </c>
      <c r="D11" s="34">
        <f t="shared" si="0"/>
        <v>2.0035061101678214E-2</v>
      </c>
      <c r="E11" s="36">
        <f>+'COL. CONS.$'!E11/Paramet!$G$3*1000</f>
        <v>533.6151811418772</v>
      </c>
      <c r="F11" s="34">
        <f t="shared" si="1"/>
        <v>2.6172387076710524E-3</v>
      </c>
      <c r="G11" s="34">
        <f t="shared" si="2"/>
        <v>0.11988597912353549</v>
      </c>
      <c r="H11" s="36">
        <f>+'COL. CONS.$'!H11/Paramet!$G$4*1000</f>
        <v>4998.8152929235093</v>
      </c>
      <c r="I11" s="34">
        <f t="shared" si="3"/>
        <v>1.9751947508270168E-2</v>
      </c>
      <c r="J11" s="35">
        <f t="shared" si="4"/>
        <v>-0.89325167067139277</v>
      </c>
      <c r="K11" s="36">
        <f>+'COL. CONS.$'!K11/Paramet!$G$5*1000</f>
        <v>4451.0224218298117</v>
      </c>
      <c r="L11" s="34">
        <f t="shared" si="5"/>
        <v>2.0035061101678214E-2</v>
      </c>
      <c r="M11" s="36">
        <f>+'COL. CONS.$'!M11/Paramet!$G$3*1000</f>
        <v>533.6151811418772</v>
      </c>
      <c r="N11" s="34">
        <f t="shared" si="6"/>
        <v>2.6172387076710524E-3</v>
      </c>
      <c r="O11" s="34">
        <f t="shared" si="7"/>
        <v>0.11988597912353549</v>
      </c>
      <c r="P11" s="36">
        <f>+'COL. CONS.$'!P11/Paramet!$G$4*1000</f>
        <v>4998.8152929235093</v>
      </c>
      <c r="Q11" s="34">
        <f t="shared" si="8"/>
        <v>2.472316159384964E-2</v>
      </c>
      <c r="R11" s="35">
        <f t="shared" si="9"/>
        <v>-0.89325167067139277</v>
      </c>
      <c r="T11" s="38">
        <f>+E22/C22</f>
        <v>1.2625902881873943</v>
      </c>
      <c r="U11" s="37" t="s">
        <v>99</v>
      </c>
      <c r="V11" s="20" t="s">
        <v>34</v>
      </c>
      <c r="W11" s="36">
        <f>'COLOMB$ '!U11/Paramet!$G$5*1000</f>
        <v>237913.64306987403</v>
      </c>
      <c r="X11" s="36">
        <f>'COLOMB$ '!V11/Paramet!$G$3*1000</f>
        <v>250175.42522128436</v>
      </c>
      <c r="Y11" s="36">
        <f>'COLOMB$ '!W11/Paramet!$G$4*1000</f>
        <v>299542.72396221012</v>
      </c>
      <c r="Z11" s="36">
        <f>'COLOMB$ '!X11/Paramet!$G$5*1000</f>
        <v>237913.64306987403</v>
      </c>
      <c r="AA11" s="36">
        <f>'COLOMB$ '!Y11/Paramet!$G$3*1000</f>
        <v>250175.42522128436</v>
      </c>
      <c r="AB11" s="37">
        <f>+AA11-Z11</f>
        <v>12261.782151410327</v>
      </c>
      <c r="AC11" s="38">
        <f>IF(Z11=0,"",(AA11-Z11)/ABS(Z11)+1)</f>
        <v>1.0515387936277749</v>
      </c>
      <c r="AD11" s="36">
        <f>'COLOMB$ '!AB11/Paramet!$G$4*1000</f>
        <v>299542.72396221012</v>
      </c>
      <c r="AE11" s="35">
        <f>IF(AD11=0,"",(AA11-AD11)/ABS(AD11))</f>
        <v>-0.16480887296449193</v>
      </c>
      <c r="AF11" s="83"/>
    </row>
    <row r="12" spans="1:36" x14ac:dyDescent="0.2">
      <c r="B12" s="20" t="str">
        <f>+'COLOMB$ '!B12</f>
        <v>Voice Experience (Publihold)</v>
      </c>
      <c r="C12" s="36">
        <f>+'COL. CONS.$'!C12/Paramet!$G$5*1000</f>
        <v>20053.757953114899</v>
      </c>
      <c r="D12" s="34">
        <f t="shared" si="0"/>
        <v>9.0266511338703101E-2</v>
      </c>
      <c r="E12" s="36">
        <f>+'COL. CONS.$'!E12/Paramet!$G$3*1000</f>
        <v>17209.69500807381</v>
      </c>
      <c r="F12" s="34">
        <f t="shared" si="1"/>
        <v>8.4408917725990185E-2</v>
      </c>
      <c r="G12" s="34">
        <f t="shared" si="2"/>
        <v>0.85817805561977833</v>
      </c>
      <c r="H12" s="36">
        <f>+'COL. CONS.$'!H12/Paramet!$G$4*1000</f>
        <v>16839.644483772739</v>
      </c>
      <c r="I12" s="34">
        <f t="shared" si="3"/>
        <v>6.6538920606302954E-2</v>
      </c>
      <c r="J12" s="35">
        <f t="shared" si="4"/>
        <v>2.1974960614974007E-2</v>
      </c>
      <c r="K12" s="36">
        <f>+'COL. CONS.$'!K12/Paramet!$G$5*1000</f>
        <v>20053.757953114899</v>
      </c>
      <c r="L12" s="34">
        <f t="shared" si="5"/>
        <v>9.0266511338703101E-2</v>
      </c>
      <c r="M12" s="36">
        <f>+'COL. CONS.$'!M12/Paramet!$G$3*1000</f>
        <v>17209.69500807381</v>
      </c>
      <c r="N12" s="34">
        <f t="shared" si="6"/>
        <v>8.4408917725990185E-2</v>
      </c>
      <c r="O12" s="34">
        <f t="shared" si="7"/>
        <v>0.85817805561977833</v>
      </c>
      <c r="P12" s="36">
        <f>+'COL. CONS.$'!P12/Paramet!$G$4*1000</f>
        <v>16839.644483772739</v>
      </c>
      <c r="Q12" s="34">
        <f t="shared" si="8"/>
        <v>8.3285584155242107E-2</v>
      </c>
      <c r="R12" s="35">
        <f t="shared" si="9"/>
        <v>2.1974960614974007E-2</v>
      </c>
      <c r="T12" s="38">
        <f>+E24/C24</f>
        <v>0.88284594342382228</v>
      </c>
      <c r="U12" s="89">
        <v>1208</v>
      </c>
      <c r="AE12" s="2"/>
      <c r="AF12" s="83"/>
    </row>
    <row r="13" spans="1:36" x14ac:dyDescent="0.2">
      <c r="B13" s="20" t="str">
        <f>+'COLOMB$ '!B13</f>
        <v>Service &amp; Equipment Experience</v>
      </c>
      <c r="C13" s="36">
        <f>+'COL. CONS.$'!C13/Paramet!$G$5*1000</f>
        <v>9432.5927438104627</v>
      </c>
      <c r="D13" s="34">
        <f t="shared" si="0"/>
        <v>4.2458238593145209E-2</v>
      </c>
      <c r="E13" s="36">
        <f>+'COL. CONS.$'!E13/Paramet!$G$3*1000</f>
        <v>15213.300910897136</v>
      </c>
      <c r="F13" s="34">
        <f t="shared" si="1"/>
        <v>7.4617142507534456E-2</v>
      </c>
      <c r="G13" s="34">
        <f t="shared" si="2"/>
        <v>1.6128440317620938</v>
      </c>
      <c r="H13" s="36">
        <f>+'COL. CONS.$'!H13/Paramet!$G$4*1000</f>
        <v>23534.154803112717</v>
      </c>
      <c r="I13" s="34">
        <f t="shared" si="3"/>
        <v>9.2991111510088667E-2</v>
      </c>
      <c r="J13" s="35">
        <f t="shared" si="4"/>
        <v>-0.35356501908940585</v>
      </c>
      <c r="K13" s="36">
        <f>+'COL. CONS.$'!K13/Paramet!$G$5*1000</f>
        <v>9432.5927438104627</v>
      </c>
      <c r="L13" s="34">
        <f t="shared" si="5"/>
        <v>4.2458238593145209E-2</v>
      </c>
      <c r="M13" s="36">
        <f>+'COL. CONS.$'!M13/Paramet!$G$3*1000</f>
        <v>15213.300910897136</v>
      </c>
      <c r="N13" s="34">
        <f t="shared" si="6"/>
        <v>7.4617142507534456E-2</v>
      </c>
      <c r="O13" s="34">
        <f t="shared" si="7"/>
        <v>1.6128440317620938</v>
      </c>
      <c r="P13" s="36">
        <f>+'COL. CONS.$'!P13/Paramet!$G$4*1000</f>
        <v>23534.154803112717</v>
      </c>
      <c r="Q13" s="34">
        <f t="shared" si="8"/>
        <v>0.11639532130657014</v>
      </c>
      <c r="R13" s="35">
        <f t="shared" si="9"/>
        <v>-0.35356501908940585</v>
      </c>
      <c r="T13" s="38">
        <f>+E26/C26</f>
        <v>1.0525362656178998</v>
      </c>
      <c r="U13" s="37" t="s">
        <v>100</v>
      </c>
      <c r="V13" s="20" t="s">
        <v>35</v>
      </c>
      <c r="W13" s="36">
        <f>'COLOMB$ '!U13/Paramet!$G$5*1000</f>
        <v>45255.149989225727</v>
      </c>
      <c r="X13" s="36">
        <f>'COLOMB$ '!V13/Paramet!$G$3*1000</f>
        <v>47587.54582511443</v>
      </c>
      <c r="Y13" s="36">
        <f>'COLOMB$ '!W13/Paramet!$G$4*1000</f>
        <v>43152.224448897789</v>
      </c>
      <c r="Z13" s="36">
        <f>'COLOMB$ '!X13/Paramet!$G$5*1000</f>
        <v>45255.149989225727</v>
      </c>
      <c r="AA13" s="36">
        <f>'COLOMB$ '!Y13/Paramet!$G$3*1000</f>
        <v>47587.54582511443</v>
      </c>
      <c r="AB13" s="37">
        <f>+Z13-AA13</f>
        <v>-2332.395835888703</v>
      </c>
      <c r="AC13" s="38">
        <f>IF(Z13=0,"",(AA13-Z13)/ABS(Z13)+1)</f>
        <v>1.0515387936277749</v>
      </c>
      <c r="AD13" s="36">
        <f>'COLOMB$ '!AB13/Paramet!$G$4*1000</f>
        <v>43152.224448897789</v>
      </c>
      <c r="AE13" s="35">
        <f>IF(AD13=0,"",(AA13-AD13)/ABS(AD13))</f>
        <v>0.10278314577894096</v>
      </c>
      <c r="AF13" s="83"/>
      <c r="AG13" s="41"/>
    </row>
    <row r="14" spans="1:36" x14ac:dyDescent="0.2">
      <c r="B14" s="20" t="str">
        <f>+'COLOMB$ '!B14</f>
        <v>POP Satelital</v>
      </c>
      <c r="C14" s="36">
        <f>+'COL. CONS.$'!C14/Paramet!$G$5*1000</f>
        <v>0</v>
      </c>
      <c r="D14" s="34">
        <f t="shared" si="0"/>
        <v>0</v>
      </c>
      <c r="E14" s="36">
        <f>+'COL. CONS.$'!E14/Paramet!$G$3*1000</f>
        <v>0</v>
      </c>
      <c r="F14" s="34">
        <f t="shared" si="1"/>
        <v>0</v>
      </c>
      <c r="G14" s="34" t="str">
        <f t="shared" si="2"/>
        <v/>
      </c>
      <c r="H14" s="36">
        <f>+'COL. CONS.$'!H14/Paramet!$G$4*1000</f>
        <v>0</v>
      </c>
      <c r="I14" s="34">
        <f t="shared" si="3"/>
        <v>0</v>
      </c>
      <c r="J14" s="35" t="str">
        <f t="shared" si="4"/>
        <v/>
      </c>
      <c r="K14" s="36">
        <f>+'COL. CONS.$'!K14/Paramet!$G$5*1000</f>
        <v>0</v>
      </c>
      <c r="L14" s="34">
        <f t="shared" si="5"/>
        <v>0</v>
      </c>
      <c r="M14" s="36">
        <f>+'COL. CONS.$'!M14/Paramet!$G$3*1000</f>
        <v>0</v>
      </c>
      <c r="N14" s="34">
        <f t="shared" si="6"/>
        <v>0</v>
      </c>
      <c r="O14" s="34" t="str">
        <f t="shared" si="7"/>
        <v/>
      </c>
      <c r="P14" s="36">
        <f>+'COL. CONS.$'!P14/Paramet!$G$4*1000</f>
        <v>0</v>
      </c>
      <c r="Q14" s="34">
        <f t="shared" si="8"/>
        <v>0</v>
      </c>
      <c r="R14" s="35" t="str">
        <f t="shared" si="9"/>
        <v/>
      </c>
      <c r="T14" s="38"/>
      <c r="U14" s="37"/>
      <c r="V14" s="20" t="s">
        <v>36</v>
      </c>
      <c r="W14" s="36">
        <f>'COLOMB$ '!U14/Paramet!$G$5*1000</f>
        <v>2084.8897054653921</v>
      </c>
      <c r="X14" s="36">
        <f>'COLOMB$ '!V14/Paramet!$G$3*1000</f>
        <v>2192.3424057320453</v>
      </c>
      <c r="Y14" s="36">
        <f>'COLOMB$ '!W14/Paramet!$G$4*1000</f>
        <v>4978.1258621138386</v>
      </c>
      <c r="Z14" s="36">
        <f>'COLOMB$ '!X14/Paramet!$G$5*1000</f>
        <v>2084.8897054653921</v>
      </c>
      <c r="AA14" s="36">
        <f>'COLOMB$ '!Y14/Paramet!$G$3*1000</f>
        <v>2192.3424057320453</v>
      </c>
      <c r="AB14" s="37">
        <f>+Z14-AA14</f>
        <v>-107.45270026665321</v>
      </c>
      <c r="AC14" s="38">
        <f>IF(Z14=0,"",(AA14-Z14)/ABS(Z14)+1)</f>
        <v>1.0515387936277749</v>
      </c>
      <c r="AD14" s="36">
        <f>'COLOMB$ '!AB14/Paramet!$G$4*1000</f>
        <v>4978.1258621138386</v>
      </c>
      <c r="AE14" s="35">
        <f>IF(AD14=0,"",(AA14-AD14)/ABS(AD14))</f>
        <v>-0.55960486607682491</v>
      </c>
      <c r="AF14" s="83"/>
    </row>
    <row r="15" spans="1:36" x14ac:dyDescent="0.2">
      <c r="B15" s="20" t="str">
        <f>+'COLOMB$ '!B15</f>
        <v>Voice Experience (Audicóm)</v>
      </c>
      <c r="C15" s="36">
        <f>+'COL. CONS.$'!C15/Paramet!$G$5*1000</f>
        <v>31656.175926871041</v>
      </c>
      <c r="D15" s="34">
        <f t="shared" si="0"/>
        <v>0.1424916252566536</v>
      </c>
      <c r="E15" s="36">
        <f>+'COL. CONS.$'!E15/Paramet!$G$3*1000</f>
        <v>29548.039269469562</v>
      </c>
      <c r="F15" s="34">
        <f t="shared" si="1"/>
        <v>0.14492517238050326</v>
      </c>
      <c r="G15" s="34">
        <f t="shared" si="2"/>
        <v>0.93340520149144079</v>
      </c>
      <c r="H15" s="36">
        <f>+'COL. CONS.$'!H15/Paramet!$G$4*1000</f>
        <v>36265.006636649923</v>
      </c>
      <c r="I15" s="34">
        <f t="shared" si="3"/>
        <v>0.14329485398034275</v>
      </c>
      <c r="J15" s="35">
        <f t="shared" si="4"/>
        <v>-0.18521897526394218</v>
      </c>
      <c r="K15" s="36">
        <f>+'COL. CONS.$'!K15/Paramet!$G$5*1000</f>
        <v>31656.175926871041</v>
      </c>
      <c r="L15" s="34">
        <f t="shared" si="5"/>
        <v>0.1424916252566536</v>
      </c>
      <c r="M15" s="36">
        <f>+'COL. CONS.$'!M15/Paramet!$G$3*1000</f>
        <v>29548.039269469562</v>
      </c>
      <c r="N15" s="34">
        <f t="shared" si="6"/>
        <v>0.14492517238050326</v>
      </c>
      <c r="O15" s="34">
        <f t="shared" si="7"/>
        <v>0.93340520149144079</v>
      </c>
      <c r="P15" s="36">
        <f>+'COL. CONS.$'!P15/Paramet!$G$4*1000</f>
        <v>36265.006636649923</v>
      </c>
      <c r="Q15" s="34">
        <f t="shared" si="8"/>
        <v>0.1793596215785693</v>
      </c>
      <c r="R15" s="35">
        <f t="shared" si="9"/>
        <v>-0.18521897526394218</v>
      </c>
      <c r="T15" s="38"/>
      <c r="U15" s="89"/>
      <c r="V15" s="20" t="s">
        <v>37</v>
      </c>
      <c r="W15" s="36">
        <f>'COLOMB$ '!U15/Paramet!$G$5*1000</f>
        <v>135727.77721071077</v>
      </c>
      <c r="X15" s="36">
        <f>'COLOMB$ '!V15/Paramet!$G$3*1000</f>
        <v>142723.02310993022</v>
      </c>
      <c r="Y15" s="36">
        <f>'COLOMB$ '!W15/Paramet!$G$4*1000</f>
        <v>135136.8432969836</v>
      </c>
      <c r="Z15" s="36">
        <f>'COLOMB$ '!X15/Paramet!$G$5*1000</f>
        <v>135727.77721071077</v>
      </c>
      <c r="AA15" s="36">
        <f>'COLOMB$ '!Y15/Paramet!$G$3*1000</f>
        <v>142723.02310993022</v>
      </c>
      <c r="AB15" s="37">
        <f>+Z15-AA15</f>
        <v>-6995.2458992194443</v>
      </c>
      <c r="AC15" s="38">
        <f>IF(Z15=0,"",(AA15-Z15)/ABS(Z15)+1)</f>
        <v>1.0515387936277749</v>
      </c>
      <c r="AD15" s="36">
        <f>'COLOMB$ '!AB15/Paramet!$G$4*1000</f>
        <v>135136.8432969836</v>
      </c>
      <c r="AE15" s="35">
        <f>IF(AD15=0,"",(AA15-AD15)/ABS(AD15))</f>
        <v>5.6137021021534776E-2</v>
      </c>
      <c r="AF15" s="83"/>
    </row>
    <row r="16" spans="1:36" x14ac:dyDescent="0.2">
      <c r="B16" s="20" t="str">
        <f>+'COLOMB$ '!B16</f>
        <v>Fact. Servicio Satelital</v>
      </c>
      <c r="C16" s="36">
        <f>+'COL. CONS.$'!C16/Paramet!$G$3*1000</f>
        <v>0</v>
      </c>
      <c r="D16" s="34"/>
      <c r="E16" s="36">
        <f>+'COL. CONS.$'!E16/Paramet!$G$3*1000</f>
        <v>0</v>
      </c>
      <c r="F16" s="34">
        <f t="shared" si="1"/>
        <v>0</v>
      </c>
      <c r="G16" s="34" t="str">
        <f t="shared" si="2"/>
        <v/>
      </c>
      <c r="H16" s="36">
        <f>+'COL. CONS.$'!H16/Paramet!$G$4*1000</f>
        <v>0</v>
      </c>
      <c r="I16" s="34">
        <f t="shared" si="3"/>
        <v>0</v>
      </c>
      <c r="J16" s="35" t="str">
        <f t="shared" si="4"/>
        <v/>
      </c>
      <c r="K16" s="36">
        <f>+'COL. CONS.$'!K16/Paramet!$G$3*1000</f>
        <v>0</v>
      </c>
      <c r="L16" s="34">
        <f t="shared" si="5"/>
        <v>0</v>
      </c>
      <c r="M16" s="36">
        <f>+'COL. CONS.$'!M16/Paramet!$G$3*1000</f>
        <v>0</v>
      </c>
      <c r="N16" s="34">
        <f t="shared" si="6"/>
        <v>0</v>
      </c>
      <c r="O16" s="34" t="str">
        <f t="shared" si="7"/>
        <v/>
      </c>
      <c r="P16" s="36">
        <f>+'COL. CONS.$'!P16/Paramet!$G$4*1000</f>
        <v>0</v>
      </c>
      <c r="Q16" s="34">
        <f t="shared" si="8"/>
        <v>0</v>
      </c>
      <c r="R16" s="35" t="str">
        <f t="shared" si="9"/>
        <v/>
      </c>
      <c r="V16" s="20" t="s">
        <v>38</v>
      </c>
      <c r="W16" s="36">
        <f>'COLOMB$ '!U16/Paramet!$G$5*1000</f>
        <v>35875.435920293065</v>
      </c>
      <c r="X16" s="36">
        <f>'COLOMB$ '!V16/Paramet!$G$3*1000</f>
        <v>37724.412608495506</v>
      </c>
      <c r="Y16" s="36">
        <f>'COLOMB$ '!W16/Paramet!$G$4*1000</f>
        <v>71726.163105431639</v>
      </c>
      <c r="Z16" s="36">
        <f>'COLOMB$ '!X16/Paramet!$G$5*1000</f>
        <v>35875.435920293065</v>
      </c>
      <c r="AA16" s="36">
        <f>'COLOMB$ '!Y16/Paramet!$G$3*1000</f>
        <v>37724.412608495506</v>
      </c>
      <c r="AB16" s="37">
        <f>+Z16-AA16</f>
        <v>-1848.9766882024414</v>
      </c>
      <c r="AC16" s="38">
        <f>IF(Z16=0,"",(AA16-Z16)/ABS(Z16)+1)</f>
        <v>1.0515387936277747</v>
      </c>
      <c r="AD16" s="36">
        <f>'COLOMB$ '!AB16/Paramet!$G$4*1000</f>
        <v>71726.163105431639</v>
      </c>
      <c r="AE16" s="35">
        <f>IF(AD16=0,"",(AA16-AD16)/ABS(AD16))</f>
        <v>-0.47404948243162426</v>
      </c>
      <c r="AF16" s="83"/>
    </row>
    <row r="17" spans="2:33" x14ac:dyDescent="0.2">
      <c r="B17" s="20" t="str">
        <f>+'COLOMB$ '!B17</f>
        <v>Visual Experience</v>
      </c>
      <c r="C17" s="36">
        <f>+'COL. CONS.$'!C17/Paramet!$G$5*1000</f>
        <v>3140.1903076905633</v>
      </c>
      <c r="D17" s="34"/>
      <c r="E17" s="36">
        <f>+'COL. CONS.$'!E17/Paramet!$G$3*1000</f>
        <v>3879.4982552467818</v>
      </c>
      <c r="F17" s="34">
        <f t="shared" si="1"/>
        <v>1.9027893805882119E-2</v>
      </c>
      <c r="G17" s="34">
        <f t="shared" si="2"/>
        <v>1.235434121857391</v>
      </c>
      <c r="H17" s="36">
        <f>+'COL. CONS.$'!H17/Paramet!$G$4*1000</f>
        <v>3344.0777659214532</v>
      </c>
      <c r="I17" s="34">
        <f t="shared" si="3"/>
        <v>1.3213540534206057E-2</v>
      </c>
      <c r="J17" s="35">
        <f t="shared" si="4"/>
        <v>0.16011005927602723</v>
      </c>
      <c r="K17" s="36">
        <f>+'COL. CONS.$'!K17/Paramet!$G$5*1000</f>
        <v>3140.1903076905633</v>
      </c>
      <c r="L17" s="34">
        <f t="shared" si="5"/>
        <v>1.4134708550763556E-2</v>
      </c>
      <c r="M17" s="36">
        <f>+'COL. CONS.$'!M17/Paramet!$G$3*1000</f>
        <v>3879.4982552467818</v>
      </c>
      <c r="N17" s="34">
        <f t="shared" si="6"/>
        <v>1.9027893805882119E-2</v>
      </c>
      <c r="O17" s="34">
        <f t="shared" si="7"/>
        <v>1.235434121857391</v>
      </c>
      <c r="P17" s="36">
        <f>+'COL. CONS.$'!P17/Paramet!$G$4*1000</f>
        <v>3344.0777659214532</v>
      </c>
      <c r="Q17" s="34">
        <f t="shared" si="8"/>
        <v>1.6539153808366343E-2</v>
      </c>
      <c r="R17" s="35">
        <f t="shared" si="9"/>
        <v>0.16011005927602723</v>
      </c>
      <c r="V17" s="20" t="s">
        <v>39</v>
      </c>
      <c r="W17" s="36">
        <f>'COLOMB$ '!U17/Paramet!$G$5*1000</f>
        <v>218943.25282569497</v>
      </c>
      <c r="X17" s="36">
        <f>'COLOMB$ '!V17/Paramet!$G$3*1000</f>
        <v>230227.32394927216</v>
      </c>
      <c r="Y17" s="36">
        <f>'COLOMB$ '!W17/Paramet!$G$4*1000</f>
        <v>254993.35671342682</v>
      </c>
      <c r="Z17" s="36">
        <f>'COLOMB$ '!X17/Paramet!$G$5*1000</f>
        <v>218943.25282569497</v>
      </c>
      <c r="AA17" s="36">
        <f>'COLOMB$ '!Y17/Paramet!$G$3*1000</f>
        <v>230227.32394927216</v>
      </c>
      <c r="AB17" s="37">
        <f>+AA17-Z17</f>
        <v>11284.071123577189</v>
      </c>
      <c r="AC17" s="38">
        <f>IF(Z17=0,"",(AA17-Z17)/ABS(Z17)+1)</f>
        <v>1.0515387936277747</v>
      </c>
      <c r="AD17" s="36">
        <f>'COLOMB$ '!AB17/Paramet!$G$4*1000</f>
        <v>254993.35671342682</v>
      </c>
      <c r="AE17" s="35">
        <f>IF(AD17=0,"",(AA17-AD17)/ABS(AD17))</f>
        <v>-9.7124227404825528E-2</v>
      </c>
      <c r="AF17" s="83"/>
    </row>
    <row r="18" spans="2:33" x14ac:dyDescent="0.2">
      <c r="B18" s="20" t="str">
        <f>+'COL. CONS.$'!B18</f>
        <v>Olfa Experience</v>
      </c>
      <c r="C18" s="36">
        <f>+'COL. CONS.$'!C18/Paramet!$G$5*1000</f>
        <v>51849.205539110611</v>
      </c>
      <c r="D18" s="34"/>
      <c r="E18" s="36">
        <f>+'COL. CONS.$'!E18/Paramet!$G$3*1000</f>
        <v>47969.761268148177</v>
      </c>
      <c r="F18" s="34">
        <f t="shared" si="1"/>
        <v>0.23527875597556575</v>
      </c>
      <c r="G18" s="34">
        <f t="shared" si="2"/>
        <v>0.92517832760164254</v>
      </c>
      <c r="H18" s="36">
        <f>+'COL. CONS.$'!H18/Paramet!$G$4*1000</f>
        <v>36179.161960284197</v>
      </c>
      <c r="I18" s="34">
        <f t="shared" si="3"/>
        <v>0.14295565370146054</v>
      </c>
      <c r="J18" s="42">
        <f t="shared" si="4"/>
        <v>0.32589476010547597</v>
      </c>
      <c r="K18" s="36">
        <f>+'COL. CONS.$'!K18/Paramet!$G$5*1000</f>
        <v>51849.205539110611</v>
      </c>
      <c r="L18" s="34">
        <f t="shared" si="5"/>
        <v>0.2333850299101623</v>
      </c>
      <c r="M18" s="36">
        <f>+'COL. CONS.$'!M18/Paramet!$G$3*1000</f>
        <v>47969.761268148177</v>
      </c>
      <c r="N18" s="34">
        <f t="shared" si="6"/>
        <v>0.23527875597556575</v>
      </c>
      <c r="O18" s="34">
        <f t="shared" si="7"/>
        <v>0.92517832760164254</v>
      </c>
      <c r="P18" s="36">
        <f>+'COL. CONS.$'!P18/Paramet!$G$4*1000</f>
        <v>36179.161960284197</v>
      </c>
      <c r="Q18" s="34">
        <f t="shared" si="8"/>
        <v>0.17893505061897294</v>
      </c>
      <c r="R18" s="42">
        <f t="shared" si="9"/>
        <v>0.32589476010547597</v>
      </c>
      <c r="AE18" s="2"/>
      <c r="AF18" s="83"/>
    </row>
    <row r="19" spans="2:33" x14ac:dyDescent="0.2">
      <c r="B19" s="20" t="str">
        <f>+'COLOMB$ '!B19</f>
        <v>Locutor virtual</v>
      </c>
      <c r="C19" s="36"/>
      <c r="D19" s="34"/>
      <c r="E19" s="36"/>
      <c r="F19" s="34"/>
      <c r="G19" s="34"/>
      <c r="H19" s="36">
        <f>+'COL. CONS.$'!H19/Paramet!$G$4*1000</f>
        <v>14708.866564297425</v>
      </c>
      <c r="I19" s="34"/>
      <c r="J19" s="35"/>
      <c r="K19" s="36"/>
      <c r="L19" s="34"/>
      <c r="M19" s="36"/>
      <c r="N19" s="34"/>
      <c r="O19" s="34"/>
      <c r="P19" s="36"/>
      <c r="Q19" s="34"/>
      <c r="R19" s="35"/>
      <c r="T19" s="38">
        <f>+E27/C27</f>
        <v>0.93060495352636285</v>
      </c>
      <c r="U19" s="37" t="s">
        <v>101</v>
      </c>
      <c r="V19" s="20" t="s">
        <v>40</v>
      </c>
      <c r="W19" s="36">
        <f>+W11-W17</f>
        <v>18970.390244179056</v>
      </c>
      <c r="X19" s="36">
        <f>+X11-X17</f>
        <v>19948.101272012194</v>
      </c>
      <c r="Y19" s="36">
        <f>+Y11-Y17</f>
        <v>44549.367248783296</v>
      </c>
      <c r="Z19" s="36">
        <f>+Z11-Z17</f>
        <v>18970.390244179056</v>
      </c>
      <c r="AA19" s="36">
        <f>+AA11-AA17</f>
        <v>19948.101272012194</v>
      </c>
      <c r="AB19" s="37">
        <f>+AA19-Z19</f>
        <v>977.71102783313836</v>
      </c>
      <c r="AC19" s="38">
        <f>IF(Z19=0,"",(AA19-Z19)/ABS(Z19)+1)</f>
        <v>1.0515387936277769</v>
      </c>
      <c r="AD19" s="36">
        <f>+AD11-AD17</f>
        <v>44549.367248783296</v>
      </c>
      <c r="AE19" s="35">
        <f>IF(AD19=0,"",(AA19-AD19)/ABS(AD19))</f>
        <v>-0.55222481251836397</v>
      </c>
      <c r="AF19" s="83"/>
    </row>
    <row r="20" spans="2:33" x14ac:dyDescent="0.2">
      <c r="B20" s="19" t="s">
        <v>41</v>
      </c>
      <c r="C20" s="43">
        <f>SUM(C10:C19)</f>
        <v>222161.65946491557</v>
      </c>
      <c r="D20" s="44">
        <f>+C20/$C$20</f>
        <v>1</v>
      </c>
      <c r="E20" s="43">
        <f>SUM(E10:E19)</f>
        <v>203884.79643750729</v>
      </c>
      <c r="F20" s="44">
        <f>+E20/$E$20</f>
        <v>1</v>
      </c>
      <c r="G20" s="44">
        <f>IF(C20=0,"",(E20-C20)/ABS(C20)+1)</f>
        <v>0.91773169559757173</v>
      </c>
      <c r="H20" s="43">
        <f>+'COL. CONS.$'!H20/Paramet!$G$4*1000</f>
        <v>253079.61611534754</v>
      </c>
      <c r="I20" s="44">
        <f>+H20/$H$20</f>
        <v>1</v>
      </c>
      <c r="J20" s="45">
        <f>IF(H20=0,"",(E20-H20)/ABS(H20))</f>
        <v>-0.19438475699053709</v>
      </c>
      <c r="K20" s="43">
        <f>SUM(K10:K19)</f>
        <v>222161.65946491557</v>
      </c>
      <c r="L20" s="44">
        <f>+K20/$K$20</f>
        <v>1</v>
      </c>
      <c r="M20" s="43">
        <f>SUM(M10:M19)</f>
        <v>203884.79643750729</v>
      </c>
      <c r="N20" s="44">
        <f>+M20/$M$20</f>
        <v>1</v>
      </c>
      <c r="O20" s="44">
        <f>IF(K20=0,"",(M20-K20)/ABS(K20)+1)</f>
        <v>0.91773169559757173</v>
      </c>
      <c r="P20" s="43">
        <f>SUM(P10:P17)</f>
        <v>202191.58759076591</v>
      </c>
      <c r="Q20" s="44">
        <f>+P20/$P$20</f>
        <v>1</v>
      </c>
      <c r="R20" s="45">
        <f>IF(P20=0,"",(M20-P20)/ABS(P20))</f>
        <v>8.3742793996376633E-3</v>
      </c>
      <c r="T20" s="38">
        <f>+E28/C28</f>
        <v>0.97202325315445348</v>
      </c>
      <c r="U20" s="37"/>
      <c r="V20" s="20"/>
      <c r="W20" s="36"/>
      <c r="X20" s="36"/>
      <c r="Y20" s="36"/>
      <c r="Z20" s="36"/>
      <c r="AA20" s="36"/>
      <c r="AB20" s="37"/>
      <c r="AC20" s="38"/>
      <c r="AD20" s="36"/>
      <c r="AE20" s="35" t="str">
        <f>IF(AD20=0,"",(AA20-AD20)/ABS(AD20))</f>
        <v/>
      </c>
      <c r="AF20" s="83"/>
      <c r="AG20" s="41"/>
    </row>
    <row r="21" spans="2:33" x14ac:dyDescent="0.2">
      <c r="J21" s="35"/>
      <c r="R21" s="35"/>
      <c r="T21" s="38">
        <f>+E30/C30</f>
        <v>0.93782236403192742</v>
      </c>
      <c r="U21" s="37"/>
      <c r="V21" s="20" t="s">
        <v>42</v>
      </c>
      <c r="W21" s="36">
        <f>+'COL. CONS.$'!U21/Paramet!G5*1000</f>
        <v>28121.944574869874</v>
      </c>
      <c r="X21" s="36">
        <f>+X10+X19</f>
        <v>29571.315672725839</v>
      </c>
      <c r="Y21" s="36">
        <f>'COLOMB$ '!W21/Paramet!$G$4*1000</f>
        <v>77116.579595554722</v>
      </c>
      <c r="Z21" s="36">
        <f>'COLOMB$ '!X21/Paramet!$G$5*1000</f>
        <v>28121.944574869874</v>
      </c>
      <c r="AA21" s="36">
        <f>+'COL. CONS.$'!Y21/Paramet!G3*1000</f>
        <v>29571.315672725817</v>
      </c>
      <c r="AB21" s="37">
        <f>+AA21-Z21</f>
        <v>1449.3710978559429</v>
      </c>
      <c r="AC21" s="38">
        <f>IF(Z21=0,"",(AA21-Z21)/ABS(Z21)+1)</f>
        <v>1.0515387936277749</v>
      </c>
      <c r="AD21" s="36">
        <f>'COLOMB$ '!AB21/Paramet!$G$4*1000</f>
        <v>77116.579595554722</v>
      </c>
      <c r="AE21" s="35">
        <f>IF(AD21=0,"",(AA21-AD21)/ABS(AD21))</f>
        <v>-0.61653750947182295</v>
      </c>
      <c r="AF21" s="83"/>
      <c r="AG21" s="41"/>
    </row>
    <row r="22" spans="2:33" x14ac:dyDescent="0.2">
      <c r="B22" s="20" t="s">
        <v>43</v>
      </c>
      <c r="C22" s="36">
        <f>+'COL. CONS.$'!C22/Paramet!$G$5*1000</f>
        <v>20409.195558731131</v>
      </c>
      <c r="D22" s="34">
        <f>+C22/$C$20</f>
        <v>9.1866416590006661E-2</v>
      </c>
      <c r="E22" s="36">
        <f>+'COL. CONS.$'!E22/Paramet!$G$3*1000</f>
        <v>25768.452102171224</v>
      </c>
      <c r="F22" s="34">
        <f>+E22/$E$20</f>
        <v>0.12638731554497989</v>
      </c>
      <c r="G22" s="34">
        <f>IF(C22=0,"",(E22-C22)/ABS(C22)+1)</f>
        <v>1.2625902881873943</v>
      </c>
      <c r="H22" s="36">
        <f>+'COL. CONS.$'!H22/Paramet!$G$4*1000</f>
        <v>20501.686448221117</v>
      </c>
      <c r="I22" s="34">
        <f>+H22/$H$20</f>
        <v>8.1008841260755457E-2</v>
      </c>
      <c r="J22" s="35">
        <f>IF(H22=0,"",(E22-H22)/ABS(H22))</f>
        <v>0.25689426415001543</v>
      </c>
      <c r="K22" s="36">
        <f>+'COL. CONS.$'!K22/Paramet!$G$5*1000</f>
        <v>20409.195558731131</v>
      </c>
      <c r="L22" s="34">
        <f>+K22/$K$20</f>
        <v>9.1866416590006661E-2</v>
      </c>
      <c r="M22" s="36">
        <f>+'COL. CONS.$'!M22/Paramet!$G$3*1000</f>
        <v>25768.452102171224</v>
      </c>
      <c r="N22" s="34">
        <f>+M22/$M$20</f>
        <v>0.12638731554497989</v>
      </c>
      <c r="O22" s="34">
        <f>IF(K22=0,"",(M22-K22)/ABS(K22)+1)</f>
        <v>1.2625902881873943</v>
      </c>
      <c r="P22" s="36">
        <f>+'COL. CONS.$'!P22/Paramet!$G$4*1000</f>
        <v>20501.686448221117</v>
      </c>
      <c r="Q22" s="34">
        <f>+P22/$P$20</f>
        <v>0.1013973266272401</v>
      </c>
      <c r="R22" s="35">
        <f>IF(P22=0,"",(M22-P22)/ABS(P22))</f>
        <v>0.25689426415001543</v>
      </c>
      <c r="T22" s="38">
        <f>+E32/C32</f>
        <v>0.9425792515734791</v>
      </c>
      <c r="U22" s="37"/>
      <c r="AE22" s="35"/>
      <c r="AF22" s="83"/>
      <c r="AG22" s="41"/>
    </row>
    <row r="23" spans="2:33" x14ac:dyDescent="0.2">
      <c r="J23" s="35"/>
      <c r="R23" s="35"/>
      <c r="T23" s="38">
        <f>+E33/C33</f>
        <v>0.94154335888651974</v>
      </c>
      <c r="U23" s="89">
        <v>2101</v>
      </c>
      <c r="V23" s="20" t="s">
        <v>44</v>
      </c>
      <c r="W23" s="36">
        <f>'COLOMB$ '!U23/Paramet!$G$5*1000</f>
        <v>0</v>
      </c>
      <c r="X23" s="36">
        <f>'COLOMB$ '!V23/Paramet!$G$3*1000</f>
        <v>0</v>
      </c>
      <c r="Y23" s="36">
        <f>'COLOMB$ '!W23/Paramet!$G$4*1000</f>
        <v>0</v>
      </c>
      <c r="Z23" s="36">
        <f>'COLOMB$ '!X23/Paramet!$G$5*1000</f>
        <v>0</v>
      </c>
      <c r="AA23" s="36">
        <f>'COLOMB$ '!Y23/Paramet!$G$3*1000</f>
        <v>0</v>
      </c>
      <c r="AB23" s="37">
        <f>+AA23-Z23</f>
        <v>0</v>
      </c>
      <c r="AC23" s="38" t="str">
        <f>IF(Z23=0,"",(AA23-Z23)/ABS(Z23)+1)</f>
        <v/>
      </c>
      <c r="AD23" s="36">
        <f>'COLOMB$ '!AB23/Paramet!$G$4*1000</f>
        <v>0</v>
      </c>
      <c r="AE23" s="35" t="str">
        <f>IF(AD23=0,"",(AA23-AD23)/ABS(AD23))</f>
        <v/>
      </c>
      <c r="AF23" s="83"/>
    </row>
    <row r="24" spans="2:33" x14ac:dyDescent="0.2">
      <c r="B24" s="20" t="s">
        <v>45</v>
      </c>
      <c r="C24" s="36">
        <f>C20-C22</f>
        <v>201752.46390618445</v>
      </c>
      <c r="D24" s="34">
        <f>+C24/$C$20</f>
        <v>0.90813358340999339</v>
      </c>
      <c r="E24" s="36">
        <f>E20-E22</f>
        <v>178116.34433533606</v>
      </c>
      <c r="F24" s="34">
        <f>+E24/$E$20</f>
        <v>0.87361268445502005</v>
      </c>
      <c r="G24" s="34">
        <f>IF(C24=0,"",(E24-C24)/ABS(C24)+1)</f>
        <v>0.88284594342382228</v>
      </c>
      <c r="H24" s="36">
        <f>+'COL. CONS.$'!H24/Paramet!$G$4*1000</f>
        <v>232577.92966712639</v>
      </c>
      <c r="I24" s="34">
        <f>+H24/$H$20</f>
        <v>0.91899115873924442</v>
      </c>
      <c r="J24" s="35">
        <f>IF(H24=0,"",(E24-H24)/ABS(H24))</f>
        <v>-0.23416489006389229</v>
      </c>
      <c r="K24" s="36">
        <f>K20-K22</f>
        <v>201752.46390618445</v>
      </c>
      <c r="L24" s="34">
        <f>+K24/$K$20</f>
        <v>0.90813358340999339</v>
      </c>
      <c r="M24" s="36">
        <f>M20-M22</f>
        <v>178116.34433533606</v>
      </c>
      <c r="N24" s="34">
        <f>+M24/$M$20</f>
        <v>0.87361268445502005</v>
      </c>
      <c r="O24" s="34">
        <f>IF(K24=0,"",(M24-K24)/ABS(K24)+1)</f>
        <v>0.88284594342382228</v>
      </c>
      <c r="P24" s="36">
        <f>P20-P22</f>
        <v>181689.90114254478</v>
      </c>
      <c r="Q24" s="34">
        <f>+P24/$P$20</f>
        <v>0.8986026733727599</v>
      </c>
      <c r="R24" s="35">
        <f>IF(P24=0,"",(M24-P24)/ABS(P24))</f>
        <v>-1.9668439383458552E-2</v>
      </c>
      <c r="T24" s="38">
        <f>+E34/C34</f>
        <v>0.96144579281378117</v>
      </c>
      <c r="U24" s="37" t="s">
        <v>102</v>
      </c>
      <c r="AE24" s="35"/>
      <c r="AF24" s="83"/>
    </row>
    <row r="25" spans="2:33" x14ac:dyDescent="0.2">
      <c r="J25" s="35"/>
      <c r="R25" s="35"/>
      <c r="T25" s="38">
        <f>+E36/C36</f>
        <v>0.23758594834131436</v>
      </c>
      <c r="U25" s="89" t="s">
        <v>103</v>
      </c>
      <c r="V25" s="20" t="s">
        <v>46</v>
      </c>
      <c r="W25" s="36">
        <f>'COLOMB$ '!U25/Paramet!$G$5*1000</f>
        <v>79725.942744377549</v>
      </c>
      <c r="X25" s="36">
        <f>'COLOMB$ '!V25/Paramet!$G$3*1000</f>
        <v>83834.921654259815</v>
      </c>
      <c r="Y25" s="36">
        <f>'COLOMB$ '!W25/Paramet!$G$4*1000</f>
        <v>79351.831285948516</v>
      </c>
      <c r="Z25" s="36">
        <f>'COLOMB$ '!X25/Paramet!$G$5*1000</f>
        <v>79725.942744377549</v>
      </c>
      <c r="AA25" s="36">
        <f>'COLOMB$ '!Y25/Paramet!$G$3*1000</f>
        <v>83834.921654259815</v>
      </c>
      <c r="AB25" s="37">
        <f>+AA25-Z25</f>
        <v>4108.9789098822657</v>
      </c>
      <c r="AC25" s="38">
        <f>IF(Z25=0,"",(AA25-Z25)/ABS(Z25)+1)</f>
        <v>1.0515387936277749</v>
      </c>
      <c r="AD25" s="36">
        <f>'COLOMB$ '!AB25/Paramet!$G$4*1000</f>
        <v>79351.831285948516</v>
      </c>
      <c r="AE25" s="35">
        <f>IF(AD25=0,"",(AA25-AD25)/ABS(AD25))</f>
        <v>5.6496369342205179E-2</v>
      </c>
    </row>
    <row r="26" spans="2:33" x14ac:dyDescent="0.2">
      <c r="B26" s="20" t="s">
        <v>47</v>
      </c>
      <c r="C26" s="36">
        <f>+'COL. CONS.$'!C26/Paramet!$G$5*1000</f>
        <v>39890.442652512676</v>
      </c>
      <c r="D26" s="34">
        <f>+C26/$C$20</f>
        <v>0.17955592674537207</v>
      </c>
      <c r="E26" s="36">
        <f>+'COL. CONS.$'!E26/Paramet!$G$3*1000</f>
        <v>41986.137543320685</v>
      </c>
      <c r="F26" s="34">
        <f>+E26/$E$20</f>
        <v>0.20593069359239766</v>
      </c>
      <c r="G26" s="34">
        <f>IF(C26=0,"",(E26-C26)/ABS(C26)+1)</f>
        <v>1.0525362656178998</v>
      </c>
      <c r="H26" s="36">
        <f>+'COL. CONS.$'!H26/Paramet!$G$4*1000</f>
        <v>50478.653741248738</v>
      </c>
      <c r="I26" s="34">
        <f>+H26/$H$20</f>
        <v>0.19945760356393852</v>
      </c>
      <c r="J26" s="35">
        <f>IF(H26=0,"",(E26-H26)/ABS(H26))</f>
        <v>-0.1682397522220046</v>
      </c>
      <c r="K26" s="36">
        <f>+'COL. CONS.$'!K26/Paramet!$G$5*1000</f>
        <v>39890.442652512676</v>
      </c>
      <c r="L26" s="34">
        <f>+K26/$K$20</f>
        <v>0.17955592674537207</v>
      </c>
      <c r="M26" s="36">
        <f>+'COL. CONS.$'!M26/Paramet!$G$3*1000</f>
        <v>41986.137543320685</v>
      </c>
      <c r="N26" s="34">
        <f>+M26/$M$20</f>
        <v>0.20593069359239766</v>
      </c>
      <c r="O26" s="34">
        <f>IF(K26=0,"",(M26-K26)/ABS(K26)+1)</f>
        <v>1.0525362656178998</v>
      </c>
      <c r="P26" s="36">
        <f>+'COL. CONS.$'!P26/Paramet!$G$4*1000</f>
        <v>50478.653741248738</v>
      </c>
      <c r="Q26" s="34">
        <f>+P26/$P$20</f>
        <v>0.24965753690710968</v>
      </c>
      <c r="R26" s="35">
        <f>IF(P26=0,"",(M26-P26)/ABS(P26))</f>
        <v>-0.1682397522220046</v>
      </c>
      <c r="T26" s="38">
        <f>+E38/C38</f>
        <v>1.0687641543454445</v>
      </c>
      <c r="U26" s="89" t="s">
        <v>104</v>
      </c>
      <c r="AE26" s="35"/>
    </row>
    <row r="27" spans="2:33" x14ac:dyDescent="0.2">
      <c r="B27" s="20" t="s">
        <v>48</v>
      </c>
      <c r="C27" s="36">
        <f>+'COL. CONS.$'!C27/Paramet!$G$5*1000</f>
        <v>77543.012033162086</v>
      </c>
      <c r="D27" s="34">
        <f>+C27/$C$20</f>
        <v>0.3490386785007244</v>
      </c>
      <c r="E27" s="36">
        <f>+'COL. CONS.$'!E27/Paramet!$G$3*1000</f>
        <v>72161.911109414999</v>
      </c>
      <c r="F27" s="34">
        <f>+E27/$E$20</f>
        <v>0.35393473358634342</v>
      </c>
      <c r="G27" s="34">
        <f>IF(C27=0,"",(E27-C27)/ABS(C27)+1)</f>
        <v>0.93060495352636285</v>
      </c>
      <c r="H27" s="36">
        <f>+'COL. CONS.$'!H27/Paramet!$G$4*1000</f>
        <v>88999.699890690463</v>
      </c>
      <c r="I27" s="34">
        <f>+H27/$H$20</f>
        <v>0.35166680452892168</v>
      </c>
      <c r="J27" s="35">
        <f>IF(H27=0,"",(E27-H27)/ABS(H27))</f>
        <v>-0.18918927594088134</v>
      </c>
      <c r="K27" s="36">
        <f>+'COL. CONS.$'!K27/Paramet!$G$5*1000</f>
        <v>77543.012033162086</v>
      </c>
      <c r="L27" s="34">
        <f>+K27/$K$20</f>
        <v>0.3490386785007244</v>
      </c>
      <c r="M27" s="36">
        <f>+'COL. CONS.$'!M27/Paramet!$G$3*1000</f>
        <v>72161.911109414999</v>
      </c>
      <c r="N27" s="34">
        <f>+M27/$M$20</f>
        <v>0.35393473358634342</v>
      </c>
      <c r="O27" s="34">
        <f>IF(K27=0,"",(M27-K27)/ABS(K27)+1)</f>
        <v>0.93060495352636285</v>
      </c>
      <c r="P27" s="36">
        <f>+'COL. CONS.$'!P27/Paramet!$G$4*1000</f>
        <v>88999.699890690463</v>
      </c>
      <c r="Q27" s="34">
        <f>+P27/$P$20</f>
        <v>0.44017508814869744</v>
      </c>
      <c r="R27" s="35">
        <f>IF(P27=0,"",(M27-P27)/ABS(P27))</f>
        <v>-0.18918927594088134</v>
      </c>
      <c r="T27" s="38">
        <f>+E39/C39</f>
        <v>0.67309156314233765</v>
      </c>
      <c r="U27" s="37"/>
      <c r="V27" s="20" t="s">
        <v>49</v>
      </c>
      <c r="W27" s="36">
        <f>'COLOMB$ '!U27/Paramet!$G$5*1000</f>
        <v>-44501.751465868241</v>
      </c>
      <c r="X27" s="36">
        <f>'COLOMB$ '!V27/Paramet!$G$3*1000</f>
        <v>-46795.318050742157</v>
      </c>
      <c r="Y27" s="36">
        <f>'COLOMB$ '!W27/Paramet!$G$4*1000</f>
        <v>23293.318348385081</v>
      </c>
      <c r="Z27" s="36">
        <f>'COLOMB$ '!X27/Paramet!$G$5*1000</f>
        <v>-44501.751465868241</v>
      </c>
      <c r="AA27" s="36">
        <f>'COLOMB$ '!Y27/Paramet!$G$3*1000</f>
        <v>-46795.318050742157</v>
      </c>
      <c r="AB27" s="37">
        <f>+AA27-Z27</f>
        <v>-2293.5665848739154</v>
      </c>
      <c r="AC27" s="38">
        <f>IF(Z27=0,"",(AA27-Z27)/ABS(Z27)+1)</f>
        <v>0.94846120637222509</v>
      </c>
      <c r="AD27" s="36">
        <f>'COLOMB$ '!AB27/Paramet!$G$4*1000</f>
        <v>23293.318348385081</v>
      </c>
      <c r="AE27" s="35">
        <f>IF(AD27=0,"",(AA27-AD27)/ABS(AD27))</f>
        <v>-3.0089588503815072</v>
      </c>
    </row>
    <row r="28" spans="2:33" x14ac:dyDescent="0.2">
      <c r="B28" s="20" t="s">
        <v>50</v>
      </c>
      <c r="C28" s="36">
        <f>SUM(C26:C27)</f>
        <v>117433.45468567476</v>
      </c>
      <c r="D28" s="34">
        <f>+C28/$C$20</f>
        <v>0.52859460524609647</v>
      </c>
      <c r="E28" s="36">
        <f>SUM(E26:E27)</f>
        <v>114148.04865273568</v>
      </c>
      <c r="F28" s="34">
        <f>+E28/$E$20</f>
        <v>0.5598654271787411</v>
      </c>
      <c r="G28" s="34">
        <f>IF(C28=0,"",(E28-C28)/ABS(C28)+1)</f>
        <v>0.97202325315445348</v>
      </c>
      <c r="H28" s="36">
        <f>+'COL. CONS.$'!H28/Paramet!$G$4*1000</f>
        <v>139478.35363193919</v>
      </c>
      <c r="I28" s="34">
        <f>+H28/$H$20</f>
        <v>0.55112440809286012</v>
      </c>
      <c r="J28" s="35">
        <f>IF(H28=0,"",(E28-H28)/ABS(H28))</f>
        <v>-0.18160742738651819</v>
      </c>
      <c r="K28" s="36">
        <f>SUM(K26:K27)</f>
        <v>117433.45468567476</v>
      </c>
      <c r="L28" s="34">
        <f>+K28/$K$20</f>
        <v>0.52859460524609647</v>
      </c>
      <c r="M28" s="36">
        <f>SUM(M26:M27)</f>
        <v>114148.04865273568</v>
      </c>
      <c r="N28" s="34">
        <f>+M28/$M$20</f>
        <v>0.5598654271787411</v>
      </c>
      <c r="O28" s="34">
        <f>IF(K28=0,"",(M28-K28)/ABS(K28)+1)</f>
        <v>0.97202325315445348</v>
      </c>
      <c r="P28" s="36">
        <f>SUM(P26:P27)</f>
        <v>139478.35363193922</v>
      </c>
      <c r="Q28" s="34">
        <f>+P28/$P$20</f>
        <v>0.68983262505580722</v>
      </c>
      <c r="R28" s="35">
        <f>IF(P28=0,"",(M28-P28)/ABS(P28))</f>
        <v>-0.18160742738651836</v>
      </c>
      <c r="T28" s="38">
        <f>+E41/C41</f>
        <v>-2.043921487238309E-2</v>
      </c>
      <c r="U28" s="17"/>
      <c r="V28" s="20" t="s">
        <v>51</v>
      </c>
      <c r="W28" s="36">
        <f>'COLOMB$ '!U28/Paramet!$G$5*1000</f>
        <v>0</v>
      </c>
      <c r="X28" s="36">
        <f>'COLOMB$ '!V28/Paramet!$G$3*1000</f>
        <v>0</v>
      </c>
      <c r="Y28" s="36">
        <f>'COLOMB$ '!W28/Paramet!$G$4*1000</f>
        <v>0</v>
      </c>
      <c r="Z28" s="36">
        <f>'COLOMB$ '!X28/Paramet!$G$5*1000</f>
        <v>0</v>
      </c>
      <c r="AA28" s="36">
        <f>'COLOMB$ '!Y28/Paramet!$G$3*1000</f>
        <v>0</v>
      </c>
      <c r="AB28" s="37">
        <f>+AA28-Z28</f>
        <v>0</v>
      </c>
      <c r="AC28" s="38" t="str">
        <f>IF(Z28=0,"",(AA28-Z28)/ABS(Z28)+1)</f>
        <v/>
      </c>
      <c r="AD28" s="36">
        <f>'COLOMB$ '!AB28/Paramet!$G$4*1000</f>
        <v>0</v>
      </c>
      <c r="AE28" s="35" t="str">
        <f>IF(AD28=0,"",(AA28-AD28)/ABS(AD28))</f>
        <v/>
      </c>
    </row>
    <row r="29" spans="2:33" x14ac:dyDescent="0.2">
      <c r="J29" s="35"/>
      <c r="R29" s="35"/>
      <c r="T29" s="25">
        <f>+E42/C42</f>
        <v>0.14286164995805456</v>
      </c>
      <c r="U29" s="25"/>
      <c r="AE29" s="2"/>
    </row>
    <row r="30" spans="2:33" x14ac:dyDescent="0.2">
      <c r="B30" s="20" t="s">
        <v>52</v>
      </c>
      <c r="C30" s="36">
        <f>+'COL. CONS.$'!C30/Paramet!$G$5*1000</f>
        <v>13591.235412201017</v>
      </c>
      <c r="D30" s="34">
        <f>+C30/$C$20</f>
        <v>6.1177232133285291E-2</v>
      </c>
      <c r="E30" s="36">
        <f>+'COL. CONS.$'!E30/Paramet!$G$3*1000</f>
        <v>12746.164524384805</v>
      </c>
      <c r="F30" s="34">
        <f>+E30/$E$20</f>
        <v>6.2516503177771923E-2</v>
      </c>
      <c r="G30" s="34">
        <f>IF(C30=0,"",(E30-C30)/ABS(C30)+1)</f>
        <v>0.93782236403192742</v>
      </c>
      <c r="H30" s="36">
        <f>+'COL. CONS.$'!H30/Paramet!$G$4*1000</f>
        <v>14168.498940738617</v>
      </c>
      <c r="I30" s="34">
        <f>+H30/$H$20</f>
        <v>5.5984354481875609E-2</v>
      </c>
      <c r="J30" s="35">
        <f>IF(H30=0,"",(E30-H30)/ABS(H30))</f>
        <v>-0.10038709268376907</v>
      </c>
      <c r="K30" s="36">
        <f>+'COL. CONS.$'!K30/Paramet!$G$5*1000</f>
        <v>13591.235412201017</v>
      </c>
      <c r="L30" s="34">
        <f>+K30/$K$20</f>
        <v>6.1177232133285291E-2</v>
      </c>
      <c r="M30" s="36">
        <f>+'COL. CONS.$'!M30/Paramet!$G$3*1000</f>
        <v>12746.164524384805</v>
      </c>
      <c r="N30" s="34">
        <f>+M30/$M$20</f>
        <v>6.2516503177771923E-2</v>
      </c>
      <c r="O30" s="34">
        <f>IF(K30=0,"",(M30-K30)/ABS(K30)+1)</f>
        <v>0.93782236403192742</v>
      </c>
      <c r="P30" s="36">
        <f>+'COL. CONS.$'!P30/Paramet!$G$4*1000</f>
        <v>14168.498940738617</v>
      </c>
      <c r="Q30" s="34">
        <f>+P30/$P$20</f>
        <v>7.0074621350792995E-2</v>
      </c>
      <c r="R30" s="35">
        <f>IF(P30=0,"",(M30-P30)/ABS(P30))</f>
        <v>-0.10038709268376907</v>
      </c>
      <c r="T30" s="38">
        <f>+E43/C43</f>
        <v>-0.12454954904873629</v>
      </c>
      <c r="U30" s="17"/>
      <c r="V30" s="19" t="s">
        <v>53</v>
      </c>
      <c r="W30" s="43">
        <f>+W21-W23-W25-W27-W28</f>
        <v>-7102.2467036394301</v>
      </c>
      <c r="X30" s="43">
        <f>+X21-X23-X25-X27-X28</f>
        <v>-7468.2879307918192</v>
      </c>
      <c r="Y30" s="43">
        <f>+Y21-Y23-Y25-Y27-Y28</f>
        <v>-25528.570038778875</v>
      </c>
      <c r="Z30" s="43">
        <f>'COLOMB$ '!X30/Paramet!$G$5*1000</f>
        <v>-7102.2467036394291</v>
      </c>
      <c r="AA30" s="43">
        <f>+'COL. CONS.$'!Y30/Paramet!G3*1000</f>
        <v>-7468.2879307918465</v>
      </c>
      <c r="AB30" s="47">
        <f>+AA30-Z30</f>
        <v>-366.04122715241738</v>
      </c>
      <c r="AC30" s="48">
        <f>IF(W30=0,"",(X30-W30)/ABS(W30)+1)</f>
        <v>0.94846120637222908</v>
      </c>
      <c r="AD30" s="43">
        <f>+AD21-AD23-AD25-AD27-AD28</f>
        <v>-25528.570038778875</v>
      </c>
      <c r="AE30" s="35">
        <f>IF(AD30=0,"",(AA30-AD30)/ABS(AD30))</f>
        <v>0.70745373048912519</v>
      </c>
    </row>
    <row r="31" spans="2:33" x14ac:dyDescent="0.2">
      <c r="J31" s="35"/>
      <c r="R31" s="35"/>
      <c r="T31" s="38">
        <f>+E45/C45</f>
        <v>0.55042104043817153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20" t="s">
        <v>54</v>
      </c>
      <c r="C32" s="36">
        <f>+'COL. CONS.$'!C31/Paramet!$G$5*1000</f>
        <v>48820.61402016491</v>
      </c>
      <c r="D32" s="34">
        <f>+C32/$C$20</f>
        <v>0.2197526528103505</v>
      </c>
      <c r="E32" s="36">
        <f>+'COL. CONS.$'!E31/Paramet!$G$3*1000</f>
        <v>46017.29782448474</v>
      </c>
      <c r="F32" s="34">
        <f>+E32/$E$20</f>
        <v>0.22570244877768264</v>
      </c>
      <c r="G32" s="34">
        <f>IF(C32=0,"",(E32-C32)/ABS(C32)+1)</f>
        <v>0.9425792515734791</v>
      </c>
      <c r="H32" s="36">
        <f>+'COL. CONS.$'!H31/Paramet!$G$4*1000</f>
        <v>49376.142409494307</v>
      </c>
      <c r="I32" s="34">
        <f>+H32/$H$20</f>
        <v>0.19510122216634729</v>
      </c>
      <c r="J32" s="35">
        <f>IF(H32=0,"",(E32-H32)/ABS(H32))</f>
        <v>-6.8025658164087566E-2</v>
      </c>
      <c r="K32" s="36">
        <f>+'COL. CONS.$'!K31/Paramet!$G$5*1000</f>
        <v>48820.61402016491</v>
      </c>
      <c r="L32" s="34">
        <f>+K32/$K$20</f>
        <v>0.2197526528103505</v>
      </c>
      <c r="M32" s="36">
        <f>+'COL. CONS.$'!M31/Paramet!$G$3*1000</f>
        <v>46017.29782448474</v>
      </c>
      <c r="N32" s="34">
        <f>+M32/$M$20</f>
        <v>0.22570244877768264</v>
      </c>
      <c r="O32" s="34">
        <f>IF(K32=0,"",(M32-K32)/ABS(K32)+1)</f>
        <v>0.9425792515734791</v>
      </c>
      <c r="P32" s="36">
        <f>+'COL. CONS.$'!P31/Paramet!$G$4*1000</f>
        <v>49376.142409494307</v>
      </c>
      <c r="Q32" s="34">
        <f>+P32/$P$20</f>
        <v>0.24420473174893512</v>
      </c>
      <c r="R32" s="35">
        <f>IF(P32=0,"",(M32-P32)/ABS(P32))</f>
        <v>-6.8025658164087566E-2</v>
      </c>
      <c r="T32" s="38">
        <f>+E46/C46</f>
        <v>0.94972159351291741</v>
      </c>
      <c r="U32" s="17"/>
    </row>
    <row r="33" spans="2:27" x14ac:dyDescent="0.2">
      <c r="B33" s="20" t="s">
        <v>55</v>
      </c>
      <c r="C33" s="36">
        <f>SUM(C30:C32)</f>
        <v>62411.849432365925</v>
      </c>
      <c r="D33" s="34">
        <f>+C33/$C$20</f>
        <v>0.2809298849436358</v>
      </c>
      <c r="E33" s="36">
        <f>SUM(E30:E32)</f>
        <v>58763.462348869543</v>
      </c>
      <c r="F33" s="34">
        <f>+E33/$E$20</f>
        <v>0.28821895195545455</v>
      </c>
      <c r="G33" s="34">
        <f>IF(C33=0,"",(E33-C33)/ABS(C33)+1)</f>
        <v>0.94154335888651974</v>
      </c>
      <c r="H33" s="36">
        <f>SUM(H30:H32)</f>
        <v>63544.641350232923</v>
      </c>
      <c r="I33" s="34">
        <f>+H33/$H$20</f>
        <v>0.2510855766482229</v>
      </c>
      <c r="J33" s="35">
        <f>IF(H33=0,"",(E33-H33)/ABS(H33))</f>
        <v>-7.5241261887236288E-2</v>
      </c>
      <c r="K33" s="36">
        <f>SUM(K30:K32)</f>
        <v>62411.849432365925</v>
      </c>
      <c r="L33" s="34">
        <f>+K33/$K$20</f>
        <v>0.2809298849436358</v>
      </c>
      <c r="M33" s="36">
        <f>SUM(M30:M32)</f>
        <v>58763.462348869543</v>
      </c>
      <c r="N33" s="34">
        <f>+M33/$M$20</f>
        <v>0.28821895195545455</v>
      </c>
      <c r="O33" s="34">
        <f>IF(K33=0,"",(M33-K33)/ABS(K33)+1)</f>
        <v>0.94154335888651974</v>
      </c>
      <c r="P33" s="36">
        <f>SUM(P30:P32)</f>
        <v>63544.641350232923</v>
      </c>
      <c r="Q33" s="34">
        <f>+P33/$P$20</f>
        <v>0.3142793530997281</v>
      </c>
      <c r="R33" s="35">
        <f>IF(P33=0,"",(M33-P33)/ABS(P33))</f>
        <v>-7.5241261887236288E-2</v>
      </c>
    </row>
    <row r="34" spans="2:27" x14ac:dyDescent="0.2">
      <c r="B34" s="20" t="s">
        <v>56</v>
      </c>
      <c r="C34" s="36">
        <f>+C28+C33</f>
        <v>179845.30411804069</v>
      </c>
      <c r="D34" s="34">
        <f>+C34/$C$20</f>
        <v>0.80952449018973227</v>
      </c>
      <c r="E34" s="36">
        <f>+E28+E33</f>
        <v>172911.51100160522</v>
      </c>
      <c r="F34" s="34">
        <f>+E34/$E$20</f>
        <v>0.84808437913419554</v>
      </c>
      <c r="G34" s="34">
        <f>IF(C34=0,"",(E34-C34)/ABS(C34)+1)</f>
        <v>0.96144579281378117</v>
      </c>
      <c r="H34" s="36">
        <f>+H28+H33</f>
        <v>203022.99498217209</v>
      </c>
      <c r="I34" s="34">
        <f>+H34/$H$20</f>
        <v>0.80220998474108296</v>
      </c>
      <c r="J34" s="35">
        <f>IF(H34=0,"",(E34-H34)/ABS(H34))</f>
        <v>-0.14831563283366514</v>
      </c>
      <c r="K34" s="36">
        <f>+K28+K33</f>
        <v>179845.30411804069</v>
      </c>
      <c r="L34" s="34">
        <f>+K34/$K$20</f>
        <v>0.80952449018973227</v>
      </c>
      <c r="M34" s="36">
        <f>+M28+M33</f>
        <v>172911.51100160522</v>
      </c>
      <c r="N34" s="34">
        <f>+M34/$M$20</f>
        <v>0.84808437913419554</v>
      </c>
      <c r="O34" s="34">
        <f>IF(K34=0,"",(M34-K34)/ABS(K34)+1)</f>
        <v>0.96144579281378117</v>
      </c>
      <c r="P34" s="36">
        <f>+P28+P33</f>
        <v>203022.99498217215</v>
      </c>
      <c r="Q34" s="34">
        <f>+P34/$P$20</f>
        <v>1.0041119781555354</v>
      </c>
      <c r="R34" s="35">
        <f>IF(P34=0,"",(M34-P34)/ABS(P34))</f>
        <v>-0.14831563283366536</v>
      </c>
    </row>
    <row r="35" spans="2:27" x14ac:dyDescent="0.2">
      <c r="J35" s="35"/>
      <c r="R35" s="35"/>
    </row>
    <row r="36" spans="2:27" x14ac:dyDescent="0.2">
      <c r="B36" s="20" t="s">
        <v>57</v>
      </c>
      <c r="C36" s="36">
        <f>C24-C34</f>
        <v>21907.159788143763</v>
      </c>
      <c r="D36" s="34">
        <f>+C36/$C$20</f>
        <v>9.860909322026111E-2</v>
      </c>
      <c r="E36" s="36">
        <f>E24-E34</f>
        <v>5204.8333337308432</v>
      </c>
      <c r="F36" s="34">
        <f>+E36/$E$20</f>
        <v>2.5528305320824528E-2</v>
      </c>
      <c r="G36" s="34">
        <f>IF(C36=0,"",(E36-C36)/ABS(C36)+1)</f>
        <v>0.2375859483413143</v>
      </c>
      <c r="H36" s="36">
        <f>H24-H34</f>
        <v>29554.934684954293</v>
      </c>
      <c r="I36" s="34">
        <f>+H36/$H$20</f>
        <v>0.1167811739981614</v>
      </c>
      <c r="J36" s="35">
        <f>IF(H36=0,"",(E36-H36)/ABS(H36))</f>
        <v>-0.8238929170640158</v>
      </c>
      <c r="K36" s="36">
        <f>K24-K34</f>
        <v>21907.159788143763</v>
      </c>
      <c r="L36" s="34">
        <f>+K36/$K$20</f>
        <v>9.860909322026111E-2</v>
      </c>
      <c r="M36" s="36">
        <f>M24-M34</f>
        <v>5204.8333337308432</v>
      </c>
      <c r="N36" s="34">
        <f>+M36/$M$20</f>
        <v>2.5528305320824528E-2</v>
      </c>
      <c r="O36" s="34">
        <f>IF(K36=0,"",(M36-K36)/ABS(K36)+1)</f>
        <v>0.2375859483413143</v>
      </c>
      <c r="P36" s="36">
        <f>P24-P34</f>
        <v>-21333.09383962737</v>
      </c>
      <c r="Q36" s="34">
        <f>+P36/$P$20</f>
        <v>-0.10550930478277551</v>
      </c>
      <c r="R36" s="35">
        <f>IF(P36=0,"",(M36-P36)/ABS(P36))</f>
        <v>1.2439793014955283</v>
      </c>
      <c r="Z36" s="41"/>
      <c r="AA36" s="41"/>
    </row>
    <row r="37" spans="2:27" ht="11.25" customHeight="1" x14ac:dyDescent="0.2">
      <c r="J37" s="35"/>
      <c r="R37" s="35"/>
    </row>
    <row r="38" spans="2:27" x14ac:dyDescent="0.2">
      <c r="B38" s="20" t="s">
        <v>58</v>
      </c>
      <c r="C38" s="36">
        <f>+'COL. CONS.$'!C38/Paramet!$G$5*1000</f>
        <v>101.16475565082283</v>
      </c>
      <c r="D38" s="34">
        <f>+C38/$C$20</f>
        <v>4.5536550228550605E-4</v>
      </c>
      <c r="E38" s="36">
        <f>+'COL. CONS.$'!E38/Paramet!$G$3*1000</f>
        <v>108.12126452271518</v>
      </c>
      <c r="F38" s="34">
        <f>+E38/$E$20</f>
        <v>5.3030567463550633E-4</v>
      </c>
      <c r="G38" s="34">
        <f>IF(C38=0,"",(E38-C38)/ABS(C38)+1)</f>
        <v>1.0687641543454445</v>
      </c>
      <c r="H38" s="36">
        <f>+'COL. CONS.$'!H38/Paramet!$G$4*1000</f>
        <v>134.01787210785207</v>
      </c>
      <c r="I38" s="34">
        <f>+H38/$H$20</f>
        <v>5.2954826692470556E-4</v>
      </c>
      <c r="J38" s="35">
        <f>IF(H38=0,"",(E38-H38)/ABS(H38))</f>
        <v>-0.19323249338190035</v>
      </c>
      <c r="K38" s="36">
        <f>+'COL. CONS.$'!K38/Paramet!$G$5*1000</f>
        <v>101.16475565082283</v>
      </c>
      <c r="L38" s="34">
        <f>+K38/$K$20</f>
        <v>4.5536550228550605E-4</v>
      </c>
      <c r="M38" s="36">
        <f>+'COL. CONS.$'!M38/Paramet!$G$3*1000</f>
        <v>108.12126452271518</v>
      </c>
      <c r="N38" s="34">
        <f>+M38/$M$20</f>
        <v>5.3030567463550633E-4</v>
      </c>
      <c r="O38" s="34">
        <f>IF(K38=0,"",(M38-K38)/ABS(K38)+1)</f>
        <v>1.0687641543454445</v>
      </c>
      <c r="P38" s="36">
        <f>+'COL. CONS.$'!P38/Paramet!$G$4*1000</f>
        <v>134.01787210785207</v>
      </c>
      <c r="Q38" s="34">
        <f>+P38/$P$20</f>
        <v>6.6282615268397379E-4</v>
      </c>
      <c r="R38" s="35">
        <f>IF(P38=0,"",(M38-P38)/ABS(P38))</f>
        <v>-0.19323249338190035</v>
      </c>
    </row>
    <row r="39" spans="2:27" x14ac:dyDescent="0.2">
      <c r="B39" s="20" t="s">
        <v>59</v>
      </c>
      <c r="C39" s="36">
        <f>+'COL. CONS.$'!C39/Paramet!$G$5*1000</f>
        <v>8309.3463985573817</v>
      </c>
      <c r="D39" s="34">
        <f>+C39/$C$20</f>
        <v>3.7402252119338432E-2</v>
      </c>
      <c r="E39" s="36">
        <f>+'COL. CONS.$'!E39/Paramet!$G$3*1000</f>
        <v>5592.9509560961415</v>
      </c>
      <c r="F39" s="34">
        <f>+E39/$E$20</f>
        <v>2.7431917699711546E-2</v>
      </c>
      <c r="G39" s="34">
        <f>IF(C39=0,"",(E39-C39)/ABS(C39)+1)</f>
        <v>0.67309156314233753</v>
      </c>
      <c r="H39" s="36">
        <f>+'COL. CONS.$'!H39/Paramet!$G$4*1000</f>
        <v>8773.4288785362933</v>
      </c>
      <c r="I39" s="34">
        <f>+H39/$H$20</f>
        <v>3.4666675306388867E-2</v>
      </c>
      <c r="J39" s="35">
        <f>IF(H39=0,"",(E39-H39)/ABS(H39))</f>
        <v>-0.36251253261094013</v>
      </c>
      <c r="K39" s="36">
        <f>+'COL. CONS.$'!K39/Paramet!$G$5*1000</f>
        <v>8309.3463985573817</v>
      </c>
      <c r="L39" s="34">
        <f>+K39/$K$20</f>
        <v>3.7402252119338432E-2</v>
      </c>
      <c r="M39" s="36">
        <f>+'COL. CONS.$'!M39/Paramet!$G$3*1000</f>
        <v>5592.9509560961415</v>
      </c>
      <c r="N39" s="34">
        <f>+M39/$M$20</f>
        <v>2.7431917699711546E-2</v>
      </c>
      <c r="O39" s="34">
        <f>IF(K39=0,"",(M39-K39)/ABS(K39)+1)</f>
        <v>0.67309156314233753</v>
      </c>
      <c r="P39" s="36">
        <f>+'COL. CONS.$'!P39/Paramet!$G$4*1000</f>
        <v>8773.4288785362933</v>
      </c>
      <c r="Q39" s="34">
        <f>+P39/$P$20</f>
        <v>4.3391661260871253E-2</v>
      </c>
      <c r="R39" s="35">
        <f>IF(P39=0,"",(M39-P39)/ABS(P39))</f>
        <v>-0.36251253261094013</v>
      </c>
    </row>
    <row r="40" spans="2:27" x14ac:dyDescent="0.2">
      <c r="J40" s="35"/>
      <c r="R40" s="35"/>
    </row>
    <row r="41" spans="2:27" x14ac:dyDescent="0.2">
      <c r="B41" s="20" t="s">
        <v>60</v>
      </c>
      <c r="C41" s="36">
        <f>+C36+C38-C39</f>
        <v>13698.978145237203</v>
      </c>
      <c r="D41" s="34">
        <f>+C41/$C$20</f>
        <v>6.1662206603208175E-2</v>
      </c>
      <c r="E41" s="36">
        <f>E36+E38-E39</f>
        <v>-279.99635784258317</v>
      </c>
      <c r="F41" s="34">
        <f>+E41/$E$20</f>
        <v>-1.3733067042515101E-3</v>
      </c>
      <c r="G41" s="34">
        <f>IF(C41=0,"",(E41-C41)/ABS(C41)+1)</f>
        <v>-2.0439214872383094E-2</v>
      </c>
      <c r="H41" s="36">
        <f>+H36+H38-H39</f>
        <v>20915.523678525853</v>
      </c>
      <c r="I41" s="34">
        <f>+H41/$H$20</f>
        <v>8.2644046958697245E-2</v>
      </c>
      <c r="J41" s="35">
        <f>IF(H41=0,"",(E41-H41)/ABS(H41))</f>
        <v>-1.0133870115874772</v>
      </c>
      <c r="K41" s="36">
        <f>K36+K38-K39</f>
        <v>13698.978145237203</v>
      </c>
      <c r="L41" s="34">
        <f>+K41/$K$20</f>
        <v>6.1662206603208175E-2</v>
      </c>
      <c r="M41" s="36">
        <f>M36+M38-M39</f>
        <v>-279.99635784258317</v>
      </c>
      <c r="N41" s="34">
        <f>+M41/$M$20</f>
        <v>-1.3733067042515101E-3</v>
      </c>
      <c r="O41" s="34">
        <f>IF(K41=0,"",(M41-K41)/ABS(K41)+1)</f>
        <v>-2.0439214872383094E-2</v>
      </c>
      <c r="P41" s="36">
        <f>P36+P38-P39</f>
        <v>-29972.50484605581</v>
      </c>
      <c r="Q41" s="34">
        <f>+P41/$P$20</f>
        <v>-0.14823813989096277</v>
      </c>
      <c r="R41" s="35">
        <f>IF(P41=0,"",(M41-P41)/ABS(P41))</f>
        <v>0.99065822628837019</v>
      </c>
    </row>
    <row r="42" spans="2:27" x14ac:dyDescent="0.2">
      <c r="B42" s="20" t="s">
        <v>46</v>
      </c>
      <c r="C42" s="36">
        <f>+'COL. CONS.$'!C42/Paramet!$G$5*1000</f>
        <v>5333.3786986946125</v>
      </c>
      <c r="D42" s="34">
        <f>+C42/$C$20</f>
        <v>2.4006746760625794E-2</v>
      </c>
      <c r="E42" s="36">
        <f>+'COL. CONS.$'!E42/Paramet!$G$3*1000</f>
        <v>761.93528074665426</v>
      </c>
      <c r="F42" s="34">
        <f>+E42/$E$20</f>
        <v>3.7370872868404143E-3</v>
      </c>
      <c r="G42" s="34">
        <f>IF(C42=0,"",(E42-C42)/ABS(C42)+1)</f>
        <v>0.1428616499580545</v>
      </c>
      <c r="H42" s="36">
        <f>+'COL. CONS.$'!H42/Paramet!$G$4*1000</f>
        <v>6160.2329333992657</v>
      </c>
      <c r="I42" s="34">
        <f>+H42/$H$20</f>
        <v>2.4341086919428476E-2</v>
      </c>
      <c r="J42" s="35">
        <f>IF(H42=0,"",(E42-H42)/ABS(H42))</f>
        <v>-0.8763138847208799</v>
      </c>
      <c r="K42" s="36">
        <f>+'COL. CONS.$'!K42/Paramet!$G$5*1000</f>
        <v>5333.3786986946125</v>
      </c>
      <c r="L42" s="34">
        <f>+K42/$K$20</f>
        <v>2.4006746760625794E-2</v>
      </c>
      <c r="M42" s="36">
        <f>+'COL. CONS.$'!M42/Paramet!$G$3*1000</f>
        <v>761.93528074665426</v>
      </c>
      <c r="N42" s="34">
        <f>+M42/$M$20</f>
        <v>3.7370872868404143E-3</v>
      </c>
      <c r="O42" s="34">
        <f>IF(K42=0,"",(M42-K42)/ABS(K42)+1)</f>
        <v>0.1428616499580545</v>
      </c>
      <c r="P42" s="36">
        <f>+'COL. CONS.$'!P42/Paramet!$G$4*1000</f>
        <v>6160.2329333992657</v>
      </c>
      <c r="Q42" s="34">
        <f>+P42/$P$20</f>
        <v>3.0467305820198246E-2</v>
      </c>
      <c r="R42" s="35">
        <f>IF(P42=0,"",(M42-P42)/ABS(P42))</f>
        <v>-0.8763138847208799</v>
      </c>
    </row>
    <row r="43" spans="2:27" x14ac:dyDescent="0.2">
      <c r="B43" s="19" t="s">
        <v>61</v>
      </c>
      <c r="C43" s="43">
        <f>C41-C42</f>
        <v>8365.5994465425902</v>
      </c>
      <c r="D43" s="44">
        <f>+C43/$C$20</f>
        <v>3.7655459842582381E-2</v>
      </c>
      <c r="E43" s="43">
        <f>E41-E42</f>
        <v>-1041.9316385892375</v>
      </c>
      <c r="F43" s="44">
        <f>+E43/$E$20</f>
        <v>-5.1103939910919251E-3</v>
      </c>
      <c r="G43" s="44">
        <f>IF(C43=0,"",(E43-C43)/ABS(C43)+1)</f>
        <v>-0.12454954904873627</v>
      </c>
      <c r="H43" s="43">
        <f>H41-H42</f>
        <v>14755.290745126587</v>
      </c>
      <c r="I43" s="44">
        <f>+H43/$H$20</f>
        <v>5.830296003926877E-2</v>
      </c>
      <c r="J43" s="45">
        <f>IF(H43=0,"",(E43-H43)/ABS(H43))</f>
        <v>-1.0706141042278934</v>
      </c>
      <c r="K43" s="43">
        <f>K41-K42</f>
        <v>8365.5994465425902</v>
      </c>
      <c r="L43" s="44">
        <f>+K43/$K$20</f>
        <v>3.7655459842582381E-2</v>
      </c>
      <c r="M43" s="43">
        <f>M41-M42</f>
        <v>-1041.9316385892375</v>
      </c>
      <c r="N43" s="44">
        <f>+M43/$M$20</f>
        <v>-5.1103939910919251E-3</v>
      </c>
      <c r="O43" s="44">
        <f>IF(K43=0,"",(M43-K43)/ABS(K43)+1)</f>
        <v>-0.12454954904873627</v>
      </c>
      <c r="P43" s="43">
        <f>P41-P42</f>
        <v>-36132.737779455078</v>
      </c>
      <c r="Q43" s="44">
        <f>+P43/$P$20</f>
        <v>-0.17870544571116104</v>
      </c>
      <c r="R43" s="45">
        <f>IF(P43=0,"",(M43-P43)/ABS(P43))</f>
        <v>0.9711637782625574</v>
      </c>
    </row>
    <row r="44" spans="2:27" x14ac:dyDescent="0.2">
      <c r="J44" s="35"/>
      <c r="R44" s="35"/>
    </row>
    <row r="45" spans="2:27" x14ac:dyDescent="0.2">
      <c r="B45" s="20" t="s">
        <v>62</v>
      </c>
      <c r="C45" s="36">
        <f>+'COL. CONS.$'!C45/Paramet!$G$5*1000</f>
        <v>33998.843183287405</v>
      </c>
      <c r="D45" s="34">
        <f>+C45/$C$20</f>
        <v>0.15303650173110361</v>
      </c>
      <c r="E45" s="36">
        <f>+'COL. CONS.$'!E45/Paramet!$G$3*1000</f>
        <v>18713.678638639289</v>
      </c>
      <c r="F45" s="34">
        <f>+E45/$E$20</f>
        <v>9.1785552261005474E-2</v>
      </c>
      <c r="G45" s="34">
        <f>IF(C45=0,"",(E45-C45)/ABS(C45)+1)</f>
        <v>0.55042104043817153</v>
      </c>
      <c r="H45" s="36">
        <f>+'COL. CONS.$'!H45/Paramet!$G$4*1000</f>
        <v>42179.379782942458</v>
      </c>
      <c r="I45" s="34">
        <f>+H45/$H$20</f>
        <v>0.16666446879593069</v>
      </c>
      <c r="J45" s="35">
        <f>IF(H45=0,"",(E45-H45)/ABS(H45))</f>
        <v>-0.55633110930172591</v>
      </c>
      <c r="K45" s="36">
        <f>+'COL. CONS.$'!K45/Paramet!$G$5*1000</f>
        <v>33998.843183287405</v>
      </c>
      <c r="L45" s="34">
        <f>+K45/$K$20</f>
        <v>0.15303650173110361</v>
      </c>
      <c r="M45" s="36">
        <f>+'COL. CONS.$'!M45/Paramet!$G$3*1000</f>
        <v>18713.678638639289</v>
      </c>
      <c r="N45" s="34">
        <f>+M45/$M$20</f>
        <v>9.1785552261005474E-2</v>
      </c>
      <c r="O45" s="34">
        <f>IF(K45=0,"",(M45-K45)/ABS(K45)+1)</f>
        <v>0.55042104043817153</v>
      </c>
      <c r="P45" s="36">
        <f>+'COL. CONS.$'!P45/Paramet!$G$4*1000</f>
        <v>42179.379782942458</v>
      </c>
      <c r="Q45" s="34">
        <f>+P45/$P$20</f>
        <v>0.20861095303486699</v>
      </c>
      <c r="R45" s="35">
        <f>IF(P45=0,"",(M45-P45)/ABS(P45))</f>
        <v>-0.55633110930172591</v>
      </c>
    </row>
    <row r="46" spans="2:27" x14ac:dyDescent="0.2">
      <c r="B46" s="20" t="s">
        <v>37</v>
      </c>
      <c r="C46" s="36">
        <f>+'COL. CONS.$'!C46/Paramet!$G$5*1000</f>
        <v>106846.31349732912</v>
      </c>
      <c r="D46" s="34">
        <f>+C46/$C$20</f>
        <v>0.48093948233314582</v>
      </c>
      <c r="E46" s="36">
        <f>+'COL. CONS.$'!E46/Paramet!$G$3*1000</f>
        <v>101474.25111566414</v>
      </c>
      <c r="F46" s="34">
        <f>+E46/$E$20</f>
        <v>0.49770386457808785</v>
      </c>
      <c r="G46" s="34">
        <f>IF(C46=0,"",(E46-C46)/ABS(C46)+1)</f>
        <v>0.94972159351291741</v>
      </c>
      <c r="H46" s="36">
        <f>+'COL. CONS.$'!H46/Paramet!$G$4*1000</f>
        <v>113743.13197824219</v>
      </c>
      <c r="I46" s="34">
        <f>+H46/$H$20</f>
        <v>0.44943616449299828</v>
      </c>
      <c r="J46" s="35">
        <f>IF(H46=0,"",(E46-H46)/ABS(H46))</f>
        <v>-0.10786480598164778</v>
      </c>
      <c r="K46" s="36">
        <f>+'COL. CONS.$'!K46/Paramet!$G$5*1000</f>
        <v>106846.31349732912</v>
      </c>
      <c r="L46" s="34">
        <f>+K46/$K$20</f>
        <v>0.48093948233314582</v>
      </c>
      <c r="M46" s="36">
        <f>+'COL. CONS.$'!M46/Paramet!$G$3*1000</f>
        <v>101474.25111566414</v>
      </c>
      <c r="N46" s="34">
        <f>+M46/$M$20</f>
        <v>0.49770386457808785</v>
      </c>
      <c r="O46" s="34">
        <f>IF(K46=0,"",(M46-K46)/ABS(K46)+1)</f>
        <v>0.94972159351291741</v>
      </c>
      <c r="P46" s="36">
        <f>+'COL. CONS.$'!P46/Paramet!$G$4*1000</f>
        <v>113743.13197824219</v>
      </c>
      <c r="Q46" s="34">
        <f>+P46/$P$20</f>
        <v>0.56255125810900375</v>
      </c>
      <c r="R46" s="35">
        <f>IF(P46=0,"",(M46-P46)/ABS(P46))</f>
        <v>-0.10786480598164778</v>
      </c>
    </row>
    <row r="48" spans="2:27" x14ac:dyDescent="0.2">
      <c r="P48" s="25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4FAAC-C42B-4C01-8004-FEED5EFA3503}">
  <sheetPr>
    <tabColor theme="0" tint="-0.249977111117893"/>
  </sheetPr>
  <dimension ref="A1:AI68"/>
  <sheetViews>
    <sheetView showGridLines="0" zoomScaleNormal="100" workbookViewId="0">
      <selection activeCell="F35" sqref="F35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7.7109375" style="2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105</v>
      </c>
      <c r="T3" s="18"/>
      <c r="U3" s="90" t="str">
        <f>+B3</f>
        <v>MUSICAR S.A. EL SALVADOR</v>
      </c>
    </row>
    <row r="4" spans="1:34" x14ac:dyDescent="0.2">
      <c r="B4" s="3" t="s">
        <v>106</v>
      </c>
      <c r="U4" s="3" t="s">
        <v>23</v>
      </c>
    </row>
    <row r="5" spans="1:34" x14ac:dyDescent="0.2">
      <c r="B5" s="3" t="s">
        <v>94</v>
      </c>
      <c r="U5" s="3" t="s">
        <v>94</v>
      </c>
    </row>
    <row r="6" spans="1:34" ht="13.5" thickBot="1" x14ac:dyDescent="0.25">
      <c r="B6" s="79" t="str">
        <f>+'COL. CONS.$'!B6</f>
        <v>ENERO de 2026</v>
      </c>
      <c r="C6" s="91"/>
      <c r="K6" s="86" t="s">
        <v>25</v>
      </c>
      <c r="L6" s="86"/>
      <c r="M6" s="86"/>
      <c r="N6" s="86"/>
      <c r="O6" s="86"/>
      <c r="P6" s="86"/>
      <c r="Q6" s="86"/>
      <c r="R6" s="86"/>
      <c r="S6" s="92"/>
      <c r="T6" s="93"/>
      <c r="U6" s="21" t="str">
        <f>+B6</f>
        <v>ENERO de 2026</v>
      </c>
      <c r="Y6" s="22" t="s">
        <v>25</v>
      </c>
      <c r="Z6" s="22"/>
      <c r="AA6" s="22"/>
      <c r="AB6" s="22"/>
      <c r="AC6" s="22"/>
      <c r="AD6" s="22"/>
    </row>
    <row r="7" spans="1:34" x14ac:dyDescent="0.2">
      <c r="A7" s="94"/>
      <c r="B7" s="3"/>
      <c r="C7" s="61" t="str">
        <f>+'COLOMB$ '!D7:D7</f>
        <v>Ppto 2026</v>
      </c>
      <c r="D7" s="61"/>
      <c r="E7" s="61" t="str">
        <f>+'COLOMB$ '!F7:F7</f>
        <v>Real 2026</v>
      </c>
      <c r="F7" s="61"/>
      <c r="G7" s="61" t="s">
        <v>26</v>
      </c>
      <c r="H7" s="61" t="str">
        <f>+'COLOMB$ '!I7:I7</f>
        <v>Real 2025</v>
      </c>
      <c r="I7" s="61"/>
      <c r="J7" s="61" t="s">
        <v>27</v>
      </c>
      <c r="K7" s="61" t="str">
        <f>+C7</f>
        <v>Ppto 2026</v>
      </c>
      <c r="L7" s="61"/>
      <c r="M7" s="61" t="str">
        <f>+E7</f>
        <v>Real 2026</v>
      </c>
      <c r="N7" s="61"/>
      <c r="O7" s="61" t="s">
        <v>26</v>
      </c>
      <c r="P7" s="61" t="str">
        <f>+H7</f>
        <v>Real 2025</v>
      </c>
      <c r="Q7" s="61"/>
      <c r="R7" s="61" t="s">
        <v>27</v>
      </c>
      <c r="S7" s="61"/>
      <c r="T7" s="63"/>
      <c r="V7" s="54" t="str">
        <f>+C7</f>
        <v>Ppto 2026</v>
      </c>
      <c r="W7" s="54" t="str">
        <f>+M7</f>
        <v>Real 2026</v>
      </c>
      <c r="X7" s="54" t="str">
        <f>+H7</f>
        <v>Real 2025</v>
      </c>
      <c r="Y7" s="54" t="str">
        <f>+V7</f>
        <v>Ppto 2026</v>
      </c>
      <c r="Z7" s="54" t="str">
        <f>+W7</f>
        <v>Real 2026</v>
      </c>
      <c r="AA7" s="54" t="s">
        <v>28</v>
      </c>
      <c r="AB7" s="54" t="s">
        <v>26</v>
      </c>
      <c r="AC7" s="54" t="str">
        <f>+X7</f>
        <v>Real 2025</v>
      </c>
      <c r="AD7" s="54" t="s">
        <v>27</v>
      </c>
      <c r="AF7" s="2" t="s">
        <v>107</v>
      </c>
    </row>
    <row r="8" spans="1:34" ht="13.5" thickBot="1" x14ac:dyDescent="0.25">
      <c r="B8" s="30" t="s">
        <v>29</v>
      </c>
      <c r="C8" s="66" t="s">
        <v>30</v>
      </c>
      <c r="D8" s="66" t="s">
        <v>31</v>
      </c>
      <c r="E8" s="66" t="s">
        <v>30</v>
      </c>
      <c r="F8" s="66" t="s">
        <v>31</v>
      </c>
      <c r="G8" s="66" t="s">
        <v>32</v>
      </c>
      <c r="H8" s="66" t="s">
        <v>30</v>
      </c>
      <c r="I8" s="66" t="s">
        <v>31</v>
      </c>
      <c r="J8" s="66" t="s">
        <v>32</v>
      </c>
      <c r="K8" s="66" t="s">
        <v>30</v>
      </c>
      <c r="L8" s="66" t="s">
        <v>31</v>
      </c>
      <c r="M8" s="66" t="s">
        <v>30</v>
      </c>
      <c r="N8" s="66" t="s">
        <v>31</v>
      </c>
      <c r="O8" s="66" t="s">
        <v>32</v>
      </c>
      <c r="P8" s="66" t="s">
        <v>30</v>
      </c>
      <c r="Q8" s="66" t="s">
        <v>31</v>
      </c>
      <c r="R8" s="66" t="s">
        <v>32</v>
      </c>
      <c r="S8" s="61"/>
      <c r="T8" s="63"/>
      <c r="U8" s="30"/>
      <c r="V8" s="31"/>
      <c r="W8" s="31"/>
      <c r="X8" s="31"/>
      <c r="Y8" s="30"/>
      <c r="Z8" s="30"/>
      <c r="AA8" s="31"/>
      <c r="AB8" s="31" t="s">
        <v>32</v>
      </c>
      <c r="AC8" s="30"/>
      <c r="AD8" s="31" t="s">
        <v>32</v>
      </c>
      <c r="AF8" s="2" t="s">
        <v>108</v>
      </c>
      <c r="AG8" s="2" t="s">
        <v>109</v>
      </c>
      <c r="AH8" s="2" t="s">
        <v>110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3">
        <v>0</v>
      </c>
      <c r="D10" s="35" t="e">
        <f>+C10/$C$20</f>
        <v>#DIV/0!</v>
      </c>
      <c r="E10" s="33">
        <v>5677.78</v>
      </c>
      <c r="F10" s="35">
        <f>+E10/$E$20</f>
        <v>0.65965930611097301</v>
      </c>
      <c r="G10" s="35" t="str">
        <f>IF(C10=0,"",(E10-C10)/ABS(C10)+1)</f>
        <v/>
      </c>
      <c r="H10" s="33">
        <v>5473.63</v>
      </c>
      <c r="I10" s="35">
        <f>+H10/$H$20</f>
        <v>0.61216083672855426</v>
      </c>
      <c r="J10" s="35">
        <f>IF(H10=0,"",(E10-H10)/ABS(H10))</f>
        <v>3.7297003999174155E-2</v>
      </c>
      <c r="K10" s="33">
        <v>0</v>
      </c>
      <c r="L10" s="35" t="e">
        <f>+K10/$K$20</f>
        <v>#DIV/0!</v>
      </c>
      <c r="M10" s="33">
        <v>5677.78</v>
      </c>
      <c r="N10" s="35">
        <f>+M10/$M$20</f>
        <v>0.65965930611097301</v>
      </c>
      <c r="O10" s="35" t="str">
        <f>IF(K10=0,"",(M10-K10)/ABS(K10)+1)</f>
        <v/>
      </c>
      <c r="P10" s="33">
        <v>5473.63</v>
      </c>
      <c r="Q10" s="35">
        <f>+P10/$P$20</f>
        <v>0.61216083672855426</v>
      </c>
      <c r="R10" s="35">
        <f t="shared" ref="R10:R17" si="0">IF(P10=0,"",(M10-P10)/ABS(P10))</f>
        <v>3.7297003999174155E-2</v>
      </c>
      <c r="S10" s="35"/>
      <c r="T10" s="63"/>
      <c r="U10" s="3" t="s">
        <v>33</v>
      </c>
      <c r="V10" s="33">
        <v>13901</v>
      </c>
      <c r="W10" s="33">
        <v>20263.25</v>
      </c>
      <c r="X10" s="33">
        <v>18478.41</v>
      </c>
      <c r="Y10" s="33"/>
      <c r="Z10" s="33">
        <v>13901</v>
      </c>
      <c r="AA10" s="63">
        <v>15168</v>
      </c>
      <c r="AB10" s="68" t="str">
        <f>IF(Y10=0,"",(Z10-Y10)/ABS(Y10)+1)</f>
        <v/>
      </c>
      <c r="AC10" s="33">
        <v>15168</v>
      </c>
      <c r="AD10" s="35">
        <f>IF(X10=0,"",(Z10-AC10)/ABS(AC10))</f>
        <v>-8.3531118143459912E-2</v>
      </c>
      <c r="AF10" s="67">
        <v>15168</v>
      </c>
      <c r="AG10" s="67"/>
      <c r="AH10" s="67"/>
    </row>
    <row r="11" spans="1:34" x14ac:dyDescent="0.2">
      <c r="A11" s="94"/>
      <c r="B11" s="3" t="str">
        <f>+'COLOMB$ '!B11</f>
        <v>Instalaciones</v>
      </c>
      <c r="C11" s="33">
        <v>0</v>
      </c>
      <c r="D11" s="35" t="e">
        <f>+C11/$C$20</f>
        <v>#DIV/0!</v>
      </c>
      <c r="E11" s="33">
        <v>0</v>
      </c>
      <c r="F11" s="35">
        <f>+E11/$E$20</f>
        <v>0</v>
      </c>
      <c r="G11" s="35" t="str">
        <f>IF(C11=0,"",(E11-C11)/ABS(C11)+1)</f>
        <v/>
      </c>
      <c r="H11" s="33">
        <v>0</v>
      </c>
      <c r="I11" s="35">
        <f>+H11/$H$20</f>
        <v>0</v>
      </c>
      <c r="J11" s="35" t="str">
        <f>IF(H11=0,"",(E11-H11)/ABS(H11))</f>
        <v/>
      </c>
      <c r="K11" s="33">
        <v>0</v>
      </c>
      <c r="L11" s="35" t="e">
        <f>+K11/$K$20</f>
        <v>#DIV/0!</v>
      </c>
      <c r="M11" s="33">
        <v>0</v>
      </c>
      <c r="N11" s="35">
        <f>+M11/$M$20</f>
        <v>0</v>
      </c>
      <c r="O11" s="35" t="str">
        <f>IF(K11=0,"",(M11-K11)/ABS(K11)+1)</f>
        <v/>
      </c>
      <c r="P11" s="33">
        <v>0</v>
      </c>
      <c r="Q11" s="35">
        <f>+P11/$P$20</f>
        <v>0</v>
      </c>
      <c r="R11" s="35" t="str">
        <f t="shared" si="0"/>
        <v/>
      </c>
      <c r="S11" s="35"/>
      <c r="T11" s="63"/>
      <c r="U11" s="3" t="s">
        <v>34</v>
      </c>
      <c r="V11" s="33"/>
      <c r="W11" s="33">
        <v>5958.2</v>
      </c>
      <c r="X11" s="33">
        <v>11687.8</v>
      </c>
      <c r="Y11" s="33">
        <f>+AF11+V11</f>
        <v>0</v>
      </c>
      <c r="Z11" s="33">
        <v>76191</v>
      </c>
      <c r="AA11" s="63">
        <v>46907.6</v>
      </c>
      <c r="AB11" s="68" t="str">
        <f>IF(Y11=0,"",(Z11-Y11)/ABS(Y11)+1)</f>
        <v/>
      </c>
      <c r="AC11" s="33">
        <v>82498.8</v>
      </c>
      <c r="AD11" s="35">
        <f>IF(AC11=0,"",(Z11-AC11)/ABS(AC11))</f>
        <v>-7.6459293953366633E-2</v>
      </c>
      <c r="AF11" s="33"/>
      <c r="AG11" s="33"/>
      <c r="AH11" s="33"/>
    </row>
    <row r="12" spans="1:34" x14ac:dyDescent="0.2">
      <c r="A12" s="94"/>
      <c r="B12" s="3" t="str">
        <f>+'COLOMB$ '!B12</f>
        <v>Voice Experience (Publihold)</v>
      </c>
      <c r="C12" s="33">
        <v>0</v>
      </c>
      <c r="D12" s="35" t="e">
        <f>+C12/$C$20</f>
        <v>#DIV/0!</v>
      </c>
      <c r="E12" s="33">
        <v>1273.3599999999999</v>
      </c>
      <c r="F12" s="35">
        <f>+E12/$E$20</f>
        <v>0.1479422897733742</v>
      </c>
      <c r="G12" s="35" t="str">
        <f>IF(C12=0,"",(E12-C12)/ABS(C12)+1)</f>
        <v/>
      </c>
      <c r="H12" s="33">
        <v>1593.86</v>
      </c>
      <c r="I12" s="35">
        <f>+H12/$H$20</f>
        <v>0.17825440726321898</v>
      </c>
      <c r="J12" s="35">
        <f>IF(H12=0,"",(E12-H12)/ABS(H12))</f>
        <v>-0.20108416046578748</v>
      </c>
      <c r="K12" s="33">
        <v>0</v>
      </c>
      <c r="L12" s="35" t="e">
        <f>+K12/$K$20</f>
        <v>#DIV/0!</v>
      </c>
      <c r="M12" s="33">
        <v>1273.3599999999999</v>
      </c>
      <c r="N12" s="35">
        <f>+M12/$M$20</f>
        <v>0.1479422897733742</v>
      </c>
      <c r="O12" s="35" t="str">
        <f>IF(K12=0,"",(M12-K12)/ABS(K12)+1)</f>
        <v/>
      </c>
      <c r="P12" s="33">
        <v>1593.86</v>
      </c>
      <c r="Q12" s="35">
        <f>+P12/$P$20</f>
        <v>0.17825440726321898</v>
      </c>
      <c r="R12" s="35">
        <f t="shared" si="0"/>
        <v>-0.20108416046578748</v>
      </c>
      <c r="S12" s="35"/>
      <c r="T12" s="63"/>
    </row>
    <row r="13" spans="1:34" x14ac:dyDescent="0.2">
      <c r="A13" s="94"/>
      <c r="B13" s="3" t="str">
        <f>+'COLOMB$ '!B13</f>
        <v>Service &amp; Equipment Experience</v>
      </c>
      <c r="C13" s="33">
        <v>0</v>
      </c>
      <c r="D13" s="35" t="e">
        <f>+C13/$C$20</f>
        <v>#DIV/0!</v>
      </c>
      <c r="E13" s="33">
        <v>0</v>
      </c>
      <c r="F13" s="35"/>
      <c r="G13" s="35" t="str">
        <f>IF(C13=0,"",(E13-C13)/ABS(C13)+1)</f>
        <v/>
      </c>
      <c r="H13" s="33">
        <v>218</v>
      </c>
      <c r="I13" s="35"/>
      <c r="J13" s="35">
        <f>IF(H13=0,"",(E13-H13)/ABS(H13))</f>
        <v>-1</v>
      </c>
      <c r="K13" s="33">
        <v>0</v>
      </c>
      <c r="L13" s="35" t="e">
        <f>+K13/$K$20</f>
        <v>#DIV/0!</v>
      </c>
      <c r="M13" s="33">
        <v>0</v>
      </c>
      <c r="N13" s="35">
        <f>+M13/$M$20</f>
        <v>0</v>
      </c>
      <c r="O13" s="35" t="str">
        <f>IF(K13=0,"",(M13-K13)/ABS(K13)+1)</f>
        <v/>
      </c>
      <c r="P13" s="33">
        <v>218</v>
      </c>
      <c r="Q13" s="35"/>
      <c r="R13" s="35">
        <f t="shared" si="0"/>
        <v>-1</v>
      </c>
      <c r="S13" s="35"/>
      <c r="T13" s="63"/>
      <c r="U13" s="3" t="s">
        <v>35</v>
      </c>
      <c r="V13" s="33"/>
      <c r="W13" s="33"/>
      <c r="X13" s="33">
        <v>0</v>
      </c>
      <c r="Y13" s="33">
        <f>+AF13+V13</f>
        <v>0</v>
      </c>
      <c r="Z13" s="33">
        <f t="shared" ref="Z13:Z14" si="1">+W13+AH13</f>
        <v>0</v>
      </c>
      <c r="AA13" s="63">
        <v>362</v>
      </c>
      <c r="AB13" s="68" t="str">
        <f>IF(Y13=0,"",(Z13-Y13)/ABS(Y13)+1)</f>
        <v/>
      </c>
      <c r="AC13" s="33">
        <v>362</v>
      </c>
      <c r="AD13" s="35">
        <f>IF(AC13=0,"",(Z13-AC13)/ABS(AC13))</f>
        <v>-1</v>
      </c>
      <c r="AF13" s="33"/>
      <c r="AG13" s="33"/>
      <c r="AH13" s="33"/>
    </row>
    <row r="14" spans="1:34" x14ac:dyDescent="0.2">
      <c r="A14" s="94"/>
      <c r="B14" s="3" t="str">
        <f>+'COLOMB$ '!B14</f>
        <v>POP Satelital</v>
      </c>
      <c r="C14" s="33"/>
      <c r="D14" s="35"/>
      <c r="E14" s="33"/>
      <c r="F14" s="35"/>
      <c r="G14" s="35"/>
      <c r="H14" s="33"/>
      <c r="I14" s="35"/>
      <c r="J14" s="35"/>
      <c r="K14" s="33"/>
      <c r="L14" s="35"/>
      <c r="M14" s="33"/>
      <c r="N14" s="35"/>
      <c r="O14" s="35"/>
      <c r="P14" s="33"/>
      <c r="Q14" s="35"/>
      <c r="R14" s="35" t="str">
        <f t="shared" si="0"/>
        <v/>
      </c>
      <c r="S14" s="35"/>
      <c r="T14" s="63"/>
      <c r="U14" s="3" t="s">
        <v>36</v>
      </c>
      <c r="V14" s="33"/>
      <c r="W14" s="33"/>
      <c r="X14" s="33"/>
      <c r="Y14" s="33">
        <f t="shared" ref="Y14:Y16" si="2">+AF14+V14</f>
        <v>0</v>
      </c>
      <c r="Z14" s="33">
        <f t="shared" si="1"/>
        <v>0</v>
      </c>
      <c r="AA14" s="63">
        <v>0</v>
      </c>
      <c r="AB14" s="68" t="str">
        <f>IF(Y14=0,"",(Z14-Y14)/ABS(Y14)+1)</f>
        <v/>
      </c>
      <c r="AC14" s="33">
        <v>0</v>
      </c>
      <c r="AD14" s="35" t="str">
        <f>IF(AC14=0,"",(Z14-AC14)/ABS(AC14))</f>
        <v/>
      </c>
      <c r="AF14" s="33">
        <v>0</v>
      </c>
      <c r="AG14" s="33"/>
      <c r="AH14" s="33"/>
    </row>
    <row r="15" spans="1:34" x14ac:dyDescent="0.2">
      <c r="A15" s="94"/>
      <c r="B15" s="3" t="str">
        <f>+'COLOMB$ '!B15</f>
        <v>Voice Experience (Audicóm)</v>
      </c>
      <c r="C15" s="33">
        <v>0</v>
      </c>
      <c r="D15" s="35" t="e">
        <f>+C15/$C$20</f>
        <v>#DIV/0!</v>
      </c>
      <c r="E15" s="33">
        <v>1656</v>
      </c>
      <c r="F15" s="35"/>
      <c r="G15" s="35" t="str">
        <f>IF(C15=0,"",(E15-C15)/ABS(C15)+1)</f>
        <v/>
      </c>
      <c r="H15" s="33">
        <v>1656</v>
      </c>
      <c r="I15" s="35"/>
      <c r="J15" s="35">
        <f>IF(H15=0,"",(E15-H15)/ABS(H15))</f>
        <v>0</v>
      </c>
      <c r="K15" s="33">
        <v>0</v>
      </c>
      <c r="L15" s="35"/>
      <c r="M15" s="33">
        <v>1656</v>
      </c>
      <c r="N15" s="35"/>
      <c r="O15" s="35" t="str">
        <f>IF(K15=0,"",(M15-K15)/ABS(K15)+1)</f>
        <v/>
      </c>
      <c r="P15" s="33">
        <v>1656</v>
      </c>
      <c r="Q15" s="35"/>
      <c r="R15" s="35">
        <f t="shared" si="0"/>
        <v>0</v>
      </c>
      <c r="S15" s="35"/>
      <c r="T15" s="63"/>
      <c r="U15" s="3" t="s">
        <v>37</v>
      </c>
      <c r="V15" s="33"/>
      <c r="W15" s="33">
        <v>3536.8999999999996</v>
      </c>
      <c r="X15" s="33">
        <v>4445.8999999999996</v>
      </c>
      <c r="Y15" s="33">
        <f t="shared" si="2"/>
        <v>0</v>
      </c>
      <c r="Z15" s="33">
        <v>41152</v>
      </c>
      <c r="AA15" s="63">
        <v>24681.1</v>
      </c>
      <c r="AB15" s="68" t="str">
        <f>IF(Y15=0,"",(Z15-Y15)/ABS(Y15)+1)</f>
        <v/>
      </c>
      <c r="AC15" s="33">
        <v>42403.9</v>
      </c>
      <c r="AD15" s="35">
        <f>IF(AC15=0,"",(Z15-AC15)/ABS(AC15))</f>
        <v>-2.9523227816309384E-2</v>
      </c>
      <c r="AF15" s="33"/>
      <c r="AG15" s="33"/>
      <c r="AH15" s="33"/>
    </row>
    <row r="16" spans="1:34" x14ac:dyDescent="0.2">
      <c r="B16" s="3" t="str">
        <f>+'COLOMB$ '!B16</f>
        <v>Fact. Servicio Satelital</v>
      </c>
      <c r="C16" s="33"/>
      <c r="D16" s="35"/>
      <c r="E16" s="33"/>
      <c r="F16" s="35"/>
      <c r="G16" s="35"/>
      <c r="H16" s="33"/>
      <c r="I16" s="35"/>
      <c r="J16" s="35"/>
      <c r="K16" s="33">
        <f>+T16+C16</f>
        <v>0</v>
      </c>
      <c r="L16" s="35"/>
      <c r="M16" s="33"/>
      <c r="N16" s="35"/>
      <c r="O16" s="35"/>
      <c r="P16" s="33"/>
      <c r="Q16" s="35"/>
      <c r="R16" s="35" t="str">
        <f t="shared" si="0"/>
        <v/>
      </c>
      <c r="S16" s="35"/>
      <c r="T16" s="63"/>
      <c r="U16" s="3" t="s">
        <v>38</v>
      </c>
      <c r="V16" s="33"/>
      <c r="W16" s="33">
        <v>2613.2999999999997</v>
      </c>
      <c r="X16" s="33">
        <v>2295.8000000000002</v>
      </c>
      <c r="Y16" s="33">
        <f t="shared" si="2"/>
        <v>0</v>
      </c>
      <c r="Z16" s="33">
        <v>18281</v>
      </c>
      <c r="AA16" s="63">
        <v>9058.7000000000007</v>
      </c>
      <c r="AB16" s="68" t="str">
        <f>IF(Y16=0,"",(Z16-Y16)/ABS(Y16)+1)</f>
        <v/>
      </c>
      <c r="AC16" s="33">
        <v>15500.8</v>
      </c>
      <c r="AD16" s="35">
        <f>IF(AC16=0,"",(Z16-AC16)/ABS(AC16))</f>
        <v>0.17935848472336918</v>
      </c>
      <c r="AF16" s="33"/>
      <c r="AG16" s="33"/>
      <c r="AH16" s="33"/>
    </row>
    <row r="17" spans="1:35" x14ac:dyDescent="0.2">
      <c r="A17" s="94"/>
      <c r="B17" s="3" t="str">
        <f>+'COLOMB$ '!B17</f>
        <v>Visual Experience</v>
      </c>
      <c r="C17" s="33"/>
      <c r="D17" s="35"/>
      <c r="E17" s="33"/>
      <c r="F17" s="35"/>
      <c r="G17" s="35" t="str">
        <f>IF(C17=0,"",(E17-C17)/ABS(C17)+1)</f>
        <v/>
      </c>
      <c r="H17" s="33"/>
      <c r="I17" s="35"/>
      <c r="J17" s="35" t="str">
        <f>IF(H17=0,"",(E17-H17)/ABS(H17))</f>
        <v/>
      </c>
      <c r="K17" s="33">
        <f>+T17+C17</f>
        <v>0</v>
      </c>
      <c r="L17" s="35"/>
      <c r="M17" s="33"/>
      <c r="N17" s="35"/>
      <c r="O17" s="35" t="str">
        <f>IF(K17=0,"",(M17-K17)/ABS(K17)+1)</f>
        <v/>
      </c>
      <c r="P17" s="33"/>
      <c r="Q17" s="35"/>
      <c r="R17" s="35" t="str">
        <f t="shared" si="0"/>
        <v/>
      </c>
      <c r="S17" s="35"/>
      <c r="T17" s="63"/>
      <c r="U17" s="3" t="s">
        <v>39</v>
      </c>
      <c r="V17" s="33">
        <f>SUM(V13:V16)</f>
        <v>0</v>
      </c>
      <c r="W17" s="33">
        <f>SUM(W13:W16)</f>
        <v>6150.1999999999989</v>
      </c>
      <c r="X17" s="33">
        <v>6741.7</v>
      </c>
      <c r="Y17" s="33">
        <f>SUM(Y13:Y16)</f>
        <v>0</v>
      </c>
      <c r="Z17" s="33">
        <f>SUM(Z13:Z16)</f>
        <v>59433</v>
      </c>
      <c r="AA17" s="63">
        <v>34101.800000000003</v>
      </c>
      <c r="AB17" s="68" t="str">
        <f>IF(Y17=0,"",(Z17-Y17)/ABS(Y17)+1)</f>
        <v/>
      </c>
      <c r="AC17" s="33">
        <v>58266.7</v>
      </c>
      <c r="AD17" s="35">
        <f>IF(AC17=0,"",(Z17-AC17)/ABS(AC17))</f>
        <v>2.0016578937883955E-2</v>
      </c>
      <c r="AF17" s="33"/>
      <c r="AG17" s="33"/>
      <c r="AH17" s="33"/>
    </row>
    <row r="18" spans="1:35" x14ac:dyDescent="0.2">
      <c r="A18" s="94"/>
      <c r="B18" s="3" t="str">
        <f>+'COL. CONS.$'!B18</f>
        <v>Olfa Experience</v>
      </c>
      <c r="C18" s="33">
        <v>0</v>
      </c>
      <c r="D18" s="35"/>
      <c r="E18" s="33"/>
      <c r="F18" s="35"/>
      <c r="G18" s="35"/>
      <c r="H18" s="33"/>
      <c r="I18" s="35"/>
      <c r="J18" s="35"/>
      <c r="K18" s="33">
        <v>0</v>
      </c>
      <c r="L18" s="35"/>
      <c r="M18" s="33"/>
      <c r="N18" s="35"/>
      <c r="O18" s="35"/>
      <c r="P18" s="33"/>
      <c r="Q18" s="35"/>
      <c r="R18" s="35"/>
      <c r="S18" s="35"/>
      <c r="T18" s="63"/>
    </row>
    <row r="19" spans="1:35" x14ac:dyDescent="0.2">
      <c r="B19" s="3" t="str">
        <f>+'COLOMB$ '!B19</f>
        <v>Locutor virtual</v>
      </c>
      <c r="C19" s="33"/>
      <c r="D19" s="35"/>
      <c r="E19" s="33"/>
      <c r="F19" s="35"/>
      <c r="G19" s="35"/>
      <c r="H19" s="33"/>
      <c r="I19" s="35"/>
      <c r="J19" s="35"/>
      <c r="K19" s="33"/>
      <c r="L19" s="35"/>
      <c r="M19" s="33"/>
      <c r="N19" s="35"/>
      <c r="O19" s="35"/>
      <c r="P19" s="33"/>
      <c r="Q19" s="35"/>
      <c r="R19" s="35"/>
      <c r="S19" s="35"/>
      <c r="T19" s="63"/>
      <c r="U19" s="3" t="s">
        <v>40</v>
      </c>
      <c r="V19" s="33">
        <f>V11-V17</f>
        <v>0</v>
      </c>
      <c r="W19" s="33">
        <f>W11-W17</f>
        <v>-191.99999999999909</v>
      </c>
      <c r="X19" s="33">
        <v>4946.0999999999995</v>
      </c>
      <c r="Y19" s="33">
        <f>Y11-Y17</f>
        <v>0</v>
      </c>
      <c r="Z19" s="33">
        <f>Z11-Z17</f>
        <v>16758</v>
      </c>
      <c r="AA19" s="63">
        <v>12805.799999999996</v>
      </c>
      <c r="AB19" s="68" t="str">
        <f>IF(Y19=0,"",(Z19-Y19)/ABS(Y19)+1)</f>
        <v/>
      </c>
      <c r="AC19" s="33">
        <v>24232.100000000006</v>
      </c>
      <c r="AD19" s="35">
        <f>IF(AC19=0,"",(Z19-AC19)/ABS(AC19))</f>
        <v>-0.30843798102516928</v>
      </c>
      <c r="AF19" s="33"/>
      <c r="AG19" s="33"/>
      <c r="AH19" s="33"/>
      <c r="AI19" s="55"/>
    </row>
    <row r="20" spans="1:35" x14ac:dyDescent="0.2">
      <c r="B20" s="21" t="s">
        <v>41</v>
      </c>
      <c r="C20" s="69">
        <f>SUM(C10:C19)</f>
        <v>0</v>
      </c>
      <c r="D20" s="45" t="e">
        <f>+C20/$C$20</f>
        <v>#DIV/0!</v>
      </c>
      <c r="E20" s="69">
        <f>SUM(E10:E19)</f>
        <v>8607.14</v>
      </c>
      <c r="F20" s="45">
        <f>+E20/$E$20</f>
        <v>1</v>
      </c>
      <c r="G20" s="45" t="str">
        <f>IF(C20=0,"",(E20-C20)/ABS(C20)+1)</f>
        <v/>
      </c>
      <c r="H20" s="69">
        <f>SUM(H10:H19)</f>
        <v>8941.49</v>
      </c>
      <c r="I20" s="45">
        <f>+H20/$H$20</f>
        <v>1</v>
      </c>
      <c r="J20" s="45">
        <f>IF(H20=0,"",(E20-H20)/ABS(H20))</f>
        <v>-3.7393096676281067E-2</v>
      </c>
      <c r="K20" s="69">
        <f>SUM(K10:K19)</f>
        <v>0</v>
      </c>
      <c r="L20" s="45" t="e">
        <f>+K20/$K$20</f>
        <v>#DIV/0!</v>
      </c>
      <c r="M20" s="69">
        <f>SUM(M10:M19)</f>
        <v>8607.14</v>
      </c>
      <c r="N20" s="45">
        <f>+M20/$M$20</f>
        <v>1</v>
      </c>
      <c r="O20" s="45" t="str">
        <f>IF(K20=0,"",(M20-K20)/ABS(K20)+1)</f>
        <v/>
      </c>
      <c r="P20" s="69">
        <f>SUM(P10:P19)</f>
        <v>8941.49</v>
      </c>
      <c r="Q20" s="45">
        <f>+P20/$P$20</f>
        <v>1</v>
      </c>
      <c r="R20" s="45">
        <f>IF(P20=0,"",(M20-P20)/ABS(P20))</f>
        <v>-3.7393096676281067E-2</v>
      </c>
      <c r="S20" s="45"/>
      <c r="T20" s="63"/>
      <c r="U20" s="3"/>
      <c r="V20" s="33"/>
      <c r="W20" s="33"/>
      <c r="X20" s="33"/>
      <c r="Y20" s="33"/>
      <c r="Z20" s="33"/>
      <c r="AA20" s="63"/>
      <c r="AB20" s="68"/>
      <c r="AC20" s="33"/>
      <c r="AD20" s="35"/>
      <c r="AF20" s="33"/>
      <c r="AG20" s="33"/>
      <c r="AH20" s="33"/>
    </row>
    <row r="21" spans="1:35" x14ac:dyDescent="0.2">
      <c r="J21" s="35"/>
      <c r="R21" s="35"/>
      <c r="S21" s="35"/>
      <c r="U21" s="3" t="s">
        <v>42</v>
      </c>
      <c r="V21" s="33">
        <f>+V10+V19</f>
        <v>13901</v>
      </c>
      <c r="W21" s="33">
        <f>+W10+W19</f>
        <v>20071.25</v>
      </c>
      <c r="X21" s="33">
        <v>23424.51</v>
      </c>
      <c r="Y21" s="33">
        <f>+Y10+Y19</f>
        <v>0</v>
      </c>
      <c r="Z21" s="33">
        <f>+Z10+Z19</f>
        <v>30659</v>
      </c>
      <c r="AA21" s="63">
        <v>27973.799999999996</v>
      </c>
      <c r="AB21" s="68" t="str">
        <f>IF(Y21=0,"",(Z21-Y21)/ABS(Y21)+1)</f>
        <v/>
      </c>
      <c r="AC21" s="33">
        <v>39400.100000000006</v>
      </c>
      <c r="AD21" s="35">
        <f>IF(AC21=0,"",(Z21-AC21)/ABS(AC21))</f>
        <v>-0.22185476686607405</v>
      </c>
      <c r="AF21" s="33"/>
      <c r="AG21" s="33"/>
      <c r="AH21" s="33"/>
    </row>
    <row r="22" spans="1:35" x14ac:dyDescent="0.2">
      <c r="A22" s="94"/>
      <c r="B22" s="3" t="s">
        <v>43</v>
      </c>
      <c r="C22" s="33">
        <v>0</v>
      </c>
      <c r="D22" s="35" t="e">
        <f>+C22/$C$20</f>
        <v>#DIV/0!</v>
      </c>
      <c r="E22" s="33">
        <v>0</v>
      </c>
      <c r="F22" s="35">
        <f>+E22/$E$20</f>
        <v>0</v>
      </c>
      <c r="G22" s="35" t="str">
        <f>IF(C22=0,"",(E22-C22)/ABS(C22)+1)</f>
        <v/>
      </c>
      <c r="H22" s="33">
        <v>0</v>
      </c>
      <c r="I22" s="35">
        <f>+H22/$H$20</f>
        <v>0</v>
      </c>
      <c r="J22" s="35" t="str">
        <f>IF(H22=0,"",(E22-H22)/ABS(H22))</f>
        <v/>
      </c>
      <c r="K22" s="33">
        <v>0</v>
      </c>
      <c r="L22" s="35" t="e">
        <f>+K22/$K$20</f>
        <v>#DIV/0!</v>
      </c>
      <c r="M22" s="33">
        <v>0</v>
      </c>
      <c r="N22" s="35">
        <f>+M22/$M$20</f>
        <v>0</v>
      </c>
      <c r="O22" s="35" t="str">
        <f>IF(K22=0,"",(M22-K22)/ABS(K22)+1)</f>
        <v/>
      </c>
      <c r="P22" s="33">
        <v>0</v>
      </c>
      <c r="Q22" s="35">
        <f>+P22/$P$20</f>
        <v>0</v>
      </c>
      <c r="R22" s="35" t="str">
        <f>IF(P22=0,"",(M22-P22)/ABS(P22))</f>
        <v/>
      </c>
      <c r="S22" s="35"/>
      <c r="T22" s="63"/>
      <c r="AD22" s="35"/>
    </row>
    <row r="23" spans="1:35" x14ac:dyDescent="0.2">
      <c r="J23" s="35"/>
      <c r="R23" s="35"/>
      <c r="S23" s="35"/>
      <c r="U23" s="3" t="s">
        <v>44</v>
      </c>
      <c r="V23" s="33"/>
      <c r="W23" s="33"/>
      <c r="X23" s="33">
        <v>0</v>
      </c>
      <c r="Y23" s="33">
        <f>+AF23+V23</f>
        <v>0</v>
      </c>
      <c r="Z23" s="33">
        <v>1325</v>
      </c>
      <c r="AA23" s="63">
        <v>585</v>
      </c>
      <c r="AB23" s="68" t="str">
        <f>IF(Y23=0,"",(Z23-Y23)/ABS(Y23)+1)</f>
        <v/>
      </c>
      <c r="AC23" s="33">
        <v>6730</v>
      </c>
      <c r="AD23" s="35">
        <f>IF(AC23=0,"",(Z23-AC23)/ABS(AC23))</f>
        <v>-0.80312035661218428</v>
      </c>
      <c r="AF23" s="33"/>
      <c r="AG23" s="33"/>
      <c r="AH23" s="33"/>
    </row>
    <row r="24" spans="1:35" x14ac:dyDescent="0.2">
      <c r="B24" s="3" t="s">
        <v>45</v>
      </c>
      <c r="C24" s="33">
        <f>+C20-C22</f>
        <v>0</v>
      </c>
      <c r="D24" s="35" t="e">
        <f>+C24/$C$20</f>
        <v>#DIV/0!</v>
      </c>
      <c r="E24" s="33">
        <f>+E20-E22</f>
        <v>8607.14</v>
      </c>
      <c r="F24" s="35">
        <f>+E24/$E$20</f>
        <v>1</v>
      </c>
      <c r="G24" s="35" t="str">
        <f>IF(C24=0,"",(E24-C24)/ABS(C24)+1)</f>
        <v/>
      </c>
      <c r="H24" s="33">
        <f>+H20-H22</f>
        <v>8941.49</v>
      </c>
      <c r="I24" s="35">
        <f>+H24/$H$20</f>
        <v>1</v>
      </c>
      <c r="J24" s="35">
        <f>IF(H24=0,"",(E24-H24)/ABS(H24))</f>
        <v>-3.7393096676281067E-2</v>
      </c>
      <c r="K24" s="33">
        <f>+K20-K22</f>
        <v>0</v>
      </c>
      <c r="L24" s="35" t="e">
        <f>+K24/$K$20</f>
        <v>#DIV/0!</v>
      </c>
      <c r="M24" s="33">
        <f>+M20-M22</f>
        <v>8607.14</v>
      </c>
      <c r="N24" s="35">
        <f>+M24/$M$20</f>
        <v>1</v>
      </c>
      <c r="O24" s="35" t="str">
        <f>IF(K24=0,"",(M24-K24)/ABS(K24)+1)</f>
        <v/>
      </c>
      <c r="P24" s="33">
        <f>+P20-P22</f>
        <v>8941.49</v>
      </c>
      <c r="Q24" s="35">
        <f>+P24/$P$20</f>
        <v>1</v>
      </c>
      <c r="R24" s="35">
        <f>IF(P24=0,"",(M24-P24)/ABS(P24))</f>
        <v>-3.7393096676281067E-2</v>
      </c>
      <c r="S24" s="35"/>
      <c r="T24" s="63"/>
      <c r="AD24" s="35"/>
    </row>
    <row r="25" spans="1:35" x14ac:dyDescent="0.2">
      <c r="J25" s="35"/>
      <c r="R25" s="35"/>
      <c r="S25" s="35"/>
      <c r="U25" s="3" t="s">
        <v>46</v>
      </c>
      <c r="V25" s="33"/>
      <c r="W25" s="33">
        <v>856.1</v>
      </c>
      <c r="X25" s="33">
        <v>1067</v>
      </c>
      <c r="Y25" s="33">
        <f>+AF25+V25</f>
        <v>0</v>
      </c>
      <c r="Z25" s="33">
        <v>10119</v>
      </c>
      <c r="AA25" s="63">
        <v>6100.8</v>
      </c>
      <c r="AB25" s="68" t="str">
        <f>IF(Y25=0,"",(Z25-Y25)/ABS(Y25)+1)</f>
        <v/>
      </c>
      <c r="AC25" s="33">
        <v>10312</v>
      </c>
      <c r="AD25" s="35">
        <f>IF(AC25=0,"",(Z25-AC25)/ABS(AC25))</f>
        <v>-1.8716058960434444E-2</v>
      </c>
      <c r="AF25" s="33"/>
      <c r="AG25" s="33"/>
      <c r="AH25" s="33"/>
    </row>
    <row r="26" spans="1:35" x14ac:dyDescent="0.2">
      <c r="B26" s="3" t="s">
        <v>47</v>
      </c>
      <c r="C26" s="33">
        <v>0</v>
      </c>
      <c r="D26" s="35" t="e">
        <f>+C26/$C$20</f>
        <v>#DIV/0!</v>
      </c>
      <c r="E26" s="33">
        <v>554.36</v>
      </c>
      <c r="F26" s="35">
        <f>+E26/$E$20</f>
        <v>6.4406992334271315E-2</v>
      </c>
      <c r="G26" s="35" t="str">
        <f>IF(C26=0,"",(E26-C26)/ABS(C26)+1)</f>
        <v/>
      </c>
      <c r="H26" s="33">
        <v>638.14</v>
      </c>
      <c r="I26" s="35">
        <f>+H26/$H$20</f>
        <v>7.1368418462694691E-2</v>
      </c>
      <c r="J26" s="35">
        <f>IF(H26=0,"",(E26-H26)/ABS(H26))</f>
        <v>-0.13128780518381541</v>
      </c>
      <c r="K26" s="33">
        <v>0</v>
      </c>
      <c r="L26" s="35" t="e">
        <f>+K26/$K$20</f>
        <v>#DIV/0!</v>
      </c>
      <c r="M26" s="33">
        <v>554.36</v>
      </c>
      <c r="N26" s="35">
        <f>+M26/$M$20</f>
        <v>6.4406992334271315E-2</v>
      </c>
      <c r="O26" s="35" t="str">
        <f>IF(K26=0,"",(M26-K26)/ABS(K26)+1)</f>
        <v/>
      </c>
      <c r="P26" s="33">
        <v>638.14</v>
      </c>
      <c r="Q26" s="35">
        <f>+P26/$P$20</f>
        <v>7.1368418462694691E-2</v>
      </c>
      <c r="R26" s="35">
        <f>IF(P26=0,"",(M26-P26)/ABS(P26))</f>
        <v>-0.13128780518381541</v>
      </c>
      <c r="S26" s="35"/>
      <c r="T26" s="63"/>
      <c r="AD26" s="35"/>
      <c r="AH26" s="54"/>
    </row>
    <row r="27" spans="1:35" x14ac:dyDescent="0.2">
      <c r="B27" s="3" t="s">
        <v>48</v>
      </c>
      <c r="C27" s="33">
        <v>0</v>
      </c>
      <c r="D27" s="35" t="e">
        <f>+C27/$C$20</f>
        <v>#DIV/0!</v>
      </c>
      <c r="E27" s="33">
        <v>1420.38</v>
      </c>
      <c r="F27" s="35">
        <f>+E27/$E$20</f>
        <v>0.16502345726919745</v>
      </c>
      <c r="G27" s="35" t="str">
        <f>IF(C27=0,"",(E27-C27)/ABS(C27)+1)</f>
        <v/>
      </c>
      <c r="H27" s="33">
        <v>1284.3499999999999</v>
      </c>
      <c r="I27" s="35">
        <f>+H27/$H$20</f>
        <v>0.14363937106679087</v>
      </c>
      <c r="J27" s="35">
        <f>IF(H27=0,"",(E27-H27)/ABS(H27))</f>
        <v>0.1059134970997004</v>
      </c>
      <c r="K27" s="33">
        <v>0</v>
      </c>
      <c r="L27" s="35" t="e">
        <f>+K27/$K$20</f>
        <v>#DIV/0!</v>
      </c>
      <c r="M27" s="33">
        <v>1420.38</v>
      </c>
      <c r="N27" s="35">
        <f>+M27/$M$20</f>
        <v>0.16502345726919745</v>
      </c>
      <c r="O27" s="35" t="str">
        <f>IF(K27=0,"",(M27-K27)/ABS(K27)+1)</f>
        <v/>
      </c>
      <c r="P27" s="33">
        <v>1284.3499999999999</v>
      </c>
      <c r="Q27" s="35">
        <f>+P27/$P$20</f>
        <v>0.14363937106679087</v>
      </c>
      <c r="R27" s="35">
        <f>IF(P27=0,"",(M27-P27)/ABS(P27))</f>
        <v>0.1059134970997004</v>
      </c>
      <c r="S27" s="35"/>
      <c r="T27" s="63"/>
      <c r="U27" s="3" t="s">
        <v>49</v>
      </c>
      <c r="V27" s="33"/>
      <c r="W27" s="33"/>
      <c r="X27" s="33"/>
      <c r="Y27" s="33">
        <f t="shared" ref="Y27:Y28" si="3">+AF27+V27</f>
        <v>0</v>
      </c>
      <c r="Z27" s="33">
        <f t="shared" ref="Z27:Z28" si="4">+W27+AH27</f>
        <v>0</v>
      </c>
      <c r="AA27" s="63">
        <v>0</v>
      </c>
      <c r="AB27" s="68" t="str">
        <f>IF(Y27=0,"",(Z27-Y27)/ABS(Y27)+1)</f>
        <v/>
      </c>
      <c r="AC27" s="33">
        <v>0</v>
      </c>
      <c r="AD27" s="35" t="str">
        <f>IF(AC27=0,"",(Z27-AC27)/ABS(AC27))</f>
        <v/>
      </c>
      <c r="AF27" s="33"/>
      <c r="AG27" s="33"/>
    </row>
    <row r="28" spans="1:35" x14ac:dyDescent="0.2">
      <c r="B28" s="3" t="s">
        <v>50</v>
      </c>
      <c r="C28" s="33">
        <f>SUM(C26:C27)</f>
        <v>0</v>
      </c>
      <c r="D28" s="35" t="e">
        <f>+C28/$C$20</f>
        <v>#DIV/0!</v>
      </c>
      <c r="E28" s="33">
        <f>SUM(E26:E27)</f>
        <v>1974.7400000000002</v>
      </c>
      <c r="F28" s="35">
        <f>+E28/$E$20</f>
        <v>0.22943044960346878</v>
      </c>
      <c r="G28" s="35" t="str">
        <f>IF(C28=0,"",(E28-C28)/ABS(C28)+1)</f>
        <v/>
      </c>
      <c r="H28" s="33">
        <f>SUM(H26:H27)</f>
        <v>1922.4899999999998</v>
      </c>
      <c r="I28" s="35">
        <f>+H28/$H$20</f>
        <v>0.21500778952948557</v>
      </c>
      <c r="J28" s="35">
        <f>IF(H28=0,"",(E28-H28)/ABS(H28))</f>
        <v>2.7178294815577955E-2</v>
      </c>
      <c r="K28" s="33">
        <f>SUM(K26:K27)</f>
        <v>0</v>
      </c>
      <c r="L28" s="35" t="e">
        <f>+K28/$K$20</f>
        <v>#DIV/0!</v>
      </c>
      <c r="M28" s="33">
        <f>SUM(M26:M27)</f>
        <v>1974.7400000000002</v>
      </c>
      <c r="N28" s="35">
        <f>+M28/$M$20</f>
        <v>0.22943044960346878</v>
      </c>
      <c r="O28" s="35" t="str">
        <f>IF(K28=0,"",(M28-K28)/ABS(K28)+1)</f>
        <v/>
      </c>
      <c r="P28" s="33">
        <f>SUM(P26:P27)</f>
        <v>1922.4899999999998</v>
      </c>
      <c r="Q28" s="35">
        <f>+P28/$P$20</f>
        <v>0.21500778952948557</v>
      </c>
      <c r="R28" s="35">
        <f>IF(P28=0,"",(M28-P28)/ABS(P28))</f>
        <v>2.7178294815577955E-2</v>
      </c>
      <c r="S28" s="35"/>
      <c r="T28" s="63"/>
      <c r="U28" s="3" t="s">
        <v>51</v>
      </c>
      <c r="V28" s="33"/>
      <c r="W28" s="33"/>
      <c r="X28" s="33"/>
      <c r="Y28" s="33">
        <f t="shared" si="3"/>
        <v>0</v>
      </c>
      <c r="Z28" s="33">
        <f t="shared" si="4"/>
        <v>0</v>
      </c>
      <c r="AA28" s="63">
        <v>0</v>
      </c>
      <c r="AB28" s="68" t="str">
        <f>IF(Y28=0,"",(Z28-Y28)/ABS(Y28)+1)</f>
        <v/>
      </c>
      <c r="AC28" s="33">
        <v>0</v>
      </c>
      <c r="AD28" s="35" t="str">
        <f>IF(AC28=0,"",(Z28-AC28)/ABS(AC28))</f>
        <v/>
      </c>
      <c r="AF28" s="33"/>
      <c r="AG28" s="33"/>
    </row>
    <row r="29" spans="1:35" x14ac:dyDescent="0.2">
      <c r="J29" s="35"/>
      <c r="R29" s="35"/>
      <c r="S29" s="35"/>
    </row>
    <row r="30" spans="1:35" x14ac:dyDescent="0.2">
      <c r="B30" s="3" t="s">
        <v>52</v>
      </c>
      <c r="C30" s="33">
        <v>0</v>
      </c>
      <c r="D30" s="35" t="e">
        <f>+C30/$C$20</f>
        <v>#DIV/0!</v>
      </c>
      <c r="E30" s="33">
        <v>4758.04</v>
      </c>
      <c r="F30" s="35">
        <f>+E30/$E$20</f>
        <v>0.55280151130340627</v>
      </c>
      <c r="G30" s="35" t="str">
        <f>IF(C30=0,"",(E30-C30)/ABS(C30)+1)</f>
        <v/>
      </c>
      <c r="H30" s="33">
        <v>4867.76</v>
      </c>
      <c r="I30" s="35">
        <f>+H30/$H$20</f>
        <v>0.54440143644962979</v>
      </c>
      <c r="J30" s="35">
        <f>IF(H30=0,"",(E30-H30)/ABS(H30))</f>
        <v>-2.2540141666803674E-2</v>
      </c>
      <c r="K30" s="33">
        <v>0</v>
      </c>
      <c r="L30" s="35" t="e">
        <f>+K30/$K$20</f>
        <v>#DIV/0!</v>
      </c>
      <c r="M30" s="33">
        <v>4758.04</v>
      </c>
      <c r="N30" s="35">
        <f>+M30/$M$20</f>
        <v>0.55280151130340627</v>
      </c>
      <c r="O30" s="35" t="str">
        <f>IF(K30=0,"",(M30-K30)/ABS(K30)+1)</f>
        <v/>
      </c>
      <c r="P30" s="33">
        <v>4867.76</v>
      </c>
      <c r="Q30" s="35">
        <f>+P30/$P$20</f>
        <v>0.54440143644962979</v>
      </c>
      <c r="R30" s="35">
        <f>IF(P30=0,"",(M30-P30)/ABS(P30))</f>
        <v>-2.2540141666803674E-2</v>
      </c>
      <c r="S30" s="35"/>
      <c r="T30" s="63"/>
      <c r="U30" s="21" t="s">
        <v>53</v>
      </c>
      <c r="V30" s="69">
        <f>V21-V23-V25-V27-V28</f>
        <v>13901</v>
      </c>
      <c r="W30" s="69">
        <f>W21-W23-W25-W27-W28</f>
        <v>19215.150000000001</v>
      </c>
      <c r="X30" s="69">
        <v>22357.51</v>
      </c>
      <c r="Y30" s="69">
        <f>Y21-Y23-Y25-Y27-Y28</f>
        <v>0</v>
      </c>
      <c r="Z30" s="69">
        <f>Z21-Z23-Z25-Z27-Z28</f>
        <v>19215</v>
      </c>
      <c r="AA30" s="71">
        <v>21287.999999999996</v>
      </c>
      <c r="AB30" s="72">
        <f>IF(V30=0,"",(W30-V30)/ABS(V30)+1)</f>
        <v>1.3822854470901376</v>
      </c>
      <c r="AC30" s="69">
        <v>22358.100000000006</v>
      </c>
      <c r="AD30" s="35">
        <f>IF(AC30=0,"",(Z30-AC30)/ABS(AC30))</f>
        <v>-0.14057992405436978</v>
      </c>
      <c r="AF30" s="67"/>
    </row>
    <row r="31" spans="1:35" x14ac:dyDescent="0.2">
      <c r="B31" s="3" t="s">
        <v>54</v>
      </c>
      <c r="C31" s="33">
        <v>0</v>
      </c>
      <c r="D31" s="35" t="e">
        <f>+C31/$C$20</f>
        <v>#DIV/0!</v>
      </c>
      <c r="E31" s="33">
        <v>0</v>
      </c>
      <c r="F31" s="35">
        <f>+E31/$E$20</f>
        <v>0</v>
      </c>
      <c r="G31" s="35" t="str">
        <f>IF(C31=0,"",(E31-C31)/ABS(C31)+1)</f>
        <v/>
      </c>
      <c r="H31" s="33">
        <v>0</v>
      </c>
      <c r="I31" s="35">
        <f>+H31/$H$20</f>
        <v>0</v>
      </c>
      <c r="J31" s="35" t="str">
        <f>IF(H31=0,"",(E31-H31)/ABS(H31))</f>
        <v/>
      </c>
      <c r="K31" s="33">
        <v>0</v>
      </c>
      <c r="L31" s="35" t="e">
        <f>+K31/$K$20</f>
        <v>#DIV/0!</v>
      </c>
      <c r="M31" s="33">
        <v>0</v>
      </c>
      <c r="N31" s="35">
        <f>+M31/$M$20</f>
        <v>0</v>
      </c>
      <c r="O31" s="35" t="str">
        <f>IF(K31=0,"",(M31-K31)/ABS(K31)+1)</f>
        <v/>
      </c>
      <c r="P31" s="33">
        <v>0</v>
      </c>
      <c r="Q31" s="35">
        <f>+P31/$P$20</f>
        <v>0</v>
      </c>
      <c r="R31" s="35" t="str">
        <f>IF(P31=0,"",(M31-P31)/ABS(P31))</f>
        <v/>
      </c>
      <c r="S31" s="35"/>
      <c r="T31" s="63"/>
      <c r="U31" s="55"/>
      <c r="V31" s="61"/>
      <c r="W31" s="63"/>
      <c r="X31" s="61"/>
      <c r="Y31" s="33"/>
      <c r="Z31" s="33"/>
      <c r="AA31" s="95"/>
      <c r="AB31" s="61"/>
      <c r="AC31" s="33"/>
      <c r="AD31" s="61"/>
      <c r="AE31" s="61"/>
      <c r="AF31" s="61"/>
      <c r="AG31" s="61"/>
    </row>
    <row r="32" spans="1:35" x14ac:dyDescent="0.2">
      <c r="B32" s="3" t="s">
        <v>55</v>
      </c>
      <c r="C32" s="33">
        <f>SUM(C30:C31)</f>
        <v>0</v>
      </c>
      <c r="D32" s="35" t="e">
        <f>+C32/$C$20</f>
        <v>#DIV/0!</v>
      </c>
      <c r="E32" s="33">
        <f>SUM(E30:E31)</f>
        <v>4758.04</v>
      </c>
      <c r="F32" s="35">
        <f>+E32/$E$20</f>
        <v>0.55280151130340627</v>
      </c>
      <c r="G32" s="35" t="str">
        <f>IF(C32=0,"",(E32-C32)/ABS(C32)+1)</f>
        <v/>
      </c>
      <c r="H32" s="33">
        <f>SUM(H30:H31)</f>
        <v>4867.76</v>
      </c>
      <c r="I32" s="35">
        <f>+H32/$H$20</f>
        <v>0.54440143644962979</v>
      </c>
      <c r="J32" s="35">
        <f>IF(H32=0,"",(E32-H32)/ABS(H32))</f>
        <v>-2.2540141666803674E-2</v>
      </c>
      <c r="K32" s="33">
        <f>SUM(K30:K31)</f>
        <v>0</v>
      </c>
      <c r="L32" s="35" t="e">
        <f>+K32/$K$20</f>
        <v>#DIV/0!</v>
      </c>
      <c r="M32" s="33">
        <f>SUM(M30:M31)</f>
        <v>4758.04</v>
      </c>
      <c r="N32" s="35">
        <f>+M32/$M$20</f>
        <v>0.55280151130340627</v>
      </c>
      <c r="O32" s="35" t="str">
        <f>IF(K32=0,"",(M32-K32)/ABS(K32)+1)</f>
        <v/>
      </c>
      <c r="P32" s="33">
        <f>SUM(P30:P31)</f>
        <v>4867.76</v>
      </c>
      <c r="Q32" s="35">
        <f>+P32/$P$20</f>
        <v>0.54440143644962979</v>
      </c>
      <c r="R32" s="35">
        <f>IF(P32=0,"",(M32-P32)/ABS(P32))</f>
        <v>-2.2540141666803674E-2</v>
      </c>
      <c r="S32" s="35"/>
      <c r="T32" s="63"/>
      <c r="U32" s="54"/>
      <c r="V32" s="54"/>
      <c r="W32" s="54" t="s">
        <v>63</v>
      </c>
      <c r="X32" s="54" t="s">
        <v>63</v>
      </c>
      <c r="Y32" s="73"/>
      <c r="Z32" s="73" t="s">
        <v>63</v>
      </c>
      <c r="AA32" s="73"/>
      <c r="AB32" s="54"/>
      <c r="AC32" s="54" t="s">
        <v>63</v>
      </c>
      <c r="AD32" s="54"/>
      <c r="AE32" s="54"/>
      <c r="AF32" s="54"/>
      <c r="AG32" s="54"/>
      <c r="AH32" s="54"/>
    </row>
    <row r="33" spans="1:34" x14ac:dyDescent="0.2">
      <c r="J33" s="35"/>
      <c r="R33" s="35"/>
      <c r="S33" s="35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56</v>
      </c>
      <c r="C34" s="33">
        <f>C28+C32</f>
        <v>0</v>
      </c>
      <c r="D34" s="35" t="e">
        <f>+C34/$C$20</f>
        <v>#DIV/0!</v>
      </c>
      <c r="E34" s="33">
        <f>E28+E32</f>
        <v>6732.7800000000007</v>
      </c>
      <c r="F34" s="35">
        <f>+E34/$E$20</f>
        <v>0.78223196090687508</v>
      </c>
      <c r="G34" s="35" t="str">
        <f>IF(C34=0,"",(E34-C34)/ABS(C34)+1)</f>
        <v/>
      </c>
      <c r="H34" s="33">
        <f>H28+H32</f>
        <v>6790.25</v>
      </c>
      <c r="I34" s="35">
        <f>+H34/$H$20</f>
        <v>0.75940922597911531</v>
      </c>
      <c r="J34" s="35">
        <f>IF(H34=0,"",(E34-H34)/ABS(H34))</f>
        <v>-8.4636059055262104E-3</v>
      </c>
      <c r="K34" s="33">
        <f>K28+K32</f>
        <v>0</v>
      </c>
      <c r="L34" s="35" t="e">
        <f>+K34/$K$20</f>
        <v>#DIV/0!</v>
      </c>
      <c r="M34" s="33">
        <f>M28+M32</f>
        <v>6732.7800000000007</v>
      </c>
      <c r="N34" s="35">
        <f>+M34/$M$20</f>
        <v>0.78223196090687508</v>
      </c>
      <c r="O34" s="35" t="str">
        <f>IF(K34=0,"",(M34-K34)/ABS(K34)+1)</f>
        <v/>
      </c>
      <c r="P34" s="33">
        <f>P28+P32</f>
        <v>6790.25</v>
      </c>
      <c r="Q34" s="35">
        <f>+P34/$P$20</f>
        <v>0.75940922597911531</v>
      </c>
      <c r="R34" s="35">
        <f>IF(P34=0,"",(M34-P34)/ABS(P34))</f>
        <v>-8.4636059055262104E-3</v>
      </c>
      <c r="S34" s="35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5"/>
      <c r="R35" s="35"/>
      <c r="S35" s="35"/>
      <c r="T35" s="63"/>
    </row>
    <row r="36" spans="1:34" x14ac:dyDescent="0.2">
      <c r="B36" s="21" t="s">
        <v>57</v>
      </c>
      <c r="C36" s="69">
        <f>C24-C34</f>
        <v>0</v>
      </c>
      <c r="D36" s="45" t="e">
        <f>+C36/$C$20</f>
        <v>#DIV/0!</v>
      </c>
      <c r="E36" s="69">
        <f>E24-E34</f>
        <v>1874.3599999999988</v>
      </c>
      <c r="F36" s="45">
        <f>+E36/$E$20</f>
        <v>0.21776803909312489</v>
      </c>
      <c r="G36" s="45" t="str">
        <f>IF(C36=0,"",(E36-C36)/ABS(C36)+1)</f>
        <v/>
      </c>
      <c r="H36" s="69">
        <f>H24-H34</f>
        <v>2151.2399999999998</v>
      </c>
      <c r="I36" s="45">
        <f>+H36/$H$20</f>
        <v>0.24059077402088463</v>
      </c>
      <c r="J36" s="45">
        <f>IF(H36=0,"",(E36-H36)/ABS(H36))</f>
        <v>-0.12870716424015965</v>
      </c>
      <c r="K36" s="69">
        <f>K24-K34</f>
        <v>0</v>
      </c>
      <c r="L36" s="45" t="e">
        <f>+K36/$K$20</f>
        <v>#DIV/0!</v>
      </c>
      <c r="M36" s="69">
        <f>M24-M34</f>
        <v>1874.3599999999988</v>
      </c>
      <c r="N36" s="45">
        <f>+M36/$M$20</f>
        <v>0.21776803909312489</v>
      </c>
      <c r="O36" s="45" t="str">
        <f>IF(K36=0,"",(M36-K36)/ABS(K36)+1)</f>
        <v/>
      </c>
      <c r="P36" s="69">
        <f>P24-P34</f>
        <v>2151.2399999999998</v>
      </c>
      <c r="Q36" s="45">
        <f>+P36/$P$20</f>
        <v>0.24059077402088463</v>
      </c>
      <c r="R36" s="45">
        <f>IF(P36=0,"",(M36-P36)/ABS(P36))</f>
        <v>-0.12870716424015965</v>
      </c>
      <c r="S36" s="45"/>
      <c r="T36" s="63"/>
      <c r="V36" s="55"/>
      <c r="W36" s="55"/>
      <c r="Y36" s="55"/>
    </row>
    <row r="37" spans="1:34" x14ac:dyDescent="0.2">
      <c r="J37" s="35"/>
      <c r="R37" s="35"/>
      <c r="S37" s="35"/>
      <c r="U37" s="96" t="s">
        <v>111</v>
      </c>
      <c r="V37" s="97" t="s">
        <v>7</v>
      </c>
      <c r="W37" s="97" t="s">
        <v>112</v>
      </c>
      <c r="X37" s="97"/>
      <c r="Y37" s="96"/>
      <c r="Z37" s="96"/>
      <c r="AA37" s="96"/>
      <c r="AB37" s="96"/>
      <c r="AC37" s="96"/>
    </row>
    <row r="38" spans="1:34" x14ac:dyDescent="0.2">
      <c r="B38" s="3" t="s">
        <v>58</v>
      </c>
      <c r="C38" s="33">
        <v>0</v>
      </c>
      <c r="D38" s="35" t="e">
        <f>+C38/$C$20</f>
        <v>#DIV/0!</v>
      </c>
      <c r="E38" s="33">
        <v>0</v>
      </c>
      <c r="F38" s="35">
        <f>+E38/$E$20</f>
        <v>0</v>
      </c>
      <c r="G38" s="35" t="str">
        <f>IF(C38=0,"",(E38-C38)/ABS(C38)+1)</f>
        <v/>
      </c>
      <c r="H38" s="33">
        <v>0</v>
      </c>
      <c r="I38" s="35">
        <f>+H38/$H$20</f>
        <v>0</v>
      </c>
      <c r="J38" s="35" t="str">
        <f>IF(H38=0,"",(E38-H38)/ABS(H38))</f>
        <v/>
      </c>
      <c r="K38" s="33">
        <v>0</v>
      </c>
      <c r="L38" s="35" t="e">
        <f>+K38/$K$20</f>
        <v>#DIV/0!</v>
      </c>
      <c r="M38" s="33">
        <v>0</v>
      </c>
      <c r="N38" s="35">
        <f>+M38/$M$20</f>
        <v>0</v>
      </c>
      <c r="O38" s="35" t="str">
        <f>IF(K38=0,"",(M38-K38)/ABS(K38)+1)</f>
        <v/>
      </c>
      <c r="P38" s="33">
        <v>0</v>
      </c>
      <c r="Q38" s="35">
        <f>+P38/$P$20</f>
        <v>0</v>
      </c>
      <c r="R38" s="35" t="str">
        <f>IF(P38=0,"",(M38-P38)/ABS(P38))</f>
        <v/>
      </c>
      <c r="S38" s="35"/>
      <c r="T38" s="63"/>
      <c r="U38" s="96" t="s">
        <v>113</v>
      </c>
      <c r="V38" s="98">
        <f>+V30</f>
        <v>13901</v>
      </c>
      <c r="W38" s="98">
        <f>+W30</f>
        <v>19215.150000000001</v>
      </c>
      <c r="X38" s="99">
        <f>+W38/V38</f>
        <v>1.3822854470901376</v>
      </c>
      <c r="Y38" s="96"/>
      <c r="Z38" s="96"/>
      <c r="AA38" s="96"/>
      <c r="AB38" s="96"/>
      <c r="AC38" s="96"/>
    </row>
    <row r="39" spans="1:34" x14ac:dyDescent="0.2">
      <c r="B39" s="3" t="s">
        <v>59</v>
      </c>
      <c r="C39" s="33">
        <v>0</v>
      </c>
      <c r="D39" s="35" t="e">
        <f>+C39/$C$20</f>
        <v>#DIV/0!</v>
      </c>
      <c r="E39" s="33">
        <v>97.81</v>
      </c>
      <c r="F39" s="35">
        <f>+E39/$E$20</f>
        <v>1.1363821199608697E-2</v>
      </c>
      <c r="G39" s="35" t="str">
        <f>IF(C39=0,"",(E39-C39)/ABS(C39)+1)</f>
        <v/>
      </c>
      <c r="H39" s="33">
        <v>18.920000000000002</v>
      </c>
      <c r="I39" s="35">
        <f>+H39/$H$20</f>
        <v>2.1159784331246808E-3</v>
      </c>
      <c r="J39" s="35">
        <f>IF(H39=0,"",(E39-H39)/ABS(H39))</f>
        <v>4.1696617336152215</v>
      </c>
      <c r="K39" s="33">
        <v>0</v>
      </c>
      <c r="L39" s="35" t="e">
        <f>+K39/$K$20</f>
        <v>#DIV/0!</v>
      </c>
      <c r="M39" s="33">
        <v>97.81</v>
      </c>
      <c r="N39" s="35">
        <f>+M39/$M$20</f>
        <v>1.1363821199608697E-2</v>
      </c>
      <c r="O39" s="35" t="str">
        <f>IF(K39=0,"",(M39-K39)/ABS(K39)+1)</f>
        <v/>
      </c>
      <c r="P39" s="33">
        <v>18.920000000000002</v>
      </c>
      <c r="Q39" s="35">
        <f>+P39/$P$20</f>
        <v>2.1159784331246808E-3</v>
      </c>
      <c r="R39" s="35">
        <f>IF(P39=0,"",(M39-P39)/ABS(P39))</f>
        <v>4.1696617336152215</v>
      </c>
      <c r="S39" s="35"/>
      <c r="T39" s="63"/>
      <c r="U39" s="96" t="s">
        <v>114</v>
      </c>
      <c r="V39" s="98">
        <f>+'VENEZUELA USD'!W24</f>
        <v>0</v>
      </c>
      <c r="W39" s="98">
        <f>+'VENEZUELA USD'!Y24</f>
        <v>0</v>
      </c>
      <c r="X39" s="96"/>
      <c r="Y39" s="96"/>
      <c r="Z39" s="96"/>
      <c r="AA39" s="96"/>
      <c r="AB39" s="96"/>
      <c r="AC39" s="96"/>
    </row>
    <row r="40" spans="1:34" x14ac:dyDescent="0.2">
      <c r="J40" s="35"/>
      <c r="R40" s="35"/>
      <c r="S40" s="35"/>
      <c r="U40" s="96" t="s">
        <v>115</v>
      </c>
      <c r="V40" s="98">
        <f>+'PANAMA USD'!U30</f>
        <v>7873.1</v>
      </c>
      <c r="W40" s="98">
        <f>+'PANAMA USD'!V30</f>
        <v>7873.1</v>
      </c>
      <c r="X40" s="96"/>
      <c r="Y40" s="96"/>
      <c r="Z40" s="96"/>
      <c r="AA40" s="96"/>
      <c r="AB40" s="96"/>
      <c r="AC40" s="96"/>
      <c r="AG40" s="55"/>
    </row>
    <row r="41" spans="1:34" x14ac:dyDescent="0.2">
      <c r="B41" s="3" t="s">
        <v>60</v>
      </c>
      <c r="C41" s="33">
        <f>C36+C38-C39</f>
        <v>0</v>
      </c>
      <c r="D41" s="35" t="e">
        <f>+C41/$C$20</f>
        <v>#DIV/0!</v>
      </c>
      <c r="E41" s="33">
        <f>E36+E38-E39</f>
        <v>1776.5499999999988</v>
      </c>
      <c r="F41" s="35">
        <f>+E41/$E$20</f>
        <v>0.20640421789351618</v>
      </c>
      <c r="G41" s="35" t="str">
        <f>IF(C41=0,"",(E41-C41)/ABS(C41)+1)</f>
        <v/>
      </c>
      <c r="H41" s="33">
        <f>H36+H38-H39</f>
        <v>2132.3199999999997</v>
      </c>
      <c r="I41" s="35">
        <f>+H41/$H$20</f>
        <v>0.23847479558775994</v>
      </c>
      <c r="J41" s="35">
        <f>IF(H41=0,"",(E41-H41)/ABS(H41))</f>
        <v>-0.16684643955879086</v>
      </c>
      <c r="K41" s="33">
        <f>K36+K38-K39</f>
        <v>0</v>
      </c>
      <c r="L41" s="35" t="e">
        <f>+K41/$K$20</f>
        <v>#DIV/0!</v>
      </c>
      <c r="M41" s="33">
        <f>M36+M38-M39</f>
        <v>1776.5499999999988</v>
      </c>
      <c r="N41" s="35">
        <f>+M41/$M$20</f>
        <v>0.20640421789351618</v>
      </c>
      <c r="O41" s="35" t="str">
        <f>IF(K41=0,"",(M41-K41)/ABS(K41)+1)</f>
        <v/>
      </c>
      <c r="P41" s="33">
        <f>P36+P38-P39</f>
        <v>2132.3199999999997</v>
      </c>
      <c r="Q41" s="35">
        <f>+P41/$P$20</f>
        <v>0.23847479558775994</v>
      </c>
      <c r="R41" s="35">
        <f>IF(P41=0,"",(M41-P41)/ABS(P41))</f>
        <v>-0.16684643955879086</v>
      </c>
      <c r="S41" s="35"/>
      <c r="T41" s="63"/>
      <c r="U41" s="96" t="s">
        <v>116</v>
      </c>
      <c r="V41" s="98">
        <f>SUM(V38:V40)</f>
        <v>21774.1</v>
      </c>
      <c r="W41" s="98">
        <f>SUM(W38:W40)</f>
        <v>27088.25</v>
      </c>
      <c r="X41" s="96" t="s">
        <v>117</v>
      </c>
      <c r="Y41" s="96"/>
      <c r="Z41" s="96"/>
      <c r="AA41" s="96"/>
      <c r="AB41" s="96"/>
      <c r="AC41" s="96"/>
    </row>
    <row r="42" spans="1:34" x14ac:dyDescent="0.2">
      <c r="A42" s="94"/>
      <c r="B42" s="3" t="s">
        <v>46</v>
      </c>
      <c r="C42" s="33">
        <v>0</v>
      </c>
      <c r="D42" s="35" t="e">
        <f>+C42/$C$20</f>
        <v>#DIV/0!</v>
      </c>
      <c r="E42" s="33">
        <v>468.59</v>
      </c>
      <c r="F42" s="35">
        <f>+E42/$E$20</f>
        <v>5.4442009773281251E-2</v>
      </c>
      <c r="G42" s="35" t="str">
        <f>IF(C42=0,"",(E42-C42)/ABS(C42)+1)</f>
        <v/>
      </c>
      <c r="H42" s="33">
        <v>533.08000000000004</v>
      </c>
      <c r="I42" s="35">
        <f>+H42/$H$20</f>
        <v>5.9618698896939999E-2</v>
      </c>
      <c r="J42" s="35">
        <f>IF(H42=0,"",(E42-H42)/ABS(H42))</f>
        <v>-0.12097621370150834</v>
      </c>
      <c r="K42" s="33">
        <v>0</v>
      </c>
      <c r="L42" s="35" t="e">
        <f>+K42/$K$20</f>
        <v>#DIV/0!</v>
      </c>
      <c r="M42" s="33">
        <v>468.59</v>
      </c>
      <c r="N42" s="35">
        <f>+M42/$M$20</f>
        <v>5.4442009773281251E-2</v>
      </c>
      <c r="O42" s="35" t="str">
        <f>IF(K42=0,"",(M42-K42)/ABS(K42)+1)</f>
        <v/>
      </c>
      <c r="P42" s="33">
        <v>533.08000000000004</v>
      </c>
      <c r="Q42" s="35">
        <f>+P42/$P$20</f>
        <v>5.9618698896939999E-2</v>
      </c>
      <c r="R42" s="35">
        <f>IF(P42=0,"",(M42-P42)/ABS(P42))</f>
        <v>-0.12097621370150834</v>
      </c>
      <c r="S42" s="35"/>
      <c r="T42" s="63"/>
      <c r="U42" s="96" t="s">
        <v>118</v>
      </c>
      <c r="V42" s="98">
        <f>+V41-V39</f>
        <v>21774.1</v>
      </c>
      <c r="W42" s="98">
        <f>+W41-W39</f>
        <v>27088.25</v>
      </c>
      <c r="X42" s="100">
        <f>+W42/V42</f>
        <v>1.2440583078060632</v>
      </c>
      <c r="Y42" s="96"/>
      <c r="Z42" s="96"/>
      <c r="AA42" s="96"/>
      <c r="AB42" s="96"/>
      <c r="AC42" s="96"/>
    </row>
    <row r="43" spans="1:34" x14ac:dyDescent="0.2">
      <c r="B43" s="21" t="s">
        <v>61</v>
      </c>
      <c r="C43" s="69">
        <f>C41-C42</f>
        <v>0</v>
      </c>
      <c r="D43" s="45" t="e">
        <f>+C43/$C$20</f>
        <v>#DIV/0!</v>
      </c>
      <c r="E43" s="69">
        <f>E41-E42</f>
        <v>1307.9599999999989</v>
      </c>
      <c r="F43" s="45">
        <f>+E43/$E$20</f>
        <v>0.15196220812023495</v>
      </c>
      <c r="G43" s="45" t="str">
        <f>IF(C43=0,"",(E43-C43)/ABS(C43)+1)</f>
        <v/>
      </c>
      <c r="H43" s="69">
        <f>H41-H42</f>
        <v>1599.2399999999998</v>
      </c>
      <c r="I43" s="45">
        <f>+H43/$H$20</f>
        <v>0.17885609669081998</v>
      </c>
      <c r="J43" s="45">
        <f>IF(H43=0,"",(E43-H43)/ABS(H43))</f>
        <v>-0.18213651484455173</v>
      </c>
      <c r="K43" s="69">
        <f>K41-K42</f>
        <v>0</v>
      </c>
      <c r="L43" s="45" t="e">
        <f>+K43/$K$20</f>
        <v>#DIV/0!</v>
      </c>
      <c r="M43" s="69">
        <f>M41-M42</f>
        <v>1307.9599999999989</v>
      </c>
      <c r="N43" s="45">
        <f>+M43/$M$20</f>
        <v>0.15196220812023495</v>
      </c>
      <c r="O43" s="45" t="str">
        <f>IF(K43=0,"",(M43-K43)/ABS(K43)+1)</f>
        <v/>
      </c>
      <c r="P43" s="69">
        <f>P41-P42</f>
        <v>1599.2399999999998</v>
      </c>
      <c r="Q43" s="45">
        <f>+P43/$P$20</f>
        <v>0.17885609669081998</v>
      </c>
      <c r="R43" s="45">
        <f>IF(P43=0,"",(M43-P43)/ABS(P43))</f>
        <v>-0.18213651484455173</v>
      </c>
      <c r="S43" s="45"/>
      <c r="T43" s="63"/>
    </row>
    <row r="44" spans="1:34" x14ac:dyDescent="0.2">
      <c r="J44" s="35"/>
      <c r="R44" s="35"/>
      <c r="S44" s="35"/>
    </row>
    <row r="45" spans="1:34" x14ac:dyDescent="0.2">
      <c r="A45" s="94"/>
      <c r="B45" s="3" t="s">
        <v>62</v>
      </c>
      <c r="C45" s="33">
        <v>0</v>
      </c>
      <c r="D45" s="35" t="e">
        <f>+C45/$C$20</f>
        <v>#DIV/0!</v>
      </c>
      <c r="E45" s="33">
        <v>2191.829999999999</v>
      </c>
      <c r="F45" s="35">
        <f>+E45/$E$20</f>
        <v>0.25465253266474103</v>
      </c>
      <c r="G45" s="35" t="str">
        <f>IF(C45=0,"",(E45-C45)/ABS(C45)+1)</f>
        <v/>
      </c>
      <c r="H45" s="33">
        <v>2481.2799999999997</v>
      </c>
      <c r="I45" s="35">
        <f>+H45/$H$20</f>
        <v>0.27750184812598344</v>
      </c>
      <c r="J45" s="35">
        <f>IF(H45=0,"",(E45-H45)/ABS(H45))</f>
        <v>-0.11665350141862295</v>
      </c>
      <c r="K45" s="33">
        <v>0</v>
      </c>
      <c r="L45" s="35" t="e">
        <f>+K45/$K$20</f>
        <v>#DIV/0!</v>
      </c>
      <c r="M45" s="33">
        <v>2191.829999999999</v>
      </c>
      <c r="N45" s="35">
        <f>+M45/$M$20</f>
        <v>0.25465253266474103</v>
      </c>
      <c r="O45" s="35" t="str">
        <f>IF(K45=0,"",(M45-K45)/ABS(K45)+1)</f>
        <v/>
      </c>
      <c r="P45" s="33">
        <v>2481.2799999999997</v>
      </c>
      <c r="Q45" s="35">
        <f>+P45/$P$20</f>
        <v>0.27750184812598344</v>
      </c>
      <c r="R45" s="35">
        <f>IF(P45=0,"",(M45-P45)/ABS(P45))</f>
        <v>-0.11665350141862295</v>
      </c>
      <c r="S45" s="35"/>
      <c r="T45" s="63"/>
    </row>
    <row r="46" spans="1:34" x14ac:dyDescent="0.2">
      <c r="B46" s="3" t="s">
        <v>37</v>
      </c>
      <c r="C46" s="33">
        <v>0</v>
      </c>
      <c r="D46" s="35" t="e">
        <f>+C46/$C$20</f>
        <v>#DIV/0!</v>
      </c>
      <c r="E46" s="33">
        <v>4643.8</v>
      </c>
      <c r="F46" s="35">
        <f>+E46/$E$20</f>
        <v>0.53952880980209461</v>
      </c>
      <c r="G46" s="35" t="str">
        <f>IF(C46=0,"",(E46-C46)/ABS(C46)+1)</f>
        <v/>
      </c>
      <c r="H46" s="33">
        <v>4759.7299999999996</v>
      </c>
      <c r="I46" s="35">
        <f>+H46/$H$20</f>
        <v>0.53231955747867521</v>
      </c>
      <c r="J46" s="35">
        <f>IF(H46=0,"",(E46-H46)/ABS(H46))</f>
        <v>-2.4356423578648242E-2</v>
      </c>
      <c r="K46" s="33">
        <v>0</v>
      </c>
      <c r="L46" s="35" t="e">
        <f>+K46/$K$20</f>
        <v>#DIV/0!</v>
      </c>
      <c r="M46" s="33">
        <v>4643.8</v>
      </c>
      <c r="N46" s="35">
        <f>+M46/$M$20</f>
        <v>0.53952880980209461</v>
      </c>
      <c r="O46" s="35" t="str">
        <f>IF(K46=0,"",(M46-K46)/ABS(K46)+1)</f>
        <v/>
      </c>
      <c r="P46" s="33">
        <v>4759.7299999999996</v>
      </c>
      <c r="Q46" s="35">
        <f>+P46/$P$20</f>
        <v>0.53231955747867521</v>
      </c>
      <c r="R46" s="35">
        <f>IF(P46=0,"",(M46-P46)/ABS(P46))</f>
        <v>-2.4356423578648242E-2</v>
      </c>
      <c r="S46" s="35"/>
    </row>
    <row r="47" spans="1:34" x14ac:dyDescent="0.2">
      <c r="B47" s="3"/>
      <c r="H47" s="2" t="s">
        <v>63</v>
      </c>
      <c r="K47" s="2" t="s">
        <v>63</v>
      </c>
      <c r="M47" s="2" t="s">
        <v>63</v>
      </c>
      <c r="P47" s="2" t="s">
        <v>63</v>
      </c>
    </row>
    <row r="48" spans="1:34" x14ac:dyDescent="0.2">
      <c r="C48" s="2" t="s">
        <v>63</v>
      </c>
      <c r="E48" s="2" t="s">
        <v>63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119</v>
      </c>
      <c r="C56" s="55" t="s">
        <v>120</v>
      </c>
      <c r="E56" s="55" t="s">
        <v>121</v>
      </c>
      <c r="N56" s="55" t="s">
        <v>122</v>
      </c>
      <c r="R56" s="55" t="s">
        <v>123</v>
      </c>
      <c r="S56" s="55"/>
    </row>
    <row r="57" spans="2:19" x14ac:dyDescent="0.2">
      <c r="B57" s="2" t="s">
        <v>113</v>
      </c>
      <c r="C57" s="55">
        <f>+C36</f>
        <v>0</v>
      </c>
      <c r="E57" s="55">
        <f>+E36</f>
        <v>1874.3599999999988</v>
      </c>
      <c r="N57" s="55">
        <f>+K36</f>
        <v>0</v>
      </c>
      <c r="R57" s="55">
        <f>+M36</f>
        <v>1874.3599999999988</v>
      </c>
      <c r="S57" s="55"/>
    </row>
    <row r="58" spans="2:19" x14ac:dyDescent="0.2">
      <c r="B58" s="2" t="s">
        <v>124</v>
      </c>
      <c r="C58" s="55">
        <f>+'VENEZUELA USD'!C36</f>
        <v>0</v>
      </c>
      <c r="E58" s="55">
        <f>+'VENEZUELA USD'!E36</f>
        <v>350.83682560633508</v>
      </c>
      <c r="N58" s="55">
        <f>+'VENEZUELA USD'!K36</f>
        <v>0</v>
      </c>
      <c r="R58" s="55" t="str">
        <f>+'VENEZUELA USD'!O36</f>
        <v/>
      </c>
      <c r="S58" s="55"/>
    </row>
    <row r="59" spans="2:19" x14ac:dyDescent="0.2">
      <c r="B59" s="2" t="s">
        <v>125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0</v>
      </c>
      <c r="S59" s="55"/>
    </row>
    <row r="60" spans="2:19" x14ac:dyDescent="0.2">
      <c r="B60" s="2" t="s">
        <v>126</v>
      </c>
      <c r="C60" s="55">
        <f>SUM(C57:C59)</f>
        <v>0</v>
      </c>
      <c r="E60" s="55">
        <f>SUM(E57:E59)</f>
        <v>2225.1968256063337</v>
      </c>
      <c r="N60" s="55">
        <f>SUM(N57:N59)</f>
        <v>0</v>
      </c>
      <c r="R60" s="55">
        <f>SUM(R57:R59)</f>
        <v>1874.3599999999988</v>
      </c>
      <c r="S60" s="55"/>
    </row>
    <row r="61" spans="2:19" x14ac:dyDescent="0.2">
      <c r="B61" s="2" t="s">
        <v>127</v>
      </c>
      <c r="C61" s="55">
        <f>+C60-C58</f>
        <v>0</v>
      </c>
      <c r="E61" s="55">
        <f>+E60-E58</f>
        <v>1874.3599999999988</v>
      </c>
    </row>
    <row r="62" spans="2:19" x14ac:dyDescent="0.2">
      <c r="B62" s="79" t="s">
        <v>128</v>
      </c>
    </row>
    <row r="63" spans="2:19" x14ac:dyDescent="0.2">
      <c r="B63" s="2" t="s">
        <v>113</v>
      </c>
      <c r="C63" s="55">
        <f>+C43</f>
        <v>0</v>
      </c>
      <c r="E63" s="55">
        <f>+E43</f>
        <v>1307.9599999999989</v>
      </c>
      <c r="K63" s="2" t="e">
        <f>+E63/C63</f>
        <v>#DIV/0!</v>
      </c>
    </row>
    <row r="64" spans="2:19" x14ac:dyDescent="0.2">
      <c r="B64" s="2" t="s">
        <v>129</v>
      </c>
      <c r="C64" s="55">
        <f>+'VENEZUELA USD'!C43</f>
        <v>0</v>
      </c>
      <c r="E64" s="55">
        <f>+'VENEZUELA USD'!E43</f>
        <v>5156.9452510586798</v>
      </c>
    </row>
    <row r="65" spans="2:6" x14ac:dyDescent="0.2">
      <c r="B65" s="2" t="s">
        <v>125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130</v>
      </c>
      <c r="C66" s="55">
        <f>SUM(C63:C65)</f>
        <v>0</v>
      </c>
      <c r="E66" s="55">
        <f>SUM(E63:E65)</f>
        <v>6464.9052510586789</v>
      </c>
    </row>
    <row r="68" spans="2:6" x14ac:dyDescent="0.2">
      <c r="B68" s="79" t="s">
        <v>131</v>
      </c>
      <c r="C68" s="101">
        <f>+C63+C65</f>
        <v>0</v>
      </c>
      <c r="D68" s="79"/>
      <c r="E68" s="101">
        <f>+E63+E65</f>
        <v>1307.9599999999989</v>
      </c>
      <c r="F68" s="102" t="e">
        <f>+E68/C68</f>
        <v>#DIV/0!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936A8-15D4-46E6-B07B-D6D5CB9DFBC8}">
  <sheetPr>
    <tabColor theme="0" tint="-0.14999847407452621"/>
  </sheetPr>
  <dimension ref="A1:AH49"/>
  <sheetViews>
    <sheetView showGridLines="0" topLeftCell="U1" zoomScale="98" zoomScaleNormal="98" workbookViewId="0">
      <selection activeCell="AH1" sqref="AH1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5" width="11.28515625" style="2" customWidth="1"/>
    <col min="6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13.7109375" style="2" customWidth="1"/>
    <col min="12" max="12" width="11.8554687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132</v>
      </c>
      <c r="T3" s="18" t="s">
        <v>132</v>
      </c>
    </row>
    <row r="4" spans="1:34" x14ac:dyDescent="0.2">
      <c r="B4" s="3" t="s">
        <v>106</v>
      </c>
      <c r="C4" s="91"/>
      <c r="S4" s="103"/>
      <c r="T4" s="3" t="s">
        <v>23</v>
      </c>
    </row>
    <row r="5" spans="1:34" ht="15.75" customHeight="1" thickBot="1" x14ac:dyDescent="0.25">
      <c r="B5" s="3" t="s">
        <v>133</v>
      </c>
      <c r="E5" s="104"/>
      <c r="T5" s="3" t="s">
        <v>133</v>
      </c>
      <c r="X5" s="22" t="s">
        <v>25</v>
      </c>
      <c r="Y5" s="22"/>
      <c r="Z5" s="22"/>
      <c r="AA5" s="22"/>
      <c r="AB5" s="22"/>
      <c r="AC5" s="22"/>
    </row>
    <row r="6" spans="1:34" ht="13.5" thickBot="1" x14ac:dyDescent="0.25">
      <c r="B6" s="79" t="str">
        <f>+'COL. CONS.$'!B6</f>
        <v>ENERO de 2026</v>
      </c>
      <c r="K6" s="105" t="s">
        <v>25</v>
      </c>
      <c r="L6" s="105"/>
      <c r="M6" s="105"/>
      <c r="N6" s="105"/>
      <c r="O6" s="105"/>
      <c r="P6" s="105"/>
      <c r="Q6" s="105"/>
      <c r="R6" s="105"/>
      <c r="T6" s="21" t="str">
        <f>+B6</f>
        <v>ENERO de 2026</v>
      </c>
      <c r="Z6" s="2" t="s">
        <v>28</v>
      </c>
      <c r="AA6" s="2" t="s">
        <v>26</v>
      </c>
      <c r="AC6" s="2" t="s">
        <v>27</v>
      </c>
    </row>
    <row r="7" spans="1:34" x14ac:dyDescent="0.2">
      <c r="C7" s="61" t="str">
        <f>+'COL. CONS.$'!C7:C7</f>
        <v>Ppto 2026</v>
      </c>
      <c r="D7" s="61"/>
      <c r="E7" s="61" t="str">
        <f>+'COL. CONS.$'!E7:E7</f>
        <v>Real 2026</v>
      </c>
      <c r="F7" s="61"/>
      <c r="G7" s="61" t="s">
        <v>26</v>
      </c>
      <c r="H7" s="61" t="str">
        <f>+'COL. CONS.$'!H7:H7</f>
        <v>Real 2025</v>
      </c>
      <c r="I7" s="61"/>
      <c r="J7" s="61" t="s">
        <v>27</v>
      </c>
      <c r="K7" s="61" t="str">
        <f>+C7</f>
        <v>Ppto 2026</v>
      </c>
      <c r="L7" s="61"/>
      <c r="M7" s="61" t="str">
        <f>+E7</f>
        <v>Real 2026</v>
      </c>
      <c r="N7" s="61"/>
      <c r="O7" s="61" t="s">
        <v>26</v>
      </c>
      <c r="P7" s="61" t="str">
        <f>+H7</f>
        <v>Real 2025</v>
      </c>
      <c r="Q7" s="61"/>
      <c r="R7" s="61" t="s">
        <v>27</v>
      </c>
      <c r="U7" s="54" t="str">
        <f>+C7</f>
        <v>Ppto 2026</v>
      </c>
      <c r="V7" s="54" t="str">
        <f>+M7</f>
        <v>Real 2026</v>
      </c>
      <c r="W7" s="54" t="str">
        <f>+H7</f>
        <v>Real 2025</v>
      </c>
      <c r="X7" s="54" t="str">
        <f>+U7</f>
        <v>Ppto 2026</v>
      </c>
      <c r="Y7" s="54" t="str">
        <f>+V7</f>
        <v>Real 2026</v>
      </c>
      <c r="Z7" s="54" t="s">
        <v>28</v>
      </c>
      <c r="AA7" s="54" t="s">
        <v>26</v>
      </c>
      <c r="AB7" s="54" t="str">
        <f>+W7</f>
        <v>Real 2025</v>
      </c>
      <c r="AC7" s="54" t="s">
        <v>27</v>
      </c>
      <c r="AD7" s="67"/>
      <c r="AE7" s="67"/>
      <c r="AG7" s="67"/>
    </row>
    <row r="8" spans="1:34" ht="13.5" thickBot="1" x14ac:dyDescent="0.25">
      <c r="B8" s="30"/>
      <c r="C8" s="31" t="s">
        <v>30</v>
      </c>
      <c r="D8" s="31" t="s">
        <v>31</v>
      </c>
      <c r="E8" s="31" t="s">
        <v>30</v>
      </c>
      <c r="F8" s="31" t="s">
        <v>31</v>
      </c>
      <c r="G8" s="31" t="s">
        <v>32</v>
      </c>
      <c r="H8" s="31" t="s">
        <v>30</v>
      </c>
      <c r="I8" s="31" t="s">
        <v>31</v>
      </c>
      <c r="J8" s="31" t="s">
        <v>32</v>
      </c>
      <c r="K8" s="31" t="s">
        <v>30</v>
      </c>
      <c r="L8" s="31" t="s">
        <v>31</v>
      </c>
      <c r="M8" s="31" t="s">
        <v>30</v>
      </c>
      <c r="N8" s="31" t="s">
        <v>31</v>
      </c>
      <c r="O8" s="31" t="s">
        <v>32</v>
      </c>
      <c r="P8" s="31" t="s">
        <v>30</v>
      </c>
      <c r="Q8" s="31" t="s">
        <v>31</v>
      </c>
      <c r="R8" s="31" t="s">
        <v>32</v>
      </c>
      <c r="T8" s="30"/>
      <c r="U8" s="31"/>
      <c r="V8" s="31"/>
      <c r="W8" s="31"/>
      <c r="X8" s="30"/>
      <c r="Y8" s="30"/>
      <c r="Z8" s="31"/>
      <c r="AA8" s="31" t="s">
        <v>32</v>
      </c>
      <c r="AB8" s="30"/>
      <c r="AC8" s="31" t="s">
        <v>32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3"/>
      <c r="D10" s="68" t="str">
        <f t="shared" ref="D10:D20" si="0">IF($C$20=0," ",C10/$C$20)</f>
        <v xml:space="preserve"> </v>
      </c>
      <c r="E10" s="33">
        <v>530645</v>
      </c>
      <c r="F10" s="68">
        <f t="shared" ref="F10:F15" si="1">+E10/$E$20</f>
        <v>0.36817942319378072</v>
      </c>
      <c r="G10" s="68" t="str">
        <f t="shared" ref="G10:G15" si="2">IF(C10=0,"",(E10-C10)/ABS(C10)+1)</f>
        <v/>
      </c>
      <c r="H10" s="33">
        <v>148975</v>
      </c>
      <c r="I10" s="68">
        <f t="shared" ref="I10:I15" si="3">+H10/$H$20</f>
        <v>0.51540619076266869</v>
      </c>
      <c r="J10" s="68">
        <f t="shared" ref="J10:J15" si="4">IF(H10=0,"",(E10-H10)/ABS(H10))</f>
        <v>2.5619734854841418</v>
      </c>
      <c r="K10" s="33"/>
      <c r="L10" s="68" t="str">
        <f t="shared" ref="L10:L20" si="5">IF($K$20=0," ",K10/$K$20)</f>
        <v xml:space="preserve"> </v>
      </c>
      <c r="M10" s="33">
        <v>530645</v>
      </c>
      <c r="N10" s="68">
        <f t="shared" ref="N10:N15" si="6">+M10/$M$20</f>
        <v>0.36817942319378072</v>
      </c>
      <c r="O10" s="68" t="str">
        <f>IF(K10=0,"",(M10-K10)/ABS(K10)+1)</f>
        <v/>
      </c>
      <c r="P10" s="33">
        <v>148975</v>
      </c>
      <c r="Q10" s="68">
        <f t="shared" ref="Q10:Q15" si="7">+P10/$P$20</f>
        <v>0.51540619076266869</v>
      </c>
      <c r="R10" s="68">
        <f t="shared" ref="R10:R15" si="8">IF(P10=0,"",(M10-P10)/ABS(P10))</f>
        <v>2.5619734854841418</v>
      </c>
      <c r="T10" s="3" t="s">
        <v>33</v>
      </c>
      <c r="U10" s="33"/>
      <c r="V10" s="33">
        <v>238865</v>
      </c>
      <c r="W10" s="33">
        <v>184277</v>
      </c>
      <c r="X10" s="33">
        <v>236652</v>
      </c>
      <c r="Y10" s="33">
        <v>238865</v>
      </c>
      <c r="Z10" s="63">
        <f>+Y10-X10</f>
        <v>2213</v>
      </c>
      <c r="AA10" s="68">
        <f>IF(X10=0,"",(Y10-X10)/ABS(X10)+1)</f>
        <v>1.0093512837415277</v>
      </c>
      <c r="AB10" s="33">
        <v>253979</v>
      </c>
      <c r="AC10" s="68">
        <f>IF(W10=0,"",(Y10-AB10)/ABS(AB10))</f>
        <v>-5.9508857031486853E-2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3"/>
      <c r="D11" s="68" t="str">
        <f t="shared" si="0"/>
        <v xml:space="preserve"> </v>
      </c>
      <c r="E11" s="33">
        <v>460395.15</v>
      </c>
      <c r="F11" s="68">
        <f t="shared" si="1"/>
        <v>0.319437704620253</v>
      </c>
      <c r="G11" s="68" t="str">
        <f t="shared" si="2"/>
        <v/>
      </c>
      <c r="H11" s="33">
        <v>39302.69</v>
      </c>
      <c r="I11" s="68">
        <f t="shared" si="3"/>
        <v>0.13597482624350415</v>
      </c>
      <c r="J11" s="68">
        <f t="shared" si="4"/>
        <v>10.714087509022919</v>
      </c>
      <c r="K11" s="33"/>
      <c r="L11" s="68" t="str">
        <f t="shared" si="5"/>
        <v xml:space="preserve"> </v>
      </c>
      <c r="M11" s="33">
        <v>460395.15</v>
      </c>
      <c r="N11" s="68">
        <f t="shared" si="6"/>
        <v>0.319437704620253</v>
      </c>
      <c r="O11" s="68" t="str">
        <f>IF(K11=0,"",(M11-K11)/ABS(K11)+1)</f>
        <v/>
      </c>
      <c r="P11" s="33">
        <v>39302.69</v>
      </c>
      <c r="Q11" s="68">
        <f t="shared" si="7"/>
        <v>0.13597482624350415</v>
      </c>
      <c r="R11" s="68">
        <f t="shared" si="8"/>
        <v>10.714087509022919</v>
      </c>
      <c r="T11" s="3" t="s">
        <v>34</v>
      </c>
      <c r="U11" s="33"/>
      <c r="V11" s="33">
        <v>342913</v>
      </c>
      <c r="W11" s="33">
        <v>207475</v>
      </c>
      <c r="X11" s="33">
        <f>+AD8+U11</f>
        <v>0</v>
      </c>
      <c r="Y11" s="33">
        <v>342913</v>
      </c>
      <c r="Z11" s="63">
        <f>+Y11-X11</f>
        <v>342913</v>
      </c>
      <c r="AA11" s="68" t="str">
        <f>IF(X11=0,"",(Y11-X11)/ABS(X11)+1)</f>
        <v/>
      </c>
      <c r="AB11" s="33">
        <v>2191065</v>
      </c>
      <c r="AC11" s="68">
        <f>IF(AB11=0,"",(Y11-AB11)/ABS(AB11))</f>
        <v>-0.84349483013968096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3"/>
      <c r="D12" s="68" t="str">
        <f t="shared" si="0"/>
        <v xml:space="preserve"> </v>
      </c>
      <c r="E12" s="33">
        <v>178744</v>
      </c>
      <c r="F12" s="68">
        <f t="shared" si="1"/>
        <v>0.12401862416370481</v>
      </c>
      <c r="G12" s="68" t="str">
        <f t="shared" si="2"/>
        <v/>
      </c>
      <c r="H12" s="33">
        <v>38271</v>
      </c>
      <c r="I12" s="68">
        <f t="shared" si="3"/>
        <v>0.13240550647207983</v>
      </c>
      <c r="J12" s="68">
        <f t="shared" si="4"/>
        <v>3.6704815656763605</v>
      </c>
      <c r="K12" s="33"/>
      <c r="L12" s="68" t="str">
        <f t="shared" si="5"/>
        <v xml:space="preserve"> </v>
      </c>
      <c r="M12" s="33">
        <v>178744</v>
      </c>
      <c r="N12" s="68">
        <f t="shared" si="6"/>
        <v>0.12401862416370481</v>
      </c>
      <c r="O12" s="68" t="str">
        <f>IF(K12=0,"",(M12-K12)/ABS(K12)+1)</f>
        <v/>
      </c>
      <c r="P12" s="33">
        <v>38271</v>
      </c>
      <c r="Q12" s="68">
        <f t="shared" si="7"/>
        <v>0.13240550647207983</v>
      </c>
      <c r="R12" s="68">
        <f t="shared" si="8"/>
        <v>3.6704815656763605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3"/>
      <c r="D13" s="68" t="str">
        <f t="shared" si="0"/>
        <v xml:space="preserve"> </v>
      </c>
      <c r="E13" s="33"/>
      <c r="F13" s="68">
        <f t="shared" si="1"/>
        <v>0</v>
      </c>
      <c r="G13" s="68" t="str">
        <f t="shared" si="2"/>
        <v/>
      </c>
      <c r="H13" s="33">
        <v>6327.3</v>
      </c>
      <c r="I13" s="68">
        <f t="shared" si="3"/>
        <v>2.189044867133837E-2</v>
      </c>
      <c r="J13" s="68">
        <f t="shared" si="4"/>
        <v>-1</v>
      </c>
      <c r="K13" s="33"/>
      <c r="L13" s="68" t="str">
        <f t="shared" si="5"/>
        <v xml:space="preserve"> </v>
      </c>
      <c r="M13" s="33"/>
      <c r="N13" s="68">
        <f t="shared" si="6"/>
        <v>0</v>
      </c>
      <c r="O13" s="68" t="str">
        <f>IF(K13=0,"",(M13-K13)/ABS(K13)+1)</f>
        <v/>
      </c>
      <c r="P13" s="33">
        <v>6327.3</v>
      </c>
      <c r="Q13" s="68">
        <f t="shared" si="7"/>
        <v>2.189044867133837E-2</v>
      </c>
      <c r="R13" s="68">
        <f t="shared" si="8"/>
        <v>-1</v>
      </c>
      <c r="T13" s="3" t="s">
        <v>35</v>
      </c>
      <c r="U13" s="33"/>
      <c r="V13" s="33"/>
      <c r="W13" s="33"/>
      <c r="X13" s="33">
        <f>+AD9+U13</f>
        <v>0</v>
      </c>
      <c r="Y13" s="33"/>
      <c r="Z13" s="63">
        <f>+X13-Y13</f>
        <v>0</v>
      </c>
      <c r="AA13" s="68" t="str">
        <f>IF(X13=0,"",(Y13-X13)/ABS(X13)+1)</f>
        <v/>
      </c>
      <c r="AB13" s="33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3"/>
      <c r="D14" s="68" t="str">
        <f t="shared" si="0"/>
        <v xml:space="preserve"> </v>
      </c>
      <c r="E14" s="33"/>
      <c r="F14" s="68">
        <f t="shared" si="1"/>
        <v>0</v>
      </c>
      <c r="G14" s="68" t="str">
        <f t="shared" si="2"/>
        <v/>
      </c>
      <c r="H14" s="33"/>
      <c r="I14" s="68">
        <f t="shared" si="3"/>
        <v>0</v>
      </c>
      <c r="J14" s="68" t="str">
        <f t="shared" si="4"/>
        <v/>
      </c>
      <c r="K14" s="33"/>
      <c r="L14" s="68" t="str">
        <f t="shared" si="5"/>
        <v xml:space="preserve"> </v>
      </c>
      <c r="M14" s="33"/>
      <c r="N14" s="68">
        <f t="shared" si="6"/>
        <v>0</v>
      </c>
      <c r="O14" s="68" t="str">
        <f>IF(K14=0,"",(M14-K14)/ABS(K14)+1)</f>
        <v/>
      </c>
      <c r="P14" s="33"/>
      <c r="Q14" s="68">
        <f t="shared" si="7"/>
        <v>0</v>
      </c>
      <c r="R14" s="68" t="str">
        <f t="shared" si="8"/>
        <v/>
      </c>
      <c r="T14" s="3" t="s">
        <v>36</v>
      </c>
      <c r="U14" s="33"/>
      <c r="V14" s="33"/>
      <c r="W14" s="33"/>
      <c r="X14" s="33">
        <f>+AD10+U14</f>
        <v>0</v>
      </c>
      <c r="Y14" s="33"/>
      <c r="Z14" s="63">
        <f>+X14-Y14</f>
        <v>0</v>
      </c>
      <c r="AA14" s="68" t="str">
        <f>IF(X14=0,"",(Y14-X14)/ABS(X14)+1)</f>
        <v/>
      </c>
      <c r="AB14" s="33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3"/>
      <c r="D15" s="68" t="str">
        <f t="shared" si="0"/>
        <v xml:space="preserve"> </v>
      </c>
      <c r="E15" s="33">
        <v>271483.25</v>
      </c>
      <c r="F15" s="68">
        <f t="shared" si="1"/>
        <v>0.18836424802226154</v>
      </c>
      <c r="G15" s="68" t="str">
        <f t="shared" si="2"/>
        <v/>
      </c>
      <c r="H15" s="33">
        <v>56167.88</v>
      </c>
      <c r="I15" s="68">
        <f t="shared" si="3"/>
        <v>0.194323027850409</v>
      </c>
      <c r="J15" s="68">
        <f t="shared" si="4"/>
        <v>3.8334252601308791</v>
      </c>
      <c r="K15" s="33"/>
      <c r="L15" s="68" t="str">
        <f t="shared" si="5"/>
        <v xml:space="preserve"> </v>
      </c>
      <c r="M15" s="33">
        <v>271483.25</v>
      </c>
      <c r="N15" s="68">
        <f t="shared" si="6"/>
        <v>0.18836424802226154</v>
      </c>
      <c r="O15" s="68"/>
      <c r="P15" s="33">
        <v>56167.88</v>
      </c>
      <c r="Q15" s="68">
        <f t="shared" si="7"/>
        <v>0.194323027850409</v>
      </c>
      <c r="R15" s="68">
        <f t="shared" si="8"/>
        <v>3.8334252601308791</v>
      </c>
      <c r="T15" s="3" t="s">
        <v>37</v>
      </c>
      <c r="U15" s="33"/>
      <c r="V15" s="33">
        <v>126431</v>
      </c>
      <c r="W15" s="33">
        <v>69382</v>
      </c>
      <c r="X15" s="33">
        <f>+AD11+U15</f>
        <v>0</v>
      </c>
      <c r="Y15" s="33">
        <v>126431</v>
      </c>
      <c r="Z15" s="63">
        <f>+X15-Y15</f>
        <v>-126431</v>
      </c>
      <c r="AA15" s="68" t="str">
        <f>IF(X15=0,"",(Y15-X15)/ABS(X15)+1)</f>
        <v/>
      </c>
      <c r="AB15" s="33">
        <v>819056</v>
      </c>
      <c r="AC15" s="68">
        <f>IF(AB15=0,"",(Y15-AB15)/ABS(AB15))</f>
        <v>-0.84563814928405379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3"/>
      <c r="D16" s="68" t="str">
        <f t="shared" si="0"/>
        <v xml:space="preserve"> </v>
      </c>
      <c r="E16" s="33"/>
      <c r="F16" s="68"/>
      <c r="G16" s="68"/>
      <c r="H16" s="33"/>
      <c r="I16" s="68"/>
      <c r="J16" s="68"/>
      <c r="K16" s="33"/>
      <c r="L16" s="68" t="str">
        <f t="shared" si="5"/>
        <v xml:space="preserve"> </v>
      </c>
      <c r="M16" s="33"/>
      <c r="N16" s="68"/>
      <c r="O16" s="68"/>
      <c r="P16" s="33"/>
      <c r="Q16" s="68"/>
      <c r="R16" s="68"/>
      <c r="T16" s="3" t="s">
        <v>38</v>
      </c>
      <c r="U16" s="33"/>
      <c r="V16" s="33">
        <v>164141</v>
      </c>
      <c r="W16" s="33">
        <v>103713</v>
      </c>
      <c r="X16" s="33">
        <f>+AD13+U16</f>
        <v>0</v>
      </c>
      <c r="Y16" s="33">
        <v>164141</v>
      </c>
      <c r="Z16" s="63">
        <f>+X16-Y16</f>
        <v>-164141</v>
      </c>
      <c r="AA16" s="68" t="str">
        <f>IF(X16=0,"",(Y16-X16)/ABS(X16)+1)</f>
        <v/>
      </c>
      <c r="AB16" s="33">
        <v>984184</v>
      </c>
      <c r="AC16" s="68">
        <f>IF(AB16=0,"",(Y16-AB16)/ABS(AB16))</f>
        <v>-0.83322122692504652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3"/>
      <c r="D17" s="68" t="str">
        <f t="shared" si="0"/>
        <v xml:space="preserve"> </v>
      </c>
      <c r="E17" s="33"/>
      <c r="F17" s="68"/>
      <c r="G17" s="68"/>
      <c r="H17" s="33"/>
      <c r="I17" s="68"/>
      <c r="J17" s="68"/>
      <c r="K17" s="33"/>
      <c r="L17" s="68" t="str">
        <f t="shared" si="5"/>
        <v xml:space="preserve"> </v>
      </c>
      <c r="M17" s="33"/>
      <c r="N17" s="68"/>
      <c r="O17" s="68"/>
      <c r="P17" s="33"/>
      <c r="Q17" s="68"/>
      <c r="R17" s="68"/>
      <c r="T17" s="3" t="s">
        <v>39</v>
      </c>
      <c r="U17" s="33">
        <f t="shared" ref="U17" si="9">U13+U14+U15+U16</f>
        <v>0</v>
      </c>
      <c r="V17" s="33">
        <f>V13+V14+V15+V16</f>
        <v>290572</v>
      </c>
      <c r="W17" s="33">
        <v>173095</v>
      </c>
      <c r="X17" s="33">
        <f>X13+X14+X15+X16</f>
        <v>0</v>
      </c>
      <c r="Y17" s="33">
        <f>Y13+Y14+Y15+Y16</f>
        <v>290572</v>
      </c>
      <c r="Z17" s="63">
        <f>+Y17-X17</f>
        <v>290572</v>
      </c>
      <c r="AA17" s="68" t="str">
        <f>IF(X17=0,"",(Y17-X17)/ABS(X17)+1)</f>
        <v/>
      </c>
      <c r="AB17" s="33">
        <v>1803240</v>
      </c>
      <c r="AC17" s="68">
        <f>IF(AB17=0,"",(Y17-AB17)/ABS(AB17))</f>
        <v>-0.83886116102127284</v>
      </c>
      <c r="AD17" s="67"/>
      <c r="AE17" s="67"/>
      <c r="AF17" s="67"/>
      <c r="AG17" s="67"/>
      <c r="AH17" s="67"/>
    </row>
    <row r="18" spans="2:34" x14ac:dyDescent="0.2">
      <c r="B18" s="3" t="s">
        <v>134</v>
      </c>
      <c r="C18" s="33"/>
      <c r="D18" s="68" t="str">
        <f t="shared" si="0"/>
        <v xml:space="preserve"> </v>
      </c>
      <c r="E18" s="33"/>
      <c r="F18" s="68"/>
      <c r="G18" s="68"/>
      <c r="H18" s="33"/>
      <c r="I18" s="68"/>
      <c r="J18" s="68"/>
      <c r="K18" s="33"/>
      <c r="L18" s="68" t="str">
        <f t="shared" si="5"/>
        <v xml:space="preserve"> </v>
      </c>
      <c r="M18" s="33"/>
      <c r="N18" s="68"/>
      <c r="O18" s="68"/>
      <c r="P18" s="33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3"/>
      <c r="D19" s="68" t="str">
        <f t="shared" si="0"/>
        <v xml:space="preserve"> </v>
      </c>
      <c r="E19" s="33"/>
      <c r="F19" s="68"/>
      <c r="G19" s="68"/>
      <c r="H19" s="33"/>
      <c r="I19" s="68"/>
      <c r="J19" s="68"/>
      <c r="K19" s="33"/>
      <c r="L19" s="68" t="str">
        <f t="shared" si="5"/>
        <v xml:space="preserve"> </v>
      </c>
      <c r="M19" s="33"/>
      <c r="N19" s="68"/>
      <c r="O19" s="68"/>
      <c r="P19" s="33"/>
      <c r="Q19" s="68"/>
      <c r="R19" s="68"/>
      <c r="T19" s="3" t="s">
        <v>40</v>
      </c>
      <c r="U19" s="33">
        <f>+U11-U17</f>
        <v>0</v>
      </c>
      <c r="V19" s="33">
        <f>+V11-V17</f>
        <v>52341</v>
      </c>
      <c r="W19" s="33">
        <v>34380</v>
      </c>
      <c r="X19" s="33">
        <f>X11-X17</f>
        <v>0</v>
      </c>
      <c r="Y19" s="33">
        <f>+Y11-Y17</f>
        <v>52341</v>
      </c>
      <c r="Z19" s="63">
        <f>+Y19-X19</f>
        <v>52341</v>
      </c>
      <c r="AA19" s="68" t="str">
        <f>IF(X19=0,"",(Y19-X19)/ABS(X19)+1)</f>
        <v/>
      </c>
      <c r="AB19" s="33">
        <v>387825</v>
      </c>
      <c r="AC19" s="68">
        <f>IF(AB19=0,"",(Y19-AB19)/ABS(AB19))</f>
        <v>-0.86503964416940626</v>
      </c>
      <c r="AD19" s="67"/>
      <c r="AE19" s="67"/>
      <c r="AF19" s="67"/>
      <c r="AG19" s="67"/>
      <c r="AH19" s="67"/>
    </row>
    <row r="20" spans="2:34" x14ac:dyDescent="0.2">
      <c r="B20" s="3" t="s">
        <v>41</v>
      </c>
      <c r="C20" s="33">
        <f>SUM(C10:C16)</f>
        <v>0</v>
      </c>
      <c r="D20" s="68" t="str">
        <f t="shared" si="0"/>
        <v xml:space="preserve"> </v>
      </c>
      <c r="E20" s="33">
        <f>SUM(E10:E16)</f>
        <v>1441267.4</v>
      </c>
      <c r="F20" s="68">
        <f>+E20/$E$20</f>
        <v>1</v>
      </c>
      <c r="G20" s="68" t="str">
        <f>IF(C20=0,"",(E20-C20)/ABS(C20)+1)</f>
        <v/>
      </c>
      <c r="H20" s="33">
        <f>SUM(H10:H19)</f>
        <v>289043.87</v>
      </c>
      <c r="I20" s="68">
        <f>+H20/$H$20</f>
        <v>1</v>
      </c>
      <c r="J20" s="68">
        <f>IF(H20=0,"",(E20-H20)/ABS(H20))</f>
        <v>3.9863275080007745</v>
      </c>
      <c r="K20" s="33">
        <f>SUM(K10:K16)</f>
        <v>0</v>
      </c>
      <c r="L20" s="68" t="str">
        <f t="shared" si="5"/>
        <v xml:space="preserve"> </v>
      </c>
      <c r="M20" s="33">
        <v>1441267.4</v>
      </c>
      <c r="N20" s="68">
        <f>+M20/$M$20</f>
        <v>1</v>
      </c>
      <c r="O20" s="68" t="str">
        <f>IF(K20=0,"",(M20-K20)/ABS(K20)+1)</f>
        <v/>
      </c>
      <c r="P20" s="33">
        <v>289043.87</v>
      </c>
      <c r="Q20" s="68">
        <f>+P20/$P$20</f>
        <v>1</v>
      </c>
      <c r="R20" s="68">
        <f>IF(P20=0,"",(M20-P20)/ABS(P20))</f>
        <v>3.9863275080007745</v>
      </c>
      <c r="T20" s="3"/>
      <c r="U20" s="33"/>
      <c r="V20" s="33"/>
      <c r="W20" s="33"/>
      <c r="X20" s="33"/>
      <c r="Y20" s="33"/>
      <c r="Z20" s="63"/>
      <c r="AA20" s="68"/>
      <c r="AB20" s="33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42</v>
      </c>
      <c r="U21" s="33">
        <f>+U10+U19</f>
        <v>0</v>
      </c>
      <c r="V21" s="33">
        <f>+V10+V19</f>
        <v>291206</v>
      </c>
      <c r="W21" s="33">
        <v>218657</v>
      </c>
      <c r="X21" s="33">
        <f>+X10+X19</f>
        <v>236652</v>
      </c>
      <c r="Y21" s="33">
        <f>+Y10+Y19</f>
        <v>291206</v>
      </c>
      <c r="Z21" s="63">
        <f>+Y21-X21</f>
        <v>54554</v>
      </c>
      <c r="AA21" s="68">
        <f>IF(X21=0,"",(Y21-X21)/ABS(X21)+1)</f>
        <v>1.2305241451582916</v>
      </c>
      <c r="AB21" s="33">
        <v>641804</v>
      </c>
      <c r="AC21" s="68">
        <f>IF(AB21=0,"",(Y21-AB21)/ABS(AB21))</f>
        <v>-0.54626957762806094</v>
      </c>
      <c r="AD21" s="67"/>
      <c r="AE21" s="67"/>
      <c r="AG21" s="67"/>
      <c r="AH21" s="67"/>
    </row>
    <row r="22" spans="2:34" x14ac:dyDescent="0.2">
      <c r="B22" s="3" t="s">
        <v>43</v>
      </c>
      <c r="C22" s="33"/>
      <c r="D22" s="68" t="str">
        <f>IF($C$20=0," ",C22/$C$20)</f>
        <v xml:space="preserve"> </v>
      </c>
      <c r="E22" s="33">
        <v>0</v>
      </c>
      <c r="F22" s="68">
        <f>+E22/$E$20</f>
        <v>0</v>
      </c>
      <c r="G22" s="68" t="str">
        <f>IF(C22=0,"",(E22-C22)/ABS(C22)+1)</f>
        <v/>
      </c>
      <c r="H22" s="33">
        <v>0</v>
      </c>
      <c r="I22" s="68">
        <f>+H22/$H$20</f>
        <v>0</v>
      </c>
      <c r="J22" s="68" t="str">
        <f>IF(H22=0,"",(E22-H22)/ABS(H22))</f>
        <v/>
      </c>
      <c r="K22" s="33">
        <f>+S18+C22</f>
        <v>0</v>
      </c>
      <c r="L22" s="68" t="str">
        <f>IF($K$20=0," ",K22/$K$20)</f>
        <v xml:space="preserve"> </v>
      </c>
      <c r="M22" s="33">
        <v>0</v>
      </c>
      <c r="N22" s="68">
        <f>+M22/$M$20</f>
        <v>0</v>
      </c>
      <c r="O22" s="68" t="str">
        <f>IF(K22=0,"",(M22-K22)/ABS(K22)+1)</f>
        <v/>
      </c>
      <c r="P22" s="33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44</v>
      </c>
      <c r="U23" s="33"/>
      <c r="V23" s="33"/>
      <c r="W23" s="33"/>
      <c r="X23" s="33"/>
      <c r="Y23" s="33"/>
      <c r="Z23" s="63">
        <f>+Y23-X23</f>
        <v>0</v>
      </c>
      <c r="AA23" s="68" t="str">
        <f>IF(X23=0,"",(Y23-X23)/ABS(X23)+1)</f>
        <v/>
      </c>
      <c r="AB23" s="33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45</v>
      </c>
      <c r="C24" s="33">
        <f>+C20-C22</f>
        <v>0</v>
      </c>
      <c r="D24" s="68" t="str">
        <f>IF($C$20=0," ",C24/$C$20)</f>
        <v xml:space="preserve"> </v>
      </c>
      <c r="E24" s="33">
        <f>+E20-E22</f>
        <v>1441267.4</v>
      </c>
      <c r="F24" s="68">
        <f>+E24/$E$20</f>
        <v>1</v>
      </c>
      <c r="G24" s="68" t="str">
        <f>IF(C24=0,"",(E24-C24)/ABS(C24)+1)</f>
        <v/>
      </c>
      <c r="H24" s="33">
        <f>+H20-H22</f>
        <v>289043.87</v>
      </c>
      <c r="I24" s="68">
        <f>+H24/$H$20</f>
        <v>1</v>
      </c>
      <c r="J24" s="68">
        <f>IF(H24=0,"",(E24-H24)/ABS(H24))</f>
        <v>3.9863275080007745</v>
      </c>
      <c r="K24" s="33">
        <f>+K20-K22</f>
        <v>0</v>
      </c>
      <c r="L24" s="68" t="str">
        <f>IF($K$20=0," ",K24/$K$20)</f>
        <v xml:space="preserve"> </v>
      </c>
      <c r="M24" s="33">
        <v>1441267.4</v>
      </c>
      <c r="N24" s="68">
        <f>+M24/$M$20</f>
        <v>1</v>
      </c>
      <c r="O24" s="68" t="str">
        <f>IF(K24=0,"",(M24-K24)/ABS(K24)+1)</f>
        <v/>
      </c>
      <c r="P24" s="33">
        <v>289043.87</v>
      </c>
      <c r="Q24" s="68">
        <f>+P24/$P$20</f>
        <v>1</v>
      </c>
      <c r="R24" s="68">
        <f>IF(P24=0,"",(M24-P24)/ABS(P24))</f>
        <v>3.9863275080007745</v>
      </c>
    </row>
    <row r="25" spans="2:34" x14ac:dyDescent="0.2">
      <c r="T25" s="3" t="s">
        <v>46</v>
      </c>
      <c r="U25" s="33"/>
      <c r="V25" s="33">
        <v>28131</v>
      </c>
      <c r="W25" s="33">
        <v>21445</v>
      </c>
      <c r="X25" s="33">
        <f>+AD22+U25</f>
        <v>0</v>
      </c>
      <c r="Y25" s="33">
        <v>28131</v>
      </c>
      <c r="Z25" s="63">
        <f>+Y25-X25</f>
        <v>28131</v>
      </c>
      <c r="AA25" s="68" t="str">
        <f>IF(X25=0,"",(Y25-X25)/ABS(X25)+1)</f>
        <v/>
      </c>
      <c r="AB25" s="33">
        <v>421994</v>
      </c>
      <c r="AC25" s="68">
        <f>IF(AB25=0,"",(Y25-AB25)/ABS(AB25))</f>
        <v>-0.93333791475708183</v>
      </c>
      <c r="AD25" s="67"/>
      <c r="AE25" s="67"/>
      <c r="AF25" s="67"/>
    </row>
    <row r="26" spans="2:34" x14ac:dyDescent="0.2">
      <c r="B26" s="3" t="s">
        <v>47</v>
      </c>
      <c r="C26" s="33"/>
      <c r="D26" s="68" t="str">
        <f>IF($C$20=0," ",C26/$C$20)</f>
        <v xml:space="preserve"> </v>
      </c>
      <c r="E26" s="33">
        <v>10892.98</v>
      </c>
      <c r="F26" s="68">
        <f>+E26/$E$20</f>
        <v>7.5579174273975808E-3</v>
      </c>
      <c r="G26" s="68" t="str">
        <f>IF(C26=0,"",(E26-C26)/ABS(C26)+1)</f>
        <v/>
      </c>
      <c r="H26" s="33">
        <v>4161.47</v>
      </c>
      <c r="I26" s="68">
        <f>+H26/$H$20</f>
        <v>1.439736466301811E-2</v>
      </c>
      <c r="J26" s="68">
        <f>IF(H26=0,"",(E26-H26)/ABS(H26))</f>
        <v>1.6175798455834114</v>
      </c>
      <c r="K26" s="33"/>
      <c r="L26" s="68" t="str">
        <f>IF($K$20=0," ",K26/$K$20)</f>
        <v xml:space="preserve"> </v>
      </c>
      <c r="M26" s="33">
        <v>10892.98</v>
      </c>
      <c r="N26" s="68">
        <f>+M26/$M$20</f>
        <v>7.5579174273975808E-3</v>
      </c>
      <c r="O26" s="68" t="str">
        <f>IF(K26=0,"",(M26-K26)/ABS(K26)+1)</f>
        <v/>
      </c>
      <c r="P26" s="33">
        <v>4161.47</v>
      </c>
      <c r="Q26" s="68">
        <f>+P26/$P$20</f>
        <v>1.439736466301811E-2</v>
      </c>
      <c r="R26" s="68">
        <f>IF(P26=0,"",(M26-P26)/ABS(P26))</f>
        <v>1.6175798455834114</v>
      </c>
      <c r="AF26" s="67"/>
    </row>
    <row r="27" spans="2:34" x14ac:dyDescent="0.2">
      <c r="B27" s="3" t="s">
        <v>48</v>
      </c>
      <c r="C27" s="33"/>
      <c r="D27" s="68" t="str">
        <f>IF($C$20=0," ",C27/$C$20)</f>
        <v xml:space="preserve"> </v>
      </c>
      <c r="E27" s="33">
        <v>397402.02</v>
      </c>
      <c r="F27" s="68">
        <f>+E27/$E$20</f>
        <v>0.27573094347377874</v>
      </c>
      <c r="G27" s="68" t="str">
        <f>IF(C27=0,"",(E27-C27)/ABS(C27)+1)</f>
        <v/>
      </c>
      <c r="H27" s="33">
        <v>63723.47</v>
      </c>
      <c r="I27" s="68">
        <f>+H27/$H$20</f>
        <v>0.22046296985990396</v>
      </c>
      <c r="J27" s="68">
        <f>IF(H27=0,"",(E27-H27)/ABS(H27))</f>
        <v>5.2363524773525363</v>
      </c>
      <c r="K27" s="33"/>
      <c r="L27" s="68" t="str">
        <f>IF($K$20=0," ",K27/$K$20)</f>
        <v xml:space="preserve"> </v>
      </c>
      <c r="M27" s="33">
        <v>397402.02</v>
      </c>
      <c r="N27" s="68">
        <f>+M27/$M$20</f>
        <v>0.27573094347377874</v>
      </c>
      <c r="O27" s="68" t="str">
        <f>IF(K27=0,"",(M27-K27)/ABS(K27)+1)</f>
        <v/>
      </c>
      <c r="P27" s="33">
        <v>63723.47</v>
      </c>
      <c r="Q27" s="68">
        <f>+P27/$P$20</f>
        <v>0.22046296985990396</v>
      </c>
      <c r="R27" s="68">
        <f>IF(P27=0,"",(M27-P27)/ABS(P27))</f>
        <v>5.2363524773525363</v>
      </c>
      <c r="T27" s="3" t="s">
        <v>49</v>
      </c>
      <c r="U27" s="33"/>
      <c r="V27" s="33"/>
      <c r="W27" s="33"/>
      <c r="X27" s="33">
        <f>+AD21+U27</f>
        <v>0</v>
      </c>
      <c r="Y27" s="33"/>
      <c r="Z27" s="63">
        <f>+Y27-X27</f>
        <v>0</v>
      </c>
      <c r="AA27" s="68" t="str">
        <f>IF(X27=0,"",(Y27-X27)/ABS(X27)+1)</f>
        <v/>
      </c>
      <c r="AB27" s="33"/>
      <c r="AC27" s="68" t="str">
        <f>IF(AB27=0,"",(Y27-AB27)/ABS(AB27))</f>
        <v/>
      </c>
      <c r="AD27" s="55"/>
      <c r="AE27" s="55"/>
    </row>
    <row r="28" spans="2:34" x14ac:dyDescent="0.2">
      <c r="B28" s="3" t="s">
        <v>50</v>
      </c>
      <c r="C28" s="33">
        <f>SUM(C26:C27)</f>
        <v>0</v>
      </c>
      <c r="D28" s="68" t="str">
        <f>IF($C$20=0," ",C28/$C$20)</f>
        <v xml:space="preserve"> </v>
      </c>
      <c r="E28" s="33">
        <f>SUM(E26:E27)</f>
        <v>408295</v>
      </c>
      <c r="F28" s="68">
        <f>+E28/$E$20</f>
        <v>0.28328886090117628</v>
      </c>
      <c r="G28" s="68" t="str">
        <f>IF(C28=0,"",(E28-C28)/ABS(C28)+1)</f>
        <v/>
      </c>
      <c r="H28" s="33">
        <f>SUM(H26:H27)</f>
        <v>67884.94</v>
      </c>
      <c r="I28" s="68">
        <f>+H28/$H$20</f>
        <v>0.2348603345229221</v>
      </c>
      <c r="J28" s="68">
        <f>IF(H28=0,"",(E28-H28)/ABS(H28))</f>
        <v>5.0145151487207613</v>
      </c>
      <c r="K28" s="33">
        <f>+K26+K27</f>
        <v>0</v>
      </c>
      <c r="L28" s="68" t="str">
        <f>IF($K$20=0," ",K28/$K$20)</f>
        <v xml:space="preserve"> </v>
      </c>
      <c r="M28" s="33">
        <v>408295</v>
      </c>
      <c r="N28" s="68">
        <f>+M28/$M$20</f>
        <v>0.28328886090117628</v>
      </c>
      <c r="O28" s="68" t="str">
        <f>IF(K28=0,"",(M28-K28)/ABS(K28)+1)</f>
        <v/>
      </c>
      <c r="P28" s="33">
        <v>67884.94</v>
      </c>
      <c r="Q28" s="68">
        <f>+P28/$P$20</f>
        <v>0.2348603345229221</v>
      </c>
      <c r="R28" s="68">
        <f>IF(P28=0,"",(M28-P28)/ABS(P28))</f>
        <v>5.0145151487207613</v>
      </c>
      <c r="T28" s="3" t="s">
        <v>51</v>
      </c>
      <c r="U28" s="33"/>
      <c r="V28" s="33"/>
      <c r="W28" s="33"/>
      <c r="X28" s="33"/>
      <c r="Y28" s="33"/>
      <c r="Z28" s="63">
        <f>+Y28-X28</f>
        <v>0</v>
      </c>
      <c r="AA28" s="68" t="str">
        <f>IF(X28=0,"",(Y28-X28)/ABS(X28)+1)</f>
        <v/>
      </c>
      <c r="AB28" s="33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52</v>
      </c>
      <c r="C30" s="33"/>
      <c r="D30" s="68" t="str">
        <f>IF($C$20=0," ",C30/$C$20)</f>
        <v xml:space="preserve"> </v>
      </c>
      <c r="E30" s="33">
        <v>482992.07999999996</v>
      </c>
      <c r="F30" s="68">
        <f>+E30/$E$20</f>
        <v>0.33511621785103862</v>
      </c>
      <c r="G30" s="68" t="str">
        <f>IF(C30=0,"",(E30-C30)/ABS(C30)+1)</f>
        <v/>
      </c>
      <c r="H30" s="33">
        <v>157204.97</v>
      </c>
      <c r="I30" s="68">
        <f>+H30/$H$20</f>
        <v>0.54387927341271758</v>
      </c>
      <c r="J30" s="68">
        <f>IF(H30=0,"",(E30-H30)/ABS(H30))</f>
        <v>2.0723715668785787</v>
      </c>
      <c r="K30" s="33"/>
      <c r="L30" s="68" t="str">
        <f>IF($K$20=0," ",K30/$K$20)</f>
        <v xml:space="preserve"> </v>
      </c>
      <c r="M30" s="33">
        <v>482992.07999999996</v>
      </c>
      <c r="N30" s="68">
        <f>+M30/$M$20</f>
        <v>0.33511621785103862</v>
      </c>
      <c r="O30" s="68" t="str">
        <f>IF(K30=0,"",(M30-K30)/ABS(K30)+1)</f>
        <v/>
      </c>
      <c r="P30" s="33">
        <v>157204.97</v>
      </c>
      <c r="Q30" s="68">
        <f>+P30/$P$20</f>
        <v>0.54387927341271758</v>
      </c>
      <c r="R30" s="68">
        <f>IF(P30=0,"",(M30-P30)/ABS(P30))</f>
        <v>2.0723715668785787</v>
      </c>
      <c r="T30" s="3" t="s">
        <v>53</v>
      </c>
      <c r="U30" s="33">
        <f>+U21-U25-U23+U27</f>
        <v>0</v>
      </c>
      <c r="V30" s="33">
        <f>+V21-V25-V23+V27</f>
        <v>263075</v>
      </c>
      <c r="W30" s="33">
        <v>197212</v>
      </c>
      <c r="X30" s="33">
        <f>+X21-X25-X23-X27</f>
        <v>236652</v>
      </c>
      <c r="Y30" s="33">
        <f>+Y21-Y25-Y23+Y27</f>
        <v>263075</v>
      </c>
      <c r="Z30" s="63">
        <f>+Y30-X30</f>
        <v>26423</v>
      </c>
      <c r="AA30" s="68" t="str">
        <f>IF(U30=0,"",(V30-U30)/ABS(U30)+1)</f>
        <v/>
      </c>
      <c r="AB30" s="33">
        <v>197212</v>
      </c>
      <c r="AC30" s="68">
        <f>IF(AB30=0,"",(Y30-AB30)/ABS(AB30))</f>
        <v>0.33397054945946492</v>
      </c>
      <c r="AD30" s="55"/>
      <c r="AF30" s="67"/>
    </row>
    <row r="31" spans="2:34" x14ac:dyDescent="0.2">
      <c r="B31" s="3" t="s">
        <v>54</v>
      </c>
      <c r="C31" s="33"/>
      <c r="D31" s="68" t="str">
        <f>IF($C$20=0," ",C31/$C$20)</f>
        <v xml:space="preserve"> </v>
      </c>
      <c r="E31" s="33">
        <v>422395</v>
      </c>
      <c r="F31" s="68">
        <f>+E31/$E$20</f>
        <v>0.29307191711961295</v>
      </c>
      <c r="G31" s="68" t="str">
        <f>IF(C31=0,"",(E31-C31)/ABS(C31)+1)</f>
        <v/>
      </c>
      <c r="H31" s="33">
        <v>66001.84</v>
      </c>
      <c r="I31" s="68">
        <f>+H31/$H$20</f>
        <v>0.22834540652946558</v>
      </c>
      <c r="J31" s="68">
        <f>IF(H31=0,"",(E31-H31)/ABS(H31))</f>
        <v>5.3997458252679023</v>
      </c>
      <c r="K31" s="33"/>
      <c r="L31" s="68" t="str">
        <f>IF($K$20=0," ",K31/$K$20)</f>
        <v xml:space="preserve"> </v>
      </c>
      <c r="M31" s="33">
        <v>422395</v>
      </c>
      <c r="N31" s="68">
        <f>+M31/$M$20</f>
        <v>0.29307191711961295</v>
      </c>
      <c r="O31" s="68" t="str">
        <f>IF(K31=0,"",(M31-K31)/ABS(K31)+1)</f>
        <v/>
      </c>
      <c r="P31" s="33">
        <v>66001.84</v>
      </c>
      <c r="Q31" s="68">
        <f>+P31/$P$20</f>
        <v>0.22834540652946558</v>
      </c>
      <c r="R31" s="68">
        <f>IF(P31=0,"",(M31-P31)/ABS(P31))</f>
        <v>5.3997458252679023</v>
      </c>
      <c r="T31" s="61"/>
      <c r="U31" s="61"/>
      <c r="V31" s="61" t="s">
        <v>63</v>
      </c>
      <c r="W31" s="61" t="s">
        <v>63</v>
      </c>
      <c r="X31" s="33"/>
      <c r="Y31" s="33" t="s">
        <v>63</v>
      </c>
      <c r="Z31" s="61"/>
      <c r="AA31" s="61"/>
      <c r="AB31" s="33" t="s">
        <v>63</v>
      </c>
      <c r="AC31" s="61"/>
      <c r="AD31" s="55"/>
    </row>
    <row r="32" spans="2:34" x14ac:dyDescent="0.2">
      <c r="B32" s="3" t="s">
        <v>55</v>
      </c>
      <c r="C32" s="33">
        <f>SUM(C30:C31)</f>
        <v>0</v>
      </c>
      <c r="D32" s="68" t="str">
        <f>IF($C$20=0," ",C32/$C$20)</f>
        <v xml:space="preserve"> </v>
      </c>
      <c r="E32" s="33">
        <f>SUM(E30:E31)</f>
        <v>905387.08</v>
      </c>
      <c r="F32" s="68">
        <f>+E32/$E$20</f>
        <v>0.62818813497065151</v>
      </c>
      <c r="G32" s="68" t="str">
        <f>IF(C32=0,"",(E32-C32)/ABS(C32)+1)</f>
        <v/>
      </c>
      <c r="H32" s="33">
        <f>SUM(H30:H31)</f>
        <v>223206.81</v>
      </c>
      <c r="I32" s="68">
        <f>+H32/$H$20</f>
        <v>0.77222467994218313</v>
      </c>
      <c r="J32" s="68">
        <f>IF(H32=0,"",(E32-H32)/ABS(H32))</f>
        <v>3.0562699677487442</v>
      </c>
      <c r="K32" s="33">
        <f>+K30+K31</f>
        <v>0</v>
      </c>
      <c r="L32" s="68" t="str">
        <f>IF($K$20=0," ",K32/$K$20)</f>
        <v xml:space="preserve"> </v>
      </c>
      <c r="M32" s="33">
        <v>905387.08</v>
      </c>
      <c r="N32" s="68">
        <f>+M32/$M$20</f>
        <v>0.62818813497065151</v>
      </c>
      <c r="O32" s="68" t="str">
        <f>IF(K32=0,"",(M32-K32)/ABS(K32)+1)</f>
        <v/>
      </c>
      <c r="P32" s="33">
        <v>223206.81</v>
      </c>
      <c r="Q32" s="68">
        <f>+P32/$P$20</f>
        <v>0.77222467994218313</v>
      </c>
      <c r="R32" s="68">
        <f>IF(P32=0,"",(M32-P32)/ABS(P32))</f>
        <v>3.0562699677487442</v>
      </c>
      <c r="Y32" s="55"/>
      <c r="AD32" s="55"/>
    </row>
    <row r="33" spans="2:30" x14ac:dyDescent="0.2">
      <c r="Y33" s="55"/>
      <c r="AD33" s="55"/>
    </row>
    <row r="34" spans="2:30" x14ac:dyDescent="0.2">
      <c r="B34" s="3" t="s">
        <v>56</v>
      </c>
      <c r="C34" s="33">
        <f>C28+C32</f>
        <v>0</v>
      </c>
      <c r="D34" s="68" t="str">
        <f>IF($C$20=0," ",C34/$C$20)</f>
        <v xml:space="preserve"> </v>
      </c>
      <c r="E34" s="33">
        <f>E28+E32</f>
        <v>1313682.08</v>
      </c>
      <c r="F34" s="68">
        <f>+E34/$E$20</f>
        <v>0.91147699587182796</v>
      </c>
      <c r="G34" s="68" t="str">
        <f>IF(C34=0,"",(E34-C34)/ABS(C34)+1)</f>
        <v/>
      </c>
      <c r="H34" s="33">
        <f>H28+H32</f>
        <v>291091.75</v>
      </c>
      <c r="I34" s="68">
        <f>+H34/$H$20</f>
        <v>1.0070850144651053</v>
      </c>
      <c r="J34" s="68">
        <f>IF(H34=0,"",(E34-H34)/ABS(H34))</f>
        <v>3.5129485119382466</v>
      </c>
      <c r="K34" s="33">
        <f>K28+K32</f>
        <v>0</v>
      </c>
      <c r="L34" s="68" t="str">
        <f>IF($K$20=0," ",K34/$K$20)</f>
        <v xml:space="preserve"> </v>
      </c>
      <c r="M34" s="33">
        <v>1313682.08</v>
      </c>
      <c r="N34" s="68">
        <f>+M34/$M$20</f>
        <v>0.91147699587182796</v>
      </c>
      <c r="O34" s="68" t="str">
        <f>IF(K34=0,"",(M34-K34)/ABS(K34)+1)</f>
        <v/>
      </c>
      <c r="P34" s="33">
        <v>291091.75</v>
      </c>
      <c r="Q34" s="68">
        <f>+P34/$P$20</f>
        <v>1.0070850144651053</v>
      </c>
      <c r="R34" s="68">
        <f>IF(P34=0,"",(M34-P34)/ABS(P34))</f>
        <v>3.5129485119382466</v>
      </c>
      <c r="AD34" s="55"/>
    </row>
    <row r="35" spans="2:30" x14ac:dyDescent="0.2">
      <c r="T35" s="63"/>
      <c r="AD35" s="55"/>
    </row>
    <row r="36" spans="2:30" x14ac:dyDescent="0.2">
      <c r="B36" s="3" t="s">
        <v>57</v>
      </c>
      <c r="C36" s="33">
        <f>C24-C34</f>
        <v>0</v>
      </c>
      <c r="D36" s="68" t="str">
        <f>IF($C$20=0," ",C36/$C$20)</f>
        <v xml:space="preserve"> </v>
      </c>
      <c r="E36" s="33">
        <f>E24-E34</f>
        <v>127585.31999999983</v>
      </c>
      <c r="F36" s="68">
        <f>+E36/$E$20</f>
        <v>8.8523004128172086E-2</v>
      </c>
      <c r="G36" s="68" t="str">
        <f>IF(C36=0,"",(E36-C36)/ABS(C36)+1)</f>
        <v/>
      </c>
      <c r="H36" s="33">
        <f>H24-H34</f>
        <v>-2047.8800000000047</v>
      </c>
      <c r="I36" s="68">
        <f>+H36/$H$20</f>
        <v>-7.0850144651052613E-3</v>
      </c>
      <c r="J36" s="68">
        <f>IF(H36=0,"",(E36-H36)/ABS(H36))</f>
        <v>63.301169990428903</v>
      </c>
      <c r="K36" s="33">
        <f>K24-K34</f>
        <v>0</v>
      </c>
      <c r="L36" s="68" t="str">
        <f>IF($K$20=0," ",K36/$K$20)</f>
        <v xml:space="preserve"> </v>
      </c>
      <c r="M36" s="33">
        <v>127585.31999999983</v>
      </c>
      <c r="N36" s="68">
        <f>+M36/$M$20</f>
        <v>8.8523004128172086E-2</v>
      </c>
      <c r="O36" s="68" t="str">
        <f>IF(K36=0,"",(M36-K36)/ABS(K36)+1)</f>
        <v/>
      </c>
      <c r="P36" s="33">
        <v>-2047.8800000000047</v>
      </c>
      <c r="Q36" s="68">
        <f>+P36/$P$20</f>
        <v>-7.0850144651052613E-3</v>
      </c>
      <c r="R36" s="68">
        <f>IF(P36=0,"",(M36-P36)/ABS(P36))</f>
        <v>63.301169990428903</v>
      </c>
      <c r="AD36" s="55"/>
    </row>
    <row r="37" spans="2:30" x14ac:dyDescent="0.2">
      <c r="AD37" s="55"/>
    </row>
    <row r="38" spans="2:30" x14ac:dyDescent="0.2">
      <c r="B38" s="3" t="s">
        <v>58</v>
      </c>
      <c r="C38" s="33"/>
      <c r="D38" s="68" t="str">
        <f>IF($C$20=0," ",C38/$C$20)</f>
        <v xml:space="preserve"> </v>
      </c>
      <c r="E38" s="33">
        <v>1753926.39</v>
      </c>
      <c r="F38" s="68">
        <f>+E38/$E$20</f>
        <v>1.2169333671184126</v>
      </c>
      <c r="G38" s="68" t="str">
        <f>IF(C38=0,"",(E38-C38)/ABS(C38)+1)</f>
        <v/>
      </c>
      <c r="H38" s="33">
        <v>114243</v>
      </c>
      <c r="I38" s="68">
        <f>+H38/$H$20</f>
        <v>0.39524450042825682</v>
      </c>
      <c r="J38" s="68">
        <f>IF(H38=0,"",(E38-H38)/ABS(H38))</f>
        <v>14.352593944486751</v>
      </c>
      <c r="K38" s="33">
        <f>+S28+C38</f>
        <v>0</v>
      </c>
      <c r="L38" s="68" t="str">
        <f>IF($K$20=0," ",K38/$K$20)</f>
        <v xml:space="preserve"> </v>
      </c>
      <c r="M38" s="33">
        <v>1753926.39</v>
      </c>
      <c r="N38" s="68">
        <f>+M38/$M$20</f>
        <v>1.2169333671184126</v>
      </c>
      <c r="O38" s="68" t="str">
        <f>IF(K38=0,"",(M38-K38)/ABS(K38)+1)</f>
        <v/>
      </c>
      <c r="P38" s="33">
        <v>114243</v>
      </c>
      <c r="Q38" s="68">
        <f>+P38/$P$20</f>
        <v>0.39524450042825682</v>
      </c>
      <c r="R38" s="68">
        <f>IF(P38=0,"",(M38-P38)/ABS(P38))</f>
        <v>14.352593944486751</v>
      </c>
      <c r="AD38" s="55"/>
    </row>
    <row r="39" spans="2:30" x14ac:dyDescent="0.2">
      <c r="B39" s="3" t="s">
        <v>59</v>
      </c>
      <c r="C39" s="33"/>
      <c r="D39" s="68" t="str">
        <f>IF($C$20=0," ",C39/$C$20)</f>
        <v xml:space="preserve"> </v>
      </c>
      <c r="E39" s="33">
        <f>4487+1650</f>
        <v>6137</v>
      </c>
      <c r="F39" s="68">
        <f>+E39/$E$20</f>
        <v>4.2580578732301861E-3</v>
      </c>
      <c r="G39" s="68" t="str">
        <f>IF(C39=0,"",(E39-C39)/ABS(C39)+1)</f>
        <v/>
      </c>
      <c r="H39" s="33">
        <v>261</v>
      </c>
      <c r="I39" s="68">
        <f>+H39/$H$20</f>
        <v>9.0297711554996826E-4</v>
      </c>
      <c r="J39" s="68">
        <f>IF(H39=0,"",(E39-H39)/ABS(H39))</f>
        <v>22.513409961685824</v>
      </c>
      <c r="K39" s="33"/>
      <c r="L39" s="68" t="str">
        <f>IF($K$20=0," ",K39/$K$20)</f>
        <v xml:space="preserve"> </v>
      </c>
      <c r="M39" s="33">
        <v>6137</v>
      </c>
      <c r="N39" s="68">
        <f>+M39/$M$20</f>
        <v>4.2580578732301861E-3</v>
      </c>
      <c r="O39" s="68" t="str">
        <f>IF(K39=0,"",(M39-K39)/ABS(K39)+1)</f>
        <v/>
      </c>
      <c r="P39" s="33">
        <v>261</v>
      </c>
      <c r="Q39" s="68">
        <f>+P39/$P$20</f>
        <v>9.0297711554996826E-4</v>
      </c>
      <c r="R39" s="68">
        <f>IF(P39=0,"",(M39-P39)/ABS(P39))</f>
        <v>22.513409961685824</v>
      </c>
    </row>
    <row r="41" spans="2:30" x14ac:dyDescent="0.2">
      <c r="B41" s="3" t="s">
        <v>60</v>
      </c>
      <c r="C41" s="33">
        <f>C36+C38-C39</f>
        <v>0</v>
      </c>
      <c r="D41" s="68" t="str">
        <f>IF($C$20=0," ",C41/$C$20)</f>
        <v xml:space="preserve"> </v>
      </c>
      <c r="E41" s="33">
        <f>E36+E38-E39</f>
        <v>1875374.7099999997</v>
      </c>
      <c r="F41" s="68">
        <f>+E41/$E$20</f>
        <v>1.3011983133733545</v>
      </c>
      <c r="G41" s="68" t="str">
        <f>IF(C41=0,"",(E41-C41)/ABS(C41)+1)</f>
        <v/>
      </c>
      <c r="H41" s="33">
        <f>H36+H38-H39</f>
        <v>111934.12</v>
      </c>
      <c r="I41" s="68">
        <f>+H41/$H$20</f>
        <v>0.38725650884760154</v>
      </c>
      <c r="J41" s="68">
        <f>IF(H41=0,"",(E41-H41)/ABS(H41))</f>
        <v>15.754272155800214</v>
      </c>
      <c r="K41" s="33">
        <f>K36+K38-K39</f>
        <v>0</v>
      </c>
      <c r="L41" s="68" t="str">
        <f>IF($K$20=0," ",K41/$K$20)</f>
        <v xml:space="preserve"> </v>
      </c>
      <c r="M41" s="33">
        <v>1875374.7099999997</v>
      </c>
      <c r="N41" s="68">
        <f>+M41/$M$20</f>
        <v>1.3011983133733545</v>
      </c>
      <c r="O41" s="68" t="str">
        <f>IF(K41=0,"",(M41-K41)/ABS(K41)+1)</f>
        <v/>
      </c>
      <c r="P41" s="33">
        <v>111934.12</v>
      </c>
      <c r="Q41" s="68">
        <f>+P41/$P$20</f>
        <v>0.38725650884760154</v>
      </c>
      <c r="R41" s="68">
        <f>IF(P41=0,"",(M41-P41)/ABS(P41))</f>
        <v>15.754272155800214</v>
      </c>
    </row>
    <row r="42" spans="2:30" x14ac:dyDescent="0.2">
      <c r="B42" s="3" t="s">
        <v>46</v>
      </c>
      <c r="C42" s="33"/>
      <c r="D42" s="68" t="str">
        <f>IF($C$20=0," ",C42/$C$20)</f>
        <v xml:space="preserve"> </v>
      </c>
      <c r="E42" s="33"/>
      <c r="F42" s="68">
        <f>+E42/$E$20</f>
        <v>0</v>
      </c>
      <c r="G42" s="68" t="str">
        <f>IF(C42=0,"",(E42-C42)/ABS(C42)+1)</f>
        <v/>
      </c>
      <c r="H42" s="33"/>
      <c r="I42" s="68">
        <f>+H42/$H$20</f>
        <v>0</v>
      </c>
      <c r="J42" s="68" t="str">
        <f>IF(H42=0,"",(E42-H42)/ABS(H42))</f>
        <v/>
      </c>
      <c r="K42" s="33"/>
      <c r="L42" s="68" t="str">
        <f>IF($K$20=0," ",K42/$K$20)</f>
        <v xml:space="preserve"> </v>
      </c>
      <c r="M42" s="33"/>
      <c r="N42" s="68">
        <f>+M42/$M$20</f>
        <v>0</v>
      </c>
      <c r="O42" s="68" t="str">
        <f>IF(K42=0,"",(M42-K42)/ABS(K42)+1)</f>
        <v/>
      </c>
      <c r="P42" s="33"/>
      <c r="Q42" s="68">
        <f>+P42/$P$20</f>
        <v>0</v>
      </c>
      <c r="R42" s="68" t="str">
        <f>IF(P42=0,"",(M42-P42)/ABS(P42))</f>
        <v/>
      </c>
    </row>
    <row r="43" spans="2:30" x14ac:dyDescent="0.2">
      <c r="B43" s="21" t="s">
        <v>61</v>
      </c>
      <c r="C43" s="69">
        <f>C41-C42</f>
        <v>0</v>
      </c>
      <c r="D43" s="72" t="str">
        <f>IF($C$20=0," ",C43/$C$20)</f>
        <v xml:space="preserve"> </v>
      </c>
      <c r="E43" s="69">
        <f>+E41-E42</f>
        <v>1875374.7099999997</v>
      </c>
      <c r="F43" s="72">
        <f>+E43/$E$20</f>
        <v>1.3011983133733545</v>
      </c>
      <c r="G43" s="72" t="str">
        <f>IF(C43=0,"",(E43-C43)/ABS(C43)+1)</f>
        <v/>
      </c>
      <c r="H43" s="69">
        <f>+H41-H42</f>
        <v>111934.12</v>
      </c>
      <c r="I43" s="72">
        <f>+H43/$H$20</f>
        <v>0.38725650884760154</v>
      </c>
      <c r="J43" s="72">
        <f>IF(H43=0,"",(E43-H43)/ABS(H43))</f>
        <v>15.754272155800214</v>
      </c>
      <c r="K43" s="69">
        <f>+K41-K42</f>
        <v>0</v>
      </c>
      <c r="L43" s="72" t="str">
        <f>IF($K$20=0," ",K43/$K$20)</f>
        <v xml:space="preserve"> </v>
      </c>
      <c r="M43" s="69">
        <v>1875374.7099999997</v>
      </c>
      <c r="N43" s="72">
        <f>+M43/$M$20</f>
        <v>1.3011983133733545</v>
      </c>
      <c r="O43" s="72" t="str">
        <f>IF(K43=0,"",(M43-K43)/ABS(K43)+1)</f>
        <v/>
      </c>
      <c r="P43" s="69">
        <v>111934.12</v>
      </c>
      <c r="Q43" s="72">
        <f>+P43/$P$20</f>
        <v>0.38725650884760154</v>
      </c>
      <c r="R43" s="72">
        <f>IF(P43=0,"",(M43-P43)/ABS(P43))</f>
        <v>15.754272155800214</v>
      </c>
    </row>
    <row r="45" spans="2:30" x14ac:dyDescent="0.2">
      <c r="B45" s="3" t="s">
        <v>62</v>
      </c>
      <c r="C45" s="33"/>
      <c r="D45" s="68" t="str">
        <f>IF($C$20=0," ",C45/$C$20)</f>
        <v xml:space="preserve"> </v>
      </c>
      <c r="E45" s="33">
        <f>+E43</f>
        <v>1875374.7099999997</v>
      </c>
      <c r="F45" s="68">
        <f>+E45/$E$20</f>
        <v>1.3011983133733545</v>
      </c>
      <c r="G45" s="68" t="str">
        <f>IF(C45=0,"",(E45-C45)/ABS(C45)+1)</f>
        <v/>
      </c>
      <c r="H45" s="33">
        <f>+H43</f>
        <v>111934.12</v>
      </c>
      <c r="I45" s="68">
        <f>+H45/$H$20</f>
        <v>0.38725650884760154</v>
      </c>
      <c r="J45" s="68">
        <f>IF(H45=0,"",(E45-H45)/ABS(H45))</f>
        <v>15.754272155800214</v>
      </c>
      <c r="K45" s="33">
        <f>+K43</f>
        <v>0</v>
      </c>
      <c r="L45" s="68" t="str">
        <f>IF($K$20=0," ",K45/$K$20)</f>
        <v xml:space="preserve"> </v>
      </c>
      <c r="M45" s="33">
        <v>1875374.7099999997</v>
      </c>
      <c r="N45" s="68">
        <f>+M45/$M$20</f>
        <v>1.3011983133733545</v>
      </c>
      <c r="O45" s="68" t="str">
        <f>IF(K45=0,"",(M45-K45)/ABS(K45)+1)</f>
        <v/>
      </c>
      <c r="P45" s="33">
        <v>111934.12</v>
      </c>
      <c r="Q45" s="68">
        <f>+P45/$P$20</f>
        <v>0.38725650884760154</v>
      </c>
      <c r="R45" s="68">
        <f>IF(P45=0,"",(M45-P45)/ABS(P45))</f>
        <v>15.754272155800214</v>
      </c>
    </row>
    <row r="46" spans="2:30" x14ac:dyDescent="0.2">
      <c r="B46" s="3"/>
      <c r="C46" s="33"/>
      <c r="D46" s="68"/>
      <c r="E46" s="33"/>
      <c r="F46" s="68"/>
      <c r="G46" s="68"/>
      <c r="H46" s="33"/>
      <c r="I46" s="68"/>
      <c r="J46" s="68"/>
      <c r="K46" s="33"/>
      <c r="L46" s="68"/>
      <c r="M46" s="33"/>
      <c r="N46" s="68"/>
      <c r="O46" s="68"/>
      <c r="P46" s="33"/>
      <c r="Q46" s="68"/>
      <c r="R46" s="68"/>
    </row>
    <row r="47" spans="2:30" x14ac:dyDescent="0.2"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33"/>
      <c r="N47" s="61"/>
      <c r="O47" s="61"/>
      <c r="P47" s="61"/>
      <c r="Q47" s="61"/>
      <c r="R47" s="61"/>
    </row>
    <row r="48" spans="2:30" x14ac:dyDescent="0.2">
      <c r="H48" s="67"/>
    </row>
    <row r="49" spans="5:5" x14ac:dyDescent="0.2">
      <c r="E49" s="5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42909-D73C-4F72-B933-DC19D0778B76}">
  <sheetPr>
    <tabColor theme="2" tint="-0.249977111117893"/>
  </sheetPr>
  <dimension ref="A1:AY129"/>
  <sheetViews>
    <sheetView showGridLines="0" topLeftCell="AA1" zoomScale="89" zoomScaleNormal="89" workbookViewId="0">
      <selection activeCell="AF16" sqref="AF16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6.140625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  <c r="AI2" s="106">
        <f>1/AH3</f>
        <v>2.7498212616179946E-3</v>
      </c>
    </row>
    <row r="3" spans="1:35" ht="18" x14ac:dyDescent="0.25">
      <c r="B3" s="16" t="s">
        <v>132</v>
      </c>
      <c r="S3" s="54"/>
      <c r="T3" s="18" t="s">
        <v>132</v>
      </c>
      <c r="AF3" s="2" t="str">
        <f>+B6</f>
        <v>ENERO de 2026</v>
      </c>
      <c r="AG3" s="2" t="s">
        <v>135</v>
      </c>
      <c r="AH3" s="107">
        <f>_xlfn.XLOOKUP(Paramet!E3,AL117:AL128,AM117:AM128,0,0)</f>
        <v>363.66</v>
      </c>
      <c r="AI3" s="2" t="s">
        <v>136</v>
      </c>
    </row>
    <row r="4" spans="1:35" x14ac:dyDescent="0.2">
      <c r="B4" s="2" t="s">
        <v>90</v>
      </c>
      <c r="S4" s="54"/>
      <c r="T4" s="3" t="s">
        <v>23</v>
      </c>
      <c r="AG4" s="2" t="s">
        <v>137</v>
      </c>
      <c r="AH4" s="107">
        <f>_xlfn.XLOOKUP(Paramet!E3,'VENEZUELA USD'!AL70:AL81,'VENEZUELA USD'!AM70:AM81,0,0)</f>
        <v>38.53</v>
      </c>
    </row>
    <row r="5" spans="1:35" ht="13.5" thickBot="1" x14ac:dyDescent="0.25">
      <c r="B5" s="3" t="s">
        <v>138</v>
      </c>
      <c r="S5" s="54"/>
      <c r="T5" s="3" t="s">
        <v>139</v>
      </c>
      <c r="X5" s="22" t="s">
        <v>25</v>
      </c>
      <c r="Y5" s="22"/>
      <c r="Z5" s="22"/>
      <c r="AA5" s="22"/>
      <c r="AB5" s="22"/>
      <c r="AC5" s="22"/>
    </row>
    <row r="6" spans="1:35" ht="13.5" thickBot="1" x14ac:dyDescent="0.25">
      <c r="B6" s="21" t="str">
        <f>+'VZLA BFS'!B6</f>
        <v>ENERO de 2026</v>
      </c>
      <c r="C6" s="91"/>
      <c r="K6" s="105" t="s">
        <v>25</v>
      </c>
      <c r="L6" s="105"/>
      <c r="M6" s="105"/>
      <c r="N6" s="105"/>
      <c r="O6" s="105"/>
      <c r="P6" s="105"/>
      <c r="Q6" s="105"/>
      <c r="R6" s="105"/>
      <c r="T6" s="21" t="str">
        <f>+B6</f>
        <v>ENERO de 2026</v>
      </c>
      <c r="Z6" s="2" t="s">
        <v>28</v>
      </c>
      <c r="AA6" s="2" t="s">
        <v>26</v>
      </c>
      <c r="AC6" s="2" t="s">
        <v>27</v>
      </c>
    </row>
    <row r="7" spans="1:35" ht="15.75" customHeight="1" x14ac:dyDescent="0.2">
      <c r="C7" s="2" t="str">
        <f>+'VZLA BFS'!C7</f>
        <v>Ppto 2026</v>
      </c>
      <c r="E7" s="2" t="str">
        <f>+'VZLA BFS'!E7</f>
        <v>Real 2026</v>
      </c>
      <c r="G7" s="2" t="str">
        <f>+'VZLA BFS'!G7</f>
        <v>Cump</v>
      </c>
      <c r="H7" s="2" t="str">
        <f>+'VZLA BFS'!H7</f>
        <v>Real 2025</v>
      </c>
      <c r="J7" s="51" t="s">
        <v>27</v>
      </c>
      <c r="K7" s="2" t="str">
        <f>+C7</f>
        <v>Ppto 2026</v>
      </c>
      <c r="M7" s="2" t="str">
        <f>+E7</f>
        <v>Real 2026</v>
      </c>
      <c r="O7" s="2" t="str">
        <f>+G7</f>
        <v>Cump</v>
      </c>
      <c r="P7" s="2" t="str">
        <f>+H7</f>
        <v>Real 2025</v>
      </c>
      <c r="Q7" s="51"/>
      <c r="R7" s="51" t="s">
        <v>27</v>
      </c>
      <c r="S7" s="51"/>
      <c r="U7" s="54" t="str">
        <f>+C7</f>
        <v>Ppto 2026</v>
      </c>
      <c r="V7" s="54" t="str">
        <f>+M7</f>
        <v>Real 2026</v>
      </c>
      <c r="W7" s="54" t="str">
        <f>+H7</f>
        <v>Real 2025</v>
      </c>
      <c r="X7" s="54" t="str">
        <f>+U7</f>
        <v>Ppto 2026</v>
      </c>
      <c r="Y7" s="54" t="str">
        <f>+V7</f>
        <v>Real 2026</v>
      </c>
      <c r="Z7" s="54" t="s">
        <v>28</v>
      </c>
      <c r="AA7" s="54" t="s">
        <v>26</v>
      </c>
      <c r="AB7" s="54" t="str">
        <f>+W7</f>
        <v>Real 2025</v>
      </c>
      <c r="AC7" s="54" t="s">
        <v>27</v>
      </c>
      <c r="AD7" s="54"/>
      <c r="AE7" s="54"/>
      <c r="AH7" s="2">
        <v>2819322440</v>
      </c>
      <c r="AI7" s="106">
        <f>1/AH4</f>
        <v>2.5953802232026993E-2</v>
      </c>
    </row>
    <row r="8" spans="1:35" ht="13.5" thickBot="1" x14ac:dyDescent="0.25">
      <c r="B8" s="30"/>
      <c r="C8" s="31" t="s">
        <v>30</v>
      </c>
      <c r="D8" s="31" t="s">
        <v>31</v>
      </c>
      <c r="E8" s="31" t="s">
        <v>30</v>
      </c>
      <c r="F8" s="31" t="s">
        <v>31</v>
      </c>
      <c r="G8" s="31" t="s">
        <v>32</v>
      </c>
      <c r="H8" s="31" t="s">
        <v>30</v>
      </c>
      <c r="I8" s="31" t="s">
        <v>31</v>
      </c>
      <c r="J8" s="31" t="s">
        <v>32</v>
      </c>
      <c r="K8" s="31" t="s">
        <v>30</v>
      </c>
      <c r="L8" s="31" t="s">
        <v>31</v>
      </c>
      <c r="M8" s="31" t="s">
        <v>30</v>
      </c>
      <c r="N8" s="31" t="s">
        <v>31</v>
      </c>
      <c r="O8" s="31" t="s">
        <v>32</v>
      </c>
      <c r="P8" s="31" t="s">
        <v>30</v>
      </c>
      <c r="Q8" s="31" t="s">
        <v>31</v>
      </c>
      <c r="R8" s="31" t="s">
        <v>32</v>
      </c>
      <c r="S8" s="54"/>
      <c r="T8" s="30"/>
      <c r="U8" s="31"/>
      <c r="V8" s="31"/>
      <c r="W8" s="31"/>
      <c r="X8" s="30"/>
      <c r="Y8" s="30"/>
      <c r="Z8" s="31"/>
      <c r="AA8" s="31" t="s">
        <v>32</v>
      </c>
      <c r="AB8" s="30"/>
      <c r="AC8" s="31" t="s">
        <v>32</v>
      </c>
      <c r="AD8" s="54"/>
      <c r="AE8" s="54"/>
      <c r="AI8" s="108">
        <f>+AI7*AH7</f>
        <v>73172137.036075786</v>
      </c>
    </row>
    <row r="9" spans="1:35" x14ac:dyDescent="0.2">
      <c r="S9" s="68"/>
      <c r="AD9" s="68"/>
      <c r="AE9" s="68"/>
      <c r="AH9" s="2">
        <f>+AH7/AH4</f>
        <v>73172137.036075786</v>
      </c>
    </row>
    <row r="10" spans="1:35" x14ac:dyDescent="0.2">
      <c r="B10" s="3" t="s">
        <v>67</v>
      </c>
      <c r="C10" s="33">
        <f>'VZLA BFS'!C10/'VENEZUELA USD'!$AH$3</f>
        <v>0</v>
      </c>
      <c r="D10" s="35" t="str">
        <f t="shared" ref="D10:D20" si="0">IF(DD19&lt;=0," ",C10/$C$20)</f>
        <v xml:space="preserve"> </v>
      </c>
      <c r="E10" s="33">
        <f>'VZLA BFS'!E10/'VENEZUELA USD'!$AH$3</f>
        <v>1459.1789033712807</v>
      </c>
      <c r="F10" s="35">
        <f t="shared" ref="F10:F20" si="1">+E10/$E$20</f>
        <v>0.36817942319378072</v>
      </c>
      <c r="G10" s="35" t="str">
        <f>IF(C10=0,"",(E10-C10)/ABS(C10)+1)</f>
        <v/>
      </c>
      <c r="H10" s="63">
        <f>+'VZLA BFS'!H10/'VENEZUELA USD'!$AH$4</f>
        <v>3866.4676875162208</v>
      </c>
      <c r="I10" s="35">
        <f t="shared" ref="I10:I20" si="2">IF($H$20&lt;=0," ",H10/$H$20)</f>
        <v>0.51540619076266869</v>
      </c>
      <c r="J10" s="35">
        <f>IF(E10=0,"",(E10-H10)/ABS(H10))</f>
        <v>-0.62260672497469072</v>
      </c>
      <c r="K10" s="33">
        <f>'VZLA BFS'!K10/'VENEZUELA USD'!$AH$3</f>
        <v>0</v>
      </c>
      <c r="L10" s="35" t="str">
        <f t="shared" ref="L10:L22" si="3">IF($K$20&lt;=0," ",K10/$K$20)</f>
        <v xml:space="preserve"> </v>
      </c>
      <c r="M10" s="33">
        <f>'VZLA BFS'!M10/'VENEZUELA USD'!$AH$3</f>
        <v>1459.1789033712807</v>
      </c>
      <c r="N10" s="35">
        <f t="shared" ref="N10:N15" si="4">+M10/$M$20</f>
        <v>0.36817942319378072</v>
      </c>
      <c r="O10" s="35" t="str">
        <f>IF(K10=0,"",(M10-K10)/ABS(K10)+1)</f>
        <v/>
      </c>
      <c r="P10" s="63">
        <f>+'VZLA BFS'!P10/'VENEZUELA USD'!$AH$4</f>
        <v>3866.4676875162208</v>
      </c>
      <c r="Q10" s="35">
        <f t="shared" ref="Q10:Q22" si="5">IF($P$20&lt;=0," ",P10/$P$20)</f>
        <v>0.51540619076266869</v>
      </c>
      <c r="R10" s="35">
        <f>IF(M10=0,"",(M10-P10)/ABS(P10))</f>
        <v>-0.62260672497469072</v>
      </c>
      <c r="S10" s="68"/>
      <c r="T10" s="3" t="s">
        <v>33</v>
      </c>
      <c r="U10" s="33">
        <f>+'VZLA BFS'!U10/'VENEZUELA USD'!$AH$3</f>
        <v>0</v>
      </c>
      <c r="V10" s="33">
        <f>+'VZLA BFS'!V10/'VENEZUELA USD'!$AH$3</f>
        <v>656.83605565638231</v>
      </c>
      <c r="W10" s="33">
        <f>+'VZLA BFS'!W10/'VENEZUELA USD'!$AH$3</f>
        <v>506.7288126271792</v>
      </c>
      <c r="X10" s="33">
        <f>+'VZLA BFS'!X10/'VENEZUELA USD'!$AH$3</f>
        <v>650.75070120442172</v>
      </c>
      <c r="Y10" s="33">
        <f>+'VZLA BFS'!Y10/'VENEZUELA USD'!$AH$3</f>
        <v>656.83605565638231</v>
      </c>
      <c r="Z10" s="63">
        <f>+Y10-X10</f>
        <v>6.0853544519605975</v>
      </c>
      <c r="AA10" s="68">
        <f>IF(X10=0,"",(Y10-X10)/ABS(X10)+1)</f>
        <v>1.0093512837415277</v>
      </c>
      <c r="AB10" s="33">
        <f>+'VZLA BFS'!AB10/'VENEZUELA USD'!$AH$3</f>
        <v>698.39685420447665</v>
      </c>
      <c r="AC10" s="68">
        <f>IF(W10=0,"",(Y10-AB10)/ABS(AB10))</f>
        <v>-5.9508857031486811E-2</v>
      </c>
      <c r="AD10" s="68"/>
      <c r="AE10" s="68"/>
    </row>
    <row r="11" spans="1:35" x14ac:dyDescent="0.2">
      <c r="B11" s="3" t="s">
        <v>69</v>
      </c>
      <c r="C11" s="33">
        <f>'VZLA BFS'!C11/'VENEZUELA USD'!$AH$3</f>
        <v>0</v>
      </c>
      <c r="D11" s="35" t="str">
        <f t="shared" si="0"/>
        <v xml:space="preserve"> </v>
      </c>
      <c r="E11" s="33">
        <f>'VZLA BFS'!E11/'VENEZUELA USD'!$AH$3</f>
        <v>1266.0043722158059</v>
      </c>
      <c r="F11" s="35">
        <f t="shared" si="1"/>
        <v>0.319437704620253</v>
      </c>
      <c r="G11" s="35" t="str">
        <f t="shared" ref="G11:G22" si="6">IF(C11=0,"",(E11-C11)/ABS(C11)+1)</f>
        <v/>
      </c>
      <c r="H11" s="63">
        <f>+'VZLA BFS'!H11/'VENEZUELA USD'!$AH$4</f>
        <v>1020.0542434466649</v>
      </c>
      <c r="I11" s="35">
        <f t="shared" si="2"/>
        <v>0.13597482624350415</v>
      </c>
      <c r="J11" s="35">
        <f t="shared" ref="J11:J20" si="7">IF(E11=0,"",(E11-H11)/ABS(H11))</f>
        <v>0.24111475477823532</v>
      </c>
      <c r="K11" s="33">
        <f>'VZLA BFS'!K11/'VENEZUELA USD'!$AH$3</f>
        <v>0</v>
      </c>
      <c r="L11" s="35" t="str">
        <f t="shared" si="3"/>
        <v xml:space="preserve"> </v>
      </c>
      <c r="M11" s="33">
        <f>'VZLA BFS'!M11/'VENEZUELA USD'!$AH$3</f>
        <v>1266.0043722158059</v>
      </c>
      <c r="N11" s="35">
        <f t="shared" si="4"/>
        <v>0.319437704620253</v>
      </c>
      <c r="O11" s="35" t="str">
        <f t="shared" ref="O11:O22" si="8">IF(K11=0,"",(M11-K11)/ABS(K11)+1)</f>
        <v/>
      </c>
      <c r="P11" s="63">
        <f>+'VZLA BFS'!P11/'VENEZUELA USD'!$AH$4</f>
        <v>1020.0542434466649</v>
      </c>
      <c r="Q11" s="35">
        <f t="shared" si="5"/>
        <v>0.13597482624350415</v>
      </c>
      <c r="R11" s="35">
        <f t="shared" ref="R11:R22" si="9">IF(M11=0,"",(M11-P11)/ABS(P11))</f>
        <v>0.24111475477823532</v>
      </c>
      <c r="S11" s="68"/>
      <c r="T11" s="3" t="s">
        <v>34</v>
      </c>
      <c r="U11" s="33">
        <f>+'VZLA BFS'!U11/'VENEZUELA USD'!$AH$3</f>
        <v>0</v>
      </c>
      <c r="V11" s="33">
        <f>+'VZLA BFS'!V11/'VENEZUELA USD'!$AH$3</f>
        <v>942.94945828521145</v>
      </c>
      <c r="W11" s="33">
        <f>+'VZLA BFS'!W11/'VENEZUELA USD'!$AH$3</f>
        <v>570.51916625419346</v>
      </c>
      <c r="X11" s="33">
        <f>+'VZLA BFS'!X11/'VENEZUELA USD'!$AH$3</f>
        <v>0</v>
      </c>
      <c r="Y11" s="33">
        <f>+'VZLA BFS'!Y11/'VENEZUELA USD'!$AH$3</f>
        <v>942.94945828521145</v>
      </c>
      <c r="Z11" s="63">
        <f>+Y11-X11</f>
        <v>942.94945828521145</v>
      </c>
      <c r="AA11" s="68" t="str">
        <f>IF(X11=0,"",(Y11-X11)/ABS(X11)+1)</f>
        <v/>
      </c>
      <c r="AB11" s="33">
        <f>+'VZLA BFS'!AB11/'VENEZUELA USD'!$AH$3</f>
        <v>6025.0371225870313</v>
      </c>
      <c r="AC11" s="68">
        <f>IF(AB11=0,"",(Y11-AB11)/ABS(AB11))</f>
        <v>-0.84349483013968096</v>
      </c>
      <c r="AD11" s="68"/>
      <c r="AE11" s="68"/>
    </row>
    <row r="12" spans="1:35" x14ac:dyDescent="0.2">
      <c r="B12" s="3" t="s">
        <v>71</v>
      </c>
      <c r="C12" s="33">
        <f>'VZLA BFS'!C12/'VENEZUELA USD'!$AH$3</f>
        <v>0</v>
      </c>
      <c r="D12" s="35" t="str">
        <f t="shared" si="0"/>
        <v xml:space="preserve"> </v>
      </c>
      <c r="E12" s="33">
        <f>'VZLA BFS'!E12/'VENEZUELA USD'!$AH$3</f>
        <v>491.51405158664681</v>
      </c>
      <c r="F12" s="35">
        <f t="shared" si="1"/>
        <v>0.12401862416370481</v>
      </c>
      <c r="G12" s="35" t="str">
        <f t="shared" si="6"/>
        <v/>
      </c>
      <c r="H12" s="63">
        <f>+'VZLA BFS'!H12/'VENEZUELA USD'!$AH$4</f>
        <v>993.27796522190499</v>
      </c>
      <c r="I12" s="35">
        <f t="shared" si="2"/>
        <v>0.13240550647207983</v>
      </c>
      <c r="J12" s="35">
        <f t="shared" si="7"/>
        <v>-0.5051596141299286</v>
      </c>
      <c r="K12" s="33">
        <f>'VZLA BFS'!K12/'VENEZUELA USD'!$AH$3</f>
        <v>0</v>
      </c>
      <c r="L12" s="35" t="str">
        <f t="shared" si="3"/>
        <v xml:space="preserve"> </v>
      </c>
      <c r="M12" s="33">
        <f>'VZLA BFS'!M12/'VENEZUELA USD'!$AH$3</f>
        <v>491.51405158664681</v>
      </c>
      <c r="N12" s="35">
        <f t="shared" si="4"/>
        <v>0.12401862416370481</v>
      </c>
      <c r="O12" s="35" t="str">
        <f t="shared" si="8"/>
        <v/>
      </c>
      <c r="P12" s="63">
        <f>+'VZLA BFS'!P12/'VENEZUELA USD'!$AH$4</f>
        <v>993.27796522190499</v>
      </c>
      <c r="Q12" s="35">
        <f t="shared" si="5"/>
        <v>0.13240550647207983</v>
      </c>
      <c r="R12" s="35">
        <f t="shared" si="9"/>
        <v>-0.5051596141299286</v>
      </c>
      <c r="S12" s="68"/>
      <c r="U12" s="33">
        <f>+'VZLA BFS'!U12/'VENEZUELA USD'!$AH$3</f>
        <v>0</v>
      </c>
      <c r="AD12" s="68"/>
      <c r="AE12" s="68"/>
    </row>
    <row r="13" spans="1:35" x14ac:dyDescent="0.2">
      <c r="B13" s="3" t="s">
        <v>74</v>
      </c>
      <c r="C13" s="33">
        <f>'VZLA BFS'!C13/'VENEZUELA USD'!$AH$3</f>
        <v>0</v>
      </c>
      <c r="D13" s="35" t="str">
        <f t="shared" si="0"/>
        <v xml:space="preserve"> </v>
      </c>
      <c r="E13" s="33">
        <f>'VZLA BFS'!E13/'VENEZUELA USD'!$AH$3</f>
        <v>0</v>
      </c>
      <c r="F13" s="35">
        <f t="shared" si="1"/>
        <v>0</v>
      </c>
      <c r="G13" s="35" t="str">
        <f t="shared" si="6"/>
        <v/>
      </c>
      <c r="H13" s="63">
        <f>+'VZLA BFS'!H13/'VENEZUELA USD'!$AH$4</f>
        <v>164.21749286270438</v>
      </c>
      <c r="I13" s="35">
        <f t="shared" si="2"/>
        <v>2.189044867133837E-2</v>
      </c>
      <c r="J13" s="35" t="str">
        <f t="shared" si="7"/>
        <v/>
      </c>
      <c r="K13" s="33">
        <f>'VZLA BFS'!K13/'VENEZUELA USD'!$AH$3</f>
        <v>0</v>
      </c>
      <c r="L13" s="35" t="str">
        <f t="shared" si="3"/>
        <v xml:space="preserve"> </v>
      </c>
      <c r="M13" s="33">
        <f>'VZLA BFS'!M13/'VENEZUELA USD'!$AH$3</f>
        <v>0</v>
      </c>
      <c r="N13" s="35">
        <f t="shared" si="4"/>
        <v>0</v>
      </c>
      <c r="O13" s="35" t="str">
        <f t="shared" si="8"/>
        <v/>
      </c>
      <c r="P13" s="63">
        <f>+'VZLA BFS'!P13/'VENEZUELA USD'!$AH$4</f>
        <v>164.21749286270438</v>
      </c>
      <c r="Q13" s="35">
        <f t="shared" si="5"/>
        <v>2.189044867133837E-2</v>
      </c>
      <c r="R13" s="35" t="str">
        <f t="shared" si="9"/>
        <v/>
      </c>
      <c r="S13" s="68"/>
      <c r="T13" s="3" t="s">
        <v>35</v>
      </c>
      <c r="U13" s="33">
        <f>+'VZLA BFS'!U13/'VENEZUELA USD'!$AH$3</f>
        <v>0</v>
      </c>
      <c r="V13" s="33">
        <f>+'VZLA BFS'!V13/'VENEZUELA USD'!$AH$3</f>
        <v>0</v>
      </c>
      <c r="W13" s="33">
        <f>+'VZLA BFS'!W13/'VENEZUELA USD'!$AH$3</f>
        <v>0</v>
      </c>
      <c r="X13" s="33">
        <f>+'VZLA BFS'!X13/'VENEZUELA USD'!$AH$3</f>
        <v>0</v>
      </c>
      <c r="Y13" s="33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3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75</v>
      </c>
      <c r="C14" s="33">
        <f>'VZLA BFS'!C14/'VENEZUELA USD'!$AH$3</f>
        <v>0</v>
      </c>
      <c r="D14" s="35" t="str">
        <f t="shared" si="0"/>
        <v xml:space="preserve"> </v>
      </c>
      <c r="E14" s="33">
        <f>'VZLA BFS'!E14/'VENEZUELA USD'!$AH$3</f>
        <v>0</v>
      </c>
      <c r="F14" s="35">
        <f t="shared" si="1"/>
        <v>0</v>
      </c>
      <c r="G14" s="35" t="str">
        <f t="shared" si="6"/>
        <v/>
      </c>
      <c r="H14" s="63">
        <f>+'VZLA BFS'!H14/'VENEZUELA USD'!$AH$4</f>
        <v>0</v>
      </c>
      <c r="I14" s="35">
        <f t="shared" si="2"/>
        <v>0</v>
      </c>
      <c r="J14" s="35" t="str">
        <f t="shared" si="7"/>
        <v/>
      </c>
      <c r="K14" s="33">
        <f>'VZLA BFS'!K14/'VENEZUELA USD'!$AH$3</f>
        <v>0</v>
      </c>
      <c r="L14" s="35" t="str">
        <f t="shared" si="3"/>
        <v xml:space="preserve"> </v>
      </c>
      <c r="M14" s="33">
        <f>'VZLA BFS'!M14/'VENEZUELA USD'!$AH$3</f>
        <v>0</v>
      </c>
      <c r="N14" s="35">
        <f t="shared" si="4"/>
        <v>0</v>
      </c>
      <c r="O14" s="35" t="str">
        <f t="shared" si="8"/>
        <v/>
      </c>
      <c r="P14" s="63">
        <f>+'VZLA BFS'!P14/'VENEZUELA USD'!$AH$4</f>
        <v>0</v>
      </c>
      <c r="Q14" s="35">
        <f t="shared" si="5"/>
        <v>0</v>
      </c>
      <c r="R14" s="35" t="str">
        <f t="shared" si="9"/>
        <v/>
      </c>
      <c r="S14" s="68"/>
      <c r="T14" s="3" t="s">
        <v>36</v>
      </c>
      <c r="U14" s="33">
        <f>+'VZLA BFS'!U14/'VENEZUELA USD'!$AH$3</f>
        <v>0</v>
      </c>
      <c r="V14" s="33">
        <f>+'VZLA BFS'!V14/'VENEZUELA USD'!$AH$3</f>
        <v>0</v>
      </c>
      <c r="W14" s="33">
        <f>+'VZLA BFS'!W14/'VENEZUELA USD'!$AH$3</f>
        <v>0</v>
      </c>
      <c r="X14" s="33">
        <f>+'VZLA BFS'!X14/'VENEZUELA USD'!$AH$3</f>
        <v>0</v>
      </c>
      <c r="Y14" s="33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3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77</v>
      </c>
      <c r="C15" s="33">
        <f>'VZLA BFS'!C15/'VENEZUELA USD'!$AH$3</f>
        <v>0</v>
      </c>
      <c r="D15" s="35" t="str">
        <f t="shared" si="0"/>
        <v xml:space="preserve"> </v>
      </c>
      <c r="E15" s="33">
        <f>'VZLA BFS'!E15/'VENEZUELA USD'!$AH$3</f>
        <v>746.53041302315341</v>
      </c>
      <c r="F15" s="35">
        <f t="shared" si="1"/>
        <v>0.18836424802226151</v>
      </c>
      <c r="G15" s="35" t="str">
        <f t="shared" si="6"/>
        <v/>
      </c>
      <c r="H15" s="63">
        <f>+'VZLA BFS'!H15/'VENEZUELA USD'!$AH$4</f>
        <v>1457.770049312224</v>
      </c>
      <c r="I15" s="35">
        <f t="shared" si="2"/>
        <v>0.194323027850409</v>
      </c>
      <c r="J15" s="35">
        <f t="shared" si="7"/>
        <v>-0.4878956297837464</v>
      </c>
      <c r="K15" s="33">
        <f>'VZLA BFS'!K15/'VENEZUELA USD'!$AH$3</f>
        <v>0</v>
      </c>
      <c r="L15" s="35" t="str">
        <f t="shared" si="3"/>
        <v xml:space="preserve"> </v>
      </c>
      <c r="M15" s="33">
        <f>'VZLA BFS'!M15/'VENEZUELA USD'!$AH$3</f>
        <v>746.53041302315341</v>
      </c>
      <c r="N15" s="35">
        <f t="shared" si="4"/>
        <v>0.18836424802226151</v>
      </c>
      <c r="O15" s="35" t="str">
        <f t="shared" si="8"/>
        <v/>
      </c>
      <c r="P15" s="63">
        <f>+'VZLA BFS'!P15/'VENEZUELA USD'!$AH$4</f>
        <v>1457.770049312224</v>
      </c>
      <c r="Q15" s="35">
        <f t="shared" si="5"/>
        <v>0.194323027850409</v>
      </c>
      <c r="R15" s="35">
        <f t="shared" si="9"/>
        <v>-0.4878956297837464</v>
      </c>
      <c r="S15" s="68"/>
      <c r="T15" s="3" t="s">
        <v>37</v>
      </c>
      <c r="U15" s="33">
        <f>+'VZLA BFS'!U15/'VENEZUELA USD'!$AH$3</f>
        <v>0</v>
      </c>
      <c r="V15" s="33">
        <f>+'VZLA BFS'!V15/'VENEZUELA USD'!$AH$3</f>
        <v>347.66265192762467</v>
      </c>
      <c r="W15" s="33">
        <f>+'VZLA BFS'!W15/'VENEZUELA USD'!$AH$3</f>
        <v>190.78809877357969</v>
      </c>
      <c r="X15" s="33">
        <f>+'VZLA BFS'!X15/'VENEZUELA USD'!$AH$3</f>
        <v>0</v>
      </c>
      <c r="Y15" s="33">
        <f>+'VZLA BFS'!Y15/'VENEZUELA USD'!$AH$3</f>
        <v>347.66265192762467</v>
      </c>
      <c r="Z15" s="63">
        <f>+X15-Y15</f>
        <v>-347.66265192762467</v>
      </c>
      <c r="AA15" s="68" t="str">
        <f>IF(X15=0,"",(Y15-X15)/ABS(X15)+1)</f>
        <v/>
      </c>
      <c r="AB15" s="33">
        <f>+'VZLA BFS'!AB15/'VENEZUELA USD'!$AH$3</f>
        <v>2252.2576032557881</v>
      </c>
      <c r="AC15" s="68">
        <f>IF(AB15=0,"",(Y15-AB15)/ABS(AB15))</f>
        <v>-0.84563814928405379</v>
      </c>
      <c r="AD15" s="68"/>
      <c r="AE15" s="68"/>
      <c r="AG15" s="55"/>
    </row>
    <row r="16" spans="1:35" x14ac:dyDescent="0.2">
      <c r="B16" s="3" t="s">
        <v>78</v>
      </c>
      <c r="C16" s="33">
        <f>'VZLA BFS'!C16/'VENEZUELA USD'!$AH$3</f>
        <v>0</v>
      </c>
      <c r="D16" s="35" t="str">
        <f t="shared" si="0"/>
        <v xml:space="preserve"> </v>
      </c>
      <c r="E16" s="33">
        <f>'VZLA BFS'!E16/'VENEZUELA USD'!$AH$3</f>
        <v>0</v>
      </c>
      <c r="F16" s="35">
        <f t="shared" si="1"/>
        <v>0</v>
      </c>
      <c r="G16" s="35" t="str">
        <f t="shared" si="6"/>
        <v/>
      </c>
      <c r="H16" s="63">
        <f>+'VZLA BFS'!H16/'VENEZUELA USD'!$AH$4</f>
        <v>0</v>
      </c>
      <c r="I16" s="35">
        <f t="shared" si="2"/>
        <v>0</v>
      </c>
      <c r="J16" s="35" t="str">
        <f t="shared" si="7"/>
        <v/>
      </c>
      <c r="K16" s="33">
        <f>'VZLA BFS'!K16/'VENEZUELA USD'!$AH$3</f>
        <v>0</v>
      </c>
      <c r="L16" s="35" t="str">
        <f t="shared" si="3"/>
        <v xml:space="preserve"> </v>
      </c>
      <c r="M16" s="33">
        <f>'VZLA BFS'!M16/'VENEZUELA USD'!$AH$3</f>
        <v>0</v>
      </c>
      <c r="N16" s="35"/>
      <c r="O16" s="35" t="str">
        <f t="shared" si="8"/>
        <v/>
      </c>
      <c r="P16" s="63">
        <f>+'VZLA BFS'!P16/'VENEZUELA USD'!$AH$4</f>
        <v>0</v>
      </c>
      <c r="Q16" s="35">
        <f t="shared" si="5"/>
        <v>0</v>
      </c>
      <c r="R16" s="35" t="str">
        <f t="shared" si="9"/>
        <v/>
      </c>
      <c r="S16" s="68"/>
      <c r="T16" s="3" t="s">
        <v>38</v>
      </c>
      <c r="U16" s="33">
        <f>+'VZLA BFS'!U16/'VENEZUELA USD'!$AH$3</f>
        <v>0</v>
      </c>
      <c r="V16" s="33">
        <f>+'VZLA BFS'!V16/'VENEZUELA USD'!$AH$3</f>
        <v>451.35841170323926</v>
      </c>
      <c r="W16" s="33">
        <f>+'VZLA BFS'!W16/'VENEZUELA USD'!$AH$3</f>
        <v>285.1922125061871</v>
      </c>
      <c r="X16" s="33">
        <f>+'VZLA BFS'!X16/'VENEZUELA USD'!$AH$3</f>
        <v>0</v>
      </c>
      <c r="Y16" s="33">
        <f>+'VZLA BFS'!Y16/'VENEZUELA USD'!$AH$3</f>
        <v>451.35841170323926</v>
      </c>
      <c r="Z16" s="63">
        <f>+X16-Y16</f>
        <v>-451.35841170323926</v>
      </c>
      <c r="AA16" s="68" t="str">
        <f>IF(X16=0,"",(Y16-X16)/ABS(X16)+1)</f>
        <v/>
      </c>
      <c r="AB16" s="33">
        <f>+'VZLA BFS'!AB16/'VENEZUELA USD'!$AH$3</f>
        <v>2706.3300885442445</v>
      </c>
      <c r="AC16" s="68">
        <f>IF(AB16=0,"",(Y16-AB16)/ABS(AB16))</f>
        <v>-0.83322122692504652</v>
      </c>
      <c r="AD16" s="68"/>
      <c r="AE16" s="68"/>
    </row>
    <row r="17" spans="2:35" x14ac:dyDescent="0.2">
      <c r="B17" s="3" t="s">
        <v>80</v>
      </c>
      <c r="C17" s="33">
        <f>'VZLA BFS'!C17/'VENEZUELA USD'!$AH$3</f>
        <v>0</v>
      </c>
      <c r="D17" s="35" t="str">
        <f t="shared" si="0"/>
        <v xml:space="preserve"> </v>
      </c>
      <c r="E17" s="33">
        <f>'VZLA BFS'!E17/'VENEZUELA USD'!$AH$3</f>
        <v>0</v>
      </c>
      <c r="F17" s="35">
        <f t="shared" si="1"/>
        <v>0</v>
      </c>
      <c r="G17" s="35" t="str">
        <f t="shared" si="6"/>
        <v/>
      </c>
      <c r="H17" s="63">
        <f>+'VZLA BFS'!H17/'VENEZUELA USD'!$AH$4</f>
        <v>0</v>
      </c>
      <c r="I17" s="35">
        <f t="shared" si="2"/>
        <v>0</v>
      </c>
      <c r="J17" s="35" t="str">
        <f t="shared" si="7"/>
        <v/>
      </c>
      <c r="K17" s="33">
        <f>'VZLA BFS'!K17/'VENEZUELA USD'!$AH$3</f>
        <v>0</v>
      </c>
      <c r="L17" s="35" t="str">
        <f t="shared" si="3"/>
        <v xml:space="preserve"> </v>
      </c>
      <c r="M17" s="33">
        <f>'VZLA BFS'!M17/'VENEZUELA USD'!$AH$3</f>
        <v>0</v>
      </c>
      <c r="N17" s="35"/>
      <c r="O17" s="35" t="str">
        <f t="shared" si="8"/>
        <v/>
      </c>
      <c r="P17" s="63">
        <f>+'VZLA BFS'!P17/'VENEZUELA USD'!$AH$4</f>
        <v>0</v>
      </c>
      <c r="Q17" s="35">
        <f t="shared" si="5"/>
        <v>0</v>
      </c>
      <c r="R17" s="35" t="str">
        <f t="shared" si="9"/>
        <v/>
      </c>
      <c r="S17" s="68"/>
      <c r="T17" s="3" t="s">
        <v>39</v>
      </c>
      <c r="U17" s="33">
        <f>+'VZLA BFS'!U17/'VENEZUELA USD'!$AH$3</f>
        <v>0</v>
      </c>
      <c r="V17" s="33">
        <f>+'VZLA BFS'!V17/'VENEZUELA USD'!$AH$3</f>
        <v>799.02106363086398</v>
      </c>
      <c r="W17" s="33">
        <f>+'VZLA BFS'!W17/'VENEZUELA USD'!$AH$3</f>
        <v>475.98031127976679</v>
      </c>
      <c r="X17" s="33">
        <f>+'VZLA BFS'!X17/'VENEZUELA USD'!$AH$3</f>
        <v>0</v>
      </c>
      <c r="Y17" s="33">
        <f>+'VZLA BFS'!Y17/'VENEZUELA USD'!$AH$3</f>
        <v>799.02106363086398</v>
      </c>
      <c r="Z17" s="63">
        <f>+Y17-X17</f>
        <v>799.02106363086398</v>
      </c>
      <c r="AA17" s="68" t="str">
        <f>IF(X17=0,"",(Y17-X17)/ABS(X17)+1)</f>
        <v/>
      </c>
      <c r="AB17" s="33">
        <f>+'VZLA BFS'!AB17/'VENEZUELA USD'!$AH$3</f>
        <v>4958.5876918000331</v>
      </c>
      <c r="AC17" s="68">
        <f>IF(AB17=0,"",(Y17-AB17)/ABS(AB17))</f>
        <v>-0.83886116102127284</v>
      </c>
      <c r="AD17" s="68"/>
      <c r="AE17" s="68"/>
    </row>
    <row r="18" spans="2:35" x14ac:dyDescent="0.2">
      <c r="B18" s="3" t="s">
        <v>134</v>
      </c>
      <c r="C18" s="33">
        <f>'VZLA BFS'!C18/'VENEZUELA USD'!$AH$3</f>
        <v>0</v>
      </c>
      <c r="D18" s="35" t="str">
        <f t="shared" si="0"/>
        <v xml:space="preserve"> </v>
      </c>
      <c r="E18" s="33">
        <f>'VZLA BFS'!E18/'VENEZUELA USD'!$AH$3</f>
        <v>0</v>
      </c>
      <c r="F18" s="35">
        <f t="shared" si="1"/>
        <v>0</v>
      </c>
      <c r="G18" s="35" t="str">
        <f t="shared" si="6"/>
        <v/>
      </c>
      <c r="H18" s="63">
        <f>+'VZLA BFS'!H18/'VENEZUELA USD'!$AH$4</f>
        <v>0</v>
      </c>
      <c r="I18" s="35">
        <f t="shared" si="2"/>
        <v>0</v>
      </c>
      <c r="J18" s="35" t="str">
        <f t="shared" si="7"/>
        <v/>
      </c>
      <c r="K18" s="33">
        <f>'VZLA BFS'!K18/'VENEZUELA USD'!$AH$3</f>
        <v>0</v>
      </c>
      <c r="L18" s="35" t="str">
        <f t="shared" si="3"/>
        <v xml:space="preserve"> </v>
      </c>
      <c r="M18" s="33">
        <f>'VZLA BFS'!M18/'VENEZUELA USD'!$AH$3</f>
        <v>0</v>
      </c>
      <c r="N18" s="35"/>
      <c r="O18" s="35" t="str">
        <f t="shared" si="8"/>
        <v/>
      </c>
      <c r="P18" s="63">
        <f>+'VZLA BFS'!P18/'VENEZUELA USD'!$AH$4</f>
        <v>0</v>
      </c>
      <c r="Q18" s="35">
        <f t="shared" si="5"/>
        <v>0</v>
      </c>
      <c r="R18" s="35" t="str">
        <f t="shared" si="9"/>
        <v/>
      </c>
      <c r="S18" s="68"/>
      <c r="U18" s="33">
        <f>+'VZLA BFS'!U18/'VENEZUELA USD'!$AH$3</f>
        <v>0</v>
      </c>
      <c r="AD18" s="68"/>
      <c r="AE18" s="68"/>
    </row>
    <row r="19" spans="2:35" x14ac:dyDescent="0.2">
      <c r="B19" s="3" t="s">
        <v>84</v>
      </c>
      <c r="C19" s="33">
        <f>'VZLA BFS'!C19/'VENEZUELA USD'!$AH$3</f>
        <v>0</v>
      </c>
      <c r="D19" s="35" t="str">
        <f t="shared" si="0"/>
        <v xml:space="preserve"> </v>
      </c>
      <c r="E19" s="33">
        <f>'VZLA BFS'!E19/'VENEZUELA USD'!$AH$3</f>
        <v>0</v>
      </c>
      <c r="F19" s="35">
        <f t="shared" si="1"/>
        <v>0</v>
      </c>
      <c r="G19" s="35" t="str">
        <f t="shared" si="6"/>
        <v/>
      </c>
      <c r="H19" s="63">
        <f>+'VZLA BFS'!H19/'VENEZUELA USD'!$AH$4</f>
        <v>0</v>
      </c>
      <c r="I19" s="35">
        <f t="shared" si="2"/>
        <v>0</v>
      </c>
      <c r="J19" s="35" t="str">
        <f t="shared" si="7"/>
        <v/>
      </c>
      <c r="K19" s="33">
        <f>'VZLA BFS'!K19/'VENEZUELA USD'!$AH$3</f>
        <v>0</v>
      </c>
      <c r="L19" s="35" t="str">
        <f t="shared" si="3"/>
        <v xml:space="preserve"> </v>
      </c>
      <c r="M19" s="33">
        <f>'VZLA BFS'!M19/'VENEZUELA USD'!$AH$3</f>
        <v>0</v>
      </c>
      <c r="N19" s="35"/>
      <c r="O19" s="35" t="str">
        <f t="shared" si="8"/>
        <v/>
      </c>
      <c r="P19" s="63">
        <f>+'VZLA BFS'!P19/'VENEZUELA USD'!$AH$4</f>
        <v>0</v>
      </c>
      <c r="Q19" s="35">
        <f t="shared" si="5"/>
        <v>0</v>
      </c>
      <c r="R19" s="35" t="str">
        <f t="shared" si="9"/>
        <v/>
      </c>
      <c r="S19" s="68"/>
      <c r="T19" s="3" t="s">
        <v>40</v>
      </c>
      <c r="U19" s="33">
        <f>+'VZLA BFS'!U19/'VENEZUELA USD'!$AH$3</f>
        <v>0</v>
      </c>
      <c r="V19" s="33">
        <f>+V11-V17</f>
        <v>143.92839465434747</v>
      </c>
      <c r="W19" s="33">
        <f>+'VZLA BFS'!W19/'VENEZUELA USD'!$AH$3</f>
        <v>94.538854974426656</v>
      </c>
      <c r="X19" s="33">
        <f>+'VZLA BFS'!X19/'VENEZUELA USD'!$AH$3</f>
        <v>0</v>
      </c>
      <c r="Y19" s="33">
        <f>Y11-Y17</f>
        <v>143.92839465434747</v>
      </c>
      <c r="Z19" s="63">
        <f>+Y19-X19</f>
        <v>143.92839465434747</v>
      </c>
      <c r="AA19" s="68" t="str">
        <f>IF(X19=0,"",(Y19-X19)/ABS(X19)+1)</f>
        <v/>
      </c>
      <c r="AB19" s="33">
        <f>+'VZLA BFS'!AB19/'VENEZUELA USD'!$AH$3</f>
        <v>1066.4494307869988</v>
      </c>
      <c r="AC19" s="68">
        <f>IF(AB19=0,"",(Y19-AB19)/ABS(AB19))</f>
        <v>-0.86503964416940626</v>
      </c>
      <c r="AD19" s="68"/>
      <c r="AE19" s="68"/>
      <c r="AG19" s="55"/>
    </row>
    <row r="20" spans="2:35" x14ac:dyDescent="0.2">
      <c r="B20" s="3" t="s">
        <v>41</v>
      </c>
      <c r="C20" s="33">
        <f>'VZLA BFS'!C20/'VENEZUELA USD'!$AH$3</f>
        <v>0</v>
      </c>
      <c r="D20" s="35" t="str">
        <f t="shared" si="0"/>
        <v xml:space="preserve"> </v>
      </c>
      <c r="E20" s="33">
        <f>'VZLA BFS'!E20/'VENEZUELA USD'!$AH$3</f>
        <v>3963.2277401968868</v>
      </c>
      <c r="F20" s="35">
        <f t="shared" si="1"/>
        <v>1</v>
      </c>
      <c r="G20" s="35" t="str">
        <f t="shared" si="6"/>
        <v/>
      </c>
      <c r="H20" s="63">
        <f>+'VZLA BFS'!H20/'VENEZUELA USD'!$AH$4</f>
        <v>7501.7874383597191</v>
      </c>
      <c r="I20" s="35">
        <f t="shared" si="2"/>
        <v>1</v>
      </c>
      <c r="J20" s="35">
        <f t="shared" si="7"/>
        <v>-0.47169554286072196</v>
      </c>
      <c r="K20" s="33">
        <f>'VZLA BFS'!K20/'VENEZUELA USD'!$AH$3</f>
        <v>0</v>
      </c>
      <c r="L20" s="35" t="str">
        <f t="shared" si="3"/>
        <v xml:space="preserve"> </v>
      </c>
      <c r="M20" s="33">
        <f>'VZLA BFS'!M20/'VENEZUELA USD'!$AH$3</f>
        <v>3963.2277401968868</v>
      </c>
      <c r="N20" s="35">
        <f>+M20/$M$20</f>
        <v>1</v>
      </c>
      <c r="O20" s="35" t="str">
        <f t="shared" si="8"/>
        <v/>
      </c>
      <c r="P20" s="63">
        <f>+'VZLA BFS'!P20/'VENEZUELA USD'!$AH$4</f>
        <v>7501.7874383597191</v>
      </c>
      <c r="Q20" s="35">
        <f t="shared" si="5"/>
        <v>1</v>
      </c>
      <c r="R20" s="35">
        <f t="shared" si="9"/>
        <v>-0.47169554286072196</v>
      </c>
      <c r="S20" s="68"/>
      <c r="T20" s="3"/>
      <c r="U20" s="33">
        <f>+'VZLA BFS'!U20/'VENEZUELA USD'!$AH$3</f>
        <v>0</v>
      </c>
      <c r="V20" s="33"/>
      <c r="W20" s="33"/>
      <c r="X20" s="33"/>
      <c r="Y20" s="33"/>
      <c r="Z20" s="63"/>
      <c r="AA20" s="68"/>
      <c r="AB20" s="33"/>
      <c r="AC20" s="68" t="str">
        <f>IF(AB20=0,"",(Y20-AB20)/ABS(AB20))</f>
        <v/>
      </c>
      <c r="AD20" s="68"/>
      <c r="AE20" s="68"/>
      <c r="AI20" s="109"/>
    </row>
    <row r="21" spans="2:35" x14ac:dyDescent="0.2">
      <c r="E21" s="33">
        <f>'VZLA BFS'!E21/'VENEZUELA USD'!$AH$3</f>
        <v>0</v>
      </c>
      <c r="G21" s="35" t="str">
        <f t="shared" si="6"/>
        <v/>
      </c>
      <c r="H21" s="63">
        <f>+'VZLA BFS'!H21/'VENEZUELA USD'!$AH$4</f>
        <v>0</v>
      </c>
      <c r="L21" s="35" t="str">
        <f t="shared" si="3"/>
        <v xml:space="preserve"> </v>
      </c>
      <c r="M21" s="33">
        <f>'VZLA BFS'!M21/'VENEZUELA USD'!$AH$3</f>
        <v>0</v>
      </c>
      <c r="O21" s="35" t="str">
        <f t="shared" si="8"/>
        <v/>
      </c>
      <c r="P21" s="63">
        <f>+'VZLA BFS'!P21/'VENEZUELA USD'!$AH$4</f>
        <v>0</v>
      </c>
      <c r="Q21" s="35">
        <f t="shared" si="5"/>
        <v>0</v>
      </c>
      <c r="R21" s="35" t="str">
        <f t="shared" si="9"/>
        <v/>
      </c>
      <c r="S21" s="68"/>
      <c r="T21" s="3" t="s">
        <v>42</v>
      </c>
      <c r="U21" s="33">
        <f>+'VZLA BFS'!U21/'VENEZUELA USD'!$AH$3</f>
        <v>0</v>
      </c>
      <c r="V21" s="33">
        <f>+V10+V19</f>
        <v>800.76445031072979</v>
      </c>
      <c r="W21" s="33">
        <f>+'VZLA BFS'!W21/'VENEZUELA USD'!$AH$3</f>
        <v>601.26766760160581</v>
      </c>
      <c r="X21" s="33">
        <f>+'VZLA BFS'!X21/'VENEZUELA USD'!$AH$3</f>
        <v>650.75070120442172</v>
      </c>
      <c r="Y21" s="33">
        <f>+Y10+Y19</f>
        <v>800.76445031072979</v>
      </c>
      <c r="Z21" s="63">
        <f>+Y21-X21</f>
        <v>150.01374910630807</v>
      </c>
      <c r="AA21" s="68">
        <f>IF(X21=0,"",(Y21-X21)/ABS(X21)+1)</f>
        <v>1.2305241451582916</v>
      </c>
      <c r="AB21" s="33">
        <f>+'VZLA BFS'!AB21/'VENEZUELA USD'!$AH$3</f>
        <v>1764.8462849914754</v>
      </c>
      <c r="AC21" s="68">
        <f>IF(AB21=0,"",(Y21-AB21)/ABS(AB21))</f>
        <v>-0.54626957762806083</v>
      </c>
      <c r="AD21" s="68"/>
      <c r="AE21" s="68"/>
      <c r="AG21" s="55"/>
    </row>
    <row r="22" spans="2:35" x14ac:dyDescent="0.2">
      <c r="B22" s="3" t="s">
        <v>43</v>
      </c>
      <c r="C22" s="33">
        <f>'VZLA BFS'!C21/'VENEZUELA USD'!$AH$3</f>
        <v>0</v>
      </c>
      <c r="D22" s="35" t="str">
        <f>IF(DD30&lt;=0," ",C22/$C$20)</f>
        <v xml:space="preserve"> </v>
      </c>
      <c r="E22" s="33">
        <f>'VZLA BFS'!E22/'VENEZUELA USD'!$AH$3</f>
        <v>0</v>
      </c>
      <c r="F22" s="35">
        <f>+E22/$E$20</f>
        <v>0</v>
      </c>
      <c r="G22" s="35" t="str">
        <f t="shared" si="6"/>
        <v/>
      </c>
      <c r="H22" s="63">
        <f>+'VZLA BFS'!H22/'VENEZUELA USD'!$AH$4</f>
        <v>0</v>
      </c>
      <c r="I22" s="35">
        <f>IF($H$20&lt;=0," ",H22/$H$20)</f>
        <v>0</v>
      </c>
      <c r="J22" s="35" t="str">
        <f>IF(E22=0,"",(E22-H22)/ABS(H22))</f>
        <v/>
      </c>
      <c r="K22" s="33">
        <f>'VZLA BFS'!K21/'VENEZUELA USD'!$AH$3</f>
        <v>0</v>
      </c>
      <c r="L22" s="35" t="str">
        <f t="shared" si="3"/>
        <v xml:space="preserve"> </v>
      </c>
      <c r="M22" s="33">
        <f>'VZLA BFS'!M22/'VENEZUELA USD'!$AH$3</f>
        <v>0</v>
      </c>
      <c r="N22" s="35">
        <f>+M22/$M$20</f>
        <v>0</v>
      </c>
      <c r="O22" s="35" t="str">
        <f t="shared" si="8"/>
        <v/>
      </c>
      <c r="P22" s="63">
        <f>+'VZLA BFS'!P22/'VENEZUELA USD'!$AH$4</f>
        <v>0</v>
      </c>
      <c r="Q22" s="35">
        <f t="shared" si="5"/>
        <v>0</v>
      </c>
      <c r="R22" s="35" t="str">
        <f t="shared" si="9"/>
        <v/>
      </c>
      <c r="S22" s="68"/>
      <c r="U22" s="33">
        <f>+'VZLA BFS'!U22/'VENEZUELA USD'!$AH$3</f>
        <v>0</v>
      </c>
      <c r="AD22" s="68"/>
      <c r="AE22" s="68"/>
    </row>
    <row r="23" spans="2:35" x14ac:dyDescent="0.2">
      <c r="E23" s="33">
        <f>'VZLA BFS'!E23/'VENEZUELA USD'!$AH$3</f>
        <v>0</v>
      </c>
      <c r="H23" s="63">
        <f>+'VZLA BFS'!H23/'VENEZUELA USD'!$AH$4</f>
        <v>0</v>
      </c>
      <c r="M23" s="33">
        <f>'VZLA BFS'!M23/'VENEZUELA USD'!$AH$3</f>
        <v>0</v>
      </c>
      <c r="P23" s="63">
        <f>+'VZLA BFS'!P23/'VENEZUELA USD'!$AH$4</f>
        <v>0</v>
      </c>
      <c r="S23" s="68"/>
      <c r="T23" s="3" t="s">
        <v>44</v>
      </c>
      <c r="U23" s="33">
        <f>+'VZLA BFS'!U23/'VENEZUELA USD'!$AH$3</f>
        <v>0</v>
      </c>
      <c r="V23" s="33"/>
      <c r="W23" s="33"/>
      <c r="X23" s="33"/>
      <c r="Y23" s="33"/>
      <c r="Z23" s="63">
        <f>+Y23-X23</f>
        <v>0</v>
      </c>
      <c r="AA23" s="68" t="str">
        <f>IF(X23=0,"",(Y23-X23)/ABS(X23)+1)</f>
        <v/>
      </c>
      <c r="AB23" s="33">
        <v>0</v>
      </c>
      <c r="AC23" s="68" t="str">
        <f>IF(AB23=0,"",(Y23-AB23)/ABS(AB23))</f>
        <v/>
      </c>
      <c r="AD23" s="68"/>
      <c r="AE23" s="68"/>
    </row>
    <row r="24" spans="2:35" x14ac:dyDescent="0.2">
      <c r="B24" s="3" t="s">
        <v>45</v>
      </c>
      <c r="C24" s="33">
        <f>'VZLA BFS'!C22/'VENEZUELA USD'!$AH$3</f>
        <v>0</v>
      </c>
      <c r="D24" s="35" t="str">
        <f>IF(DD31&lt;=0," ",C24/$C$20)</f>
        <v xml:space="preserve"> </v>
      </c>
      <c r="E24" s="33">
        <f>'VZLA BFS'!E24/'VENEZUELA USD'!$AH$3</f>
        <v>3963.2277401968868</v>
      </c>
      <c r="F24" s="35">
        <f>+E24/$E$20</f>
        <v>1</v>
      </c>
      <c r="G24" s="35" t="str">
        <f>IF(C24=0,"",(E24-C24)/ABS(C24)+1)</f>
        <v/>
      </c>
      <c r="H24" s="63">
        <f>+'VZLA BFS'!H24/'VENEZUELA USD'!$AH$4</f>
        <v>7501.7874383597191</v>
      </c>
      <c r="I24" s="35">
        <f>IF($H$20&lt;=0," ",H24/$H$20)</f>
        <v>1</v>
      </c>
      <c r="J24" s="35">
        <f>IF(E24=0,"",(E24-H24)/ABS(H24))</f>
        <v>-0.47169554286072196</v>
      </c>
      <c r="K24" s="33">
        <f>'VZLA BFS'!K22/'VENEZUELA USD'!$AH$3</f>
        <v>0</v>
      </c>
      <c r="L24" s="35" t="str">
        <f>IF($K$20&lt;=0," ",K24/$K$20)</f>
        <v xml:space="preserve"> </v>
      </c>
      <c r="M24" s="33">
        <f>'VZLA BFS'!M24/'VENEZUELA USD'!$AH$3</f>
        <v>3963.2277401968868</v>
      </c>
      <c r="N24" s="35">
        <f>+M24/$M$20</f>
        <v>1</v>
      </c>
      <c r="O24" s="35" t="str">
        <f>IF(K24=0,"",(M24-K24)/ABS(K24)+1)</f>
        <v/>
      </c>
      <c r="P24" s="63">
        <f>+'VZLA BFS'!P24/'VENEZUELA USD'!$AH$4</f>
        <v>7501.7874383597191</v>
      </c>
      <c r="Q24" s="35">
        <f>IF($P$20&lt;=0," ",P24/$P$20)</f>
        <v>1</v>
      </c>
      <c r="R24" s="35">
        <f>IF(M24=0,"",(M24-P24)/ABS(P24))</f>
        <v>-0.47169554286072196</v>
      </c>
      <c r="S24" s="68"/>
      <c r="U24" s="33">
        <f>+'VZLA BFS'!U24/'VENEZUELA USD'!$AH$3</f>
        <v>0</v>
      </c>
      <c r="AD24" s="68"/>
      <c r="AE24" s="68"/>
    </row>
    <row r="25" spans="2:35" x14ac:dyDescent="0.2">
      <c r="E25" s="33">
        <f>'VZLA BFS'!E25/'VENEZUELA USD'!$AH$3</f>
        <v>0</v>
      </c>
      <c r="H25" s="63">
        <f>+'VZLA BFS'!H25/'VENEZUELA USD'!$AH$4</f>
        <v>0</v>
      </c>
      <c r="M25" s="33">
        <f>'VZLA BFS'!M25/'VENEZUELA USD'!$AH$3</f>
        <v>0</v>
      </c>
      <c r="P25" s="63">
        <f>+'VZLA BFS'!P25/'VENEZUELA USD'!$AH$4</f>
        <v>0</v>
      </c>
      <c r="S25" s="68"/>
      <c r="T25" s="3" t="s">
        <v>46</v>
      </c>
      <c r="U25" s="33">
        <f>+'VZLA BFS'!U25/'VENEZUELA USD'!$AH$3</f>
        <v>0</v>
      </c>
      <c r="V25" s="33">
        <v>1736.09</v>
      </c>
      <c r="W25" s="33">
        <f>+'VZLA BFS'!W25/'VENEZUELA USD'!$AH$3</f>
        <v>58.969916955397892</v>
      </c>
      <c r="X25" s="33">
        <f>+'VZLA BFS'!X25/'VENEZUELA USD'!$AH$3</f>
        <v>0</v>
      </c>
      <c r="Y25" s="33">
        <f>+'VZLA BFS'!Y25/'VENEZUELA USD'!$AH$3</f>
        <v>77.355221910575807</v>
      </c>
      <c r="Z25" s="63">
        <f>+Y25-X25</f>
        <v>77.355221910575807</v>
      </c>
      <c r="AA25" s="68" t="str">
        <f>IF(X25=0,"",(Y25-X25)/ABS(X25)+1)</f>
        <v/>
      </c>
      <c r="AB25" s="33">
        <f>+'VZLA BFS'!AB25/'VENEZUELA USD'!$AH$3</f>
        <v>1160.408073475224</v>
      </c>
      <c r="AC25" s="68">
        <f>IF(AB25=0,"",(Y25-AB25)/ABS(AB25))</f>
        <v>-0.93333791475708183</v>
      </c>
    </row>
    <row r="26" spans="2:35" x14ac:dyDescent="0.2">
      <c r="B26" s="3" t="s">
        <v>47</v>
      </c>
      <c r="C26" s="33">
        <f>'VZLA BFS'!C23/'VENEZUELA USD'!$AH$3</f>
        <v>0</v>
      </c>
      <c r="D26" s="35" t="str">
        <f>IF(DD32&lt;=0," ",C26/$C$20)</f>
        <v xml:space="preserve"> </v>
      </c>
      <c r="E26" s="33">
        <f>'VZLA BFS'!E26/'VENEZUELA USD'!$AH$3</f>
        <v>29.95374800637958</v>
      </c>
      <c r="F26" s="35">
        <f>+E26/$E$20</f>
        <v>7.5579174273975799E-3</v>
      </c>
      <c r="G26" s="35" t="str">
        <f>IF(C26=0,"",(E26-C26)/ABS(C26)+1)</f>
        <v/>
      </c>
      <c r="H26" s="63">
        <f>+'VZLA BFS'!H26/'VENEZUELA USD'!$AH$4</f>
        <v>108.00596937451337</v>
      </c>
      <c r="I26" s="35">
        <f>IF($H$20&lt;=0," ",H26/$H$20)</f>
        <v>1.439736466301811E-2</v>
      </c>
      <c r="J26" s="35">
        <f>IF(E26=0,"",(E26-H26)/ABS(H26))</f>
        <v>-0.72266581023393051</v>
      </c>
      <c r="K26" s="33">
        <f>'VZLA BFS'!K23/'VENEZUELA USD'!$AH$3</f>
        <v>0</v>
      </c>
      <c r="L26" s="35" t="str">
        <f>IF($K$20&lt;=0," ",K26/$K$20)</f>
        <v xml:space="preserve"> </v>
      </c>
      <c r="M26" s="33">
        <f>'VZLA BFS'!M26/'VENEZUELA USD'!$AH$3</f>
        <v>29.95374800637958</v>
      </c>
      <c r="N26" s="35">
        <f>+M26/$M$20</f>
        <v>7.5579174273975799E-3</v>
      </c>
      <c r="O26" s="35" t="str">
        <f>IF(K26=0,"",(M26-K26)/ABS(K26)+1)</f>
        <v/>
      </c>
      <c r="P26" s="63">
        <f>+'VZLA BFS'!P26/'VENEZUELA USD'!$AH$4</f>
        <v>108.00596937451337</v>
      </c>
      <c r="Q26" s="35">
        <f>IF($P$20&lt;=0," ",P26/$P$20)</f>
        <v>1.439736466301811E-2</v>
      </c>
      <c r="R26" s="35">
        <f>IF(M26=0,"",(M26-P26)/ABS(P26))</f>
        <v>-0.72266581023393051</v>
      </c>
      <c r="S26" s="68"/>
      <c r="U26" s="33">
        <f>+'VZLA BFS'!U26/'VENEZUELA USD'!$AH$3</f>
        <v>0</v>
      </c>
    </row>
    <row r="27" spans="2:35" x14ac:dyDescent="0.2">
      <c r="B27" s="3" t="s">
        <v>48</v>
      </c>
      <c r="C27" s="33">
        <f>'VZLA BFS'!C24/'VENEZUELA USD'!$AH$3</f>
        <v>0</v>
      </c>
      <c r="D27" s="35" t="str">
        <f>IF(DD33&lt;=0," ",C27/$C$20)</f>
        <v xml:space="preserve"> </v>
      </c>
      <c r="E27" s="33">
        <f>'VZLA BFS'!E27/'VENEZUELA USD'!$AH$3</f>
        <v>1092.7845240059396</v>
      </c>
      <c r="F27" s="35">
        <f>+E27/$E$20</f>
        <v>0.27573094347377874</v>
      </c>
      <c r="G27" s="35" t="str">
        <f>IF(C27=0,"",(E27-C27)/ABS(C27)+1)</f>
        <v/>
      </c>
      <c r="H27" s="63">
        <f>+'VZLA BFS'!H27/'VENEZUELA USD'!$AH$4</f>
        <v>1653.866337918505</v>
      </c>
      <c r="I27" s="35">
        <f>IF($H$20&lt;=0," ",H27/$H$20)</f>
        <v>0.22046296985990396</v>
      </c>
      <c r="J27" s="35">
        <f>IF(E27=0,"",(E27-H27)/ABS(H27))</f>
        <v>-0.33925463082991469</v>
      </c>
      <c r="K27" s="33">
        <f>'VZLA BFS'!K24/'VENEZUELA USD'!$AH$3</f>
        <v>0</v>
      </c>
      <c r="L27" s="35" t="str">
        <f>IF($K$20&lt;=0," ",K27/$K$20)</f>
        <v xml:space="preserve"> </v>
      </c>
      <c r="M27" s="33">
        <f>'VZLA BFS'!M27/'VENEZUELA USD'!$AH$3</f>
        <v>1092.7845240059396</v>
      </c>
      <c r="N27" s="35">
        <f>+M27/$M$20</f>
        <v>0.27573094347377874</v>
      </c>
      <c r="O27" s="35" t="str">
        <f>IF(K27=0,"",(M27-K27)/ABS(K27)+1)</f>
        <v/>
      </c>
      <c r="P27" s="63">
        <f>+'VZLA BFS'!P27/'VENEZUELA USD'!$AH$4</f>
        <v>1653.866337918505</v>
      </c>
      <c r="Q27" s="35">
        <f>IF($P$20&lt;=0," ",P27/$P$20)</f>
        <v>0.22046296985990396</v>
      </c>
      <c r="R27" s="35">
        <f>IF(M27=0,"",(M27-P27)/ABS(P27))</f>
        <v>-0.33925463082991469</v>
      </c>
      <c r="S27" s="68"/>
      <c r="T27" s="3" t="s">
        <v>49</v>
      </c>
      <c r="U27" s="33">
        <f>+'VZLA BFS'!U27/'VENEZUELA USD'!$AH$3</f>
        <v>0</v>
      </c>
      <c r="V27" s="33"/>
      <c r="W27" s="33"/>
      <c r="X27" s="33">
        <f>+'VZLA BFS'!X27/'VENEZUELA USD'!$AH$3</f>
        <v>0</v>
      </c>
      <c r="Y27" s="33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3">
        <f>+'VZLA BFS'!AB27/'VENEZUELA USD'!$AH$3</f>
        <v>0</v>
      </c>
      <c r="AC27" s="68" t="str">
        <f>IF(AB27=0,"",(Y27-AB27)/ABS(AB27))</f>
        <v/>
      </c>
    </row>
    <row r="28" spans="2:35" x14ac:dyDescent="0.2">
      <c r="B28" s="3" t="s">
        <v>50</v>
      </c>
      <c r="C28" s="33">
        <f>'VZLA BFS'!C25/'VENEZUELA USD'!$AH$3</f>
        <v>0</v>
      </c>
      <c r="D28" s="35" t="str">
        <f>IF(DD34&lt;=0," ",C28/$C$20)</f>
        <v xml:space="preserve"> </v>
      </c>
      <c r="E28" s="33">
        <f>'VZLA BFS'!E28/'VENEZUELA USD'!$AH$3</f>
        <v>1122.7382720123192</v>
      </c>
      <c r="F28" s="35">
        <f>+E28/$E$20</f>
        <v>0.28328886090117633</v>
      </c>
      <c r="G28" s="35" t="str">
        <f>IF(C28=0,"",(E28-C28)/ABS(C28)+1)</f>
        <v/>
      </c>
      <c r="H28" s="63">
        <f>+'VZLA BFS'!H28/'VENEZUELA USD'!$AH$4</f>
        <v>1761.8723072930184</v>
      </c>
      <c r="I28" s="35">
        <f>IF($H$20&lt;=0," ",H28/$H$20)</f>
        <v>0.2348603345229221</v>
      </c>
      <c r="J28" s="35">
        <f>IF(E28=0,"",(E28-H28)/ABS(H28))</f>
        <v>-0.36275843183135081</v>
      </c>
      <c r="K28" s="33">
        <f>'VZLA BFS'!K25/'VENEZUELA USD'!$AH$3</f>
        <v>0</v>
      </c>
      <c r="L28" s="35" t="str">
        <f>IF($K$20&lt;=0," ",K28/$K$20)</f>
        <v xml:space="preserve"> </v>
      </c>
      <c r="M28" s="33">
        <f>'VZLA BFS'!M28/'VENEZUELA USD'!$AH$3</f>
        <v>1122.7382720123192</v>
      </c>
      <c r="N28" s="35">
        <f>+M28/$M$20</f>
        <v>0.28328886090117633</v>
      </c>
      <c r="O28" s="35" t="str">
        <f>IF(K28=0,"",(M28-K28)/ABS(K28)+1)</f>
        <v/>
      </c>
      <c r="P28" s="63">
        <f>+'VZLA BFS'!P28/'VENEZUELA USD'!$AH$4</f>
        <v>1761.8723072930184</v>
      </c>
      <c r="Q28" s="35">
        <f>IF($P$20&lt;=0," ",P28/$P$20)</f>
        <v>0.2348603345229221</v>
      </c>
      <c r="R28" s="35">
        <f>IF(M28=0,"",(M28-P28)/ABS(P28))</f>
        <v>-0.36275843183135081</v>
      </c>
      <c r="S28" s="68"/>
      <c r="T28" s="3" t="s">
        <v>51</v>
      </c>
      <c r="U28" s="33">
        <f>+'VZLA BFS'!U28/'VENEZUELA USD'!$AH$3</f>
        <v>0</v>
      </c>
      <c r="V28" s="33"/>
      <c r="W28" s="33"/>
      <c r="X28" s="33"/>
      <c r="Y28" s="33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3">
        <f>+'VZLA BFS'!AB28/'VENEZUELA USD'!$AH$3</f>
        <v>0</v>
      </c>
      <c r="AC28" s="68" t="str">
        <f>IF(AB28=0,"",(Y28-AB28)/ABS(AB28))</f>
        <v/>
      </c>
    </row>
    <row r="29" spans="2:35" x14ac:dyDescent="0.2">
      <c r="E29" s="33">
        <f>'VZLA BFS'!E29/'VENEZUELA USD'!$AH$3</f>
        <v>0</v>
      </c>
      <c r="H29" s="63">
        <f>+'VZLA BFS'!H29/'VENEZUELA USD'!$AH$4</f>
        <v>0</v>
      </c>
      <c r="M29" s="33">
        <f>'VZLA BFS'!M29/'VENEZUELA USD'!$AH$3</f>
        <v>0</v>
      </c>
      <c r="P29" s="63">
        <f>+'VZLA BFS'!P29/'VENEZUELA USD'!$AH$4</f>
        <v>0</v>
      </c>
      <c r="S29" s="68"/>
      <c r="U29" s="33">
        <f>+'VZLA BFS'!U29/'VENEZUELA USD'!$AH$3</f>
        <v>0</v>
      </c>
    </row>
    <row r="30" spans="2:35" x14ac:dyDescent="0.2">
      <c r="B30" s="3" t="s">
        <v>52</v>
      </c>
      <c r="C30" s="33">
        <f>'VZLA BFS'!C26/'VENEZUELA USD'!$AH$3</f>
        <v>0</v>
      </c>
      <c r="D30" s="35" t="str">
        <f>IF(DD35&lt;=0," ",C30/$C$20)</f>
        <v xml:space="preserve"> </v>
      </c>
      <c r="E30" s="33">
        <f>'VZLA BFS'!E30/'VENEZUELA USD'!$AH$3</f>
        <v>1328.1418907770992</v>
      </c>
      <c r="F30" s="35">
        <f>+E30/$E$20</f>
        <v>0.33511621785103857</v>
      </c>
      <c r="G30" s="35" t="str">
        <f>IF(C30=0,"",(E30-C30)/ABS(C30)+1)</f>
        <v/>
      </c>
      <c r="H30" s="63">
        <f>+'VZLA BFS'!H30/'VENEZUELA USD'!$AH$4</f>
        <v>4080.0667012717363</v>
      </c>
      <c r="I30" s="35">
        <f>IF($H$20&lt;=0," ",H30/$H$20)</f>
        <v>0.54387927341271758</v>
      </c>
      <c r="J30" s="35">
        <f>IF(E30=0,"",(E30-H30)/ABS(H30))</f>
        <v>-0.67448034847981186</v>
      </c>
      <c r="K30" s="33">
        <f>'VZLA BFS'!K26/'VENEZUELA USD'!$AH$3</f>
        <v>0</v>
      </c>
      <c r="L30" s="35" t="str">
        <f>IF($K$20&lt;=0," ",K30/$K$20)</f>
        <v xml:space="preserve"> </v>
      </c>
      <c r="M30" s="33">
        <f>'VZLA BFS'!M30/'VENEZUELA USD'!$AH$3</f>
        <v>1328.1418907770992</v>
      </c>
      <c r="N30" s="35">
        <f>+M30/$M$20</f>
        <v>0.33511621785103857</v>
      </c>
      <c r="O30" s="35" t="str">
        <f>IF(K30=0,"",(M30-K30)/ABS(K30)+1)</f>
        <v/>
      </c>
      <c r="P30" s="63">
        <f>+'VZLA BFS'!P30/'VENEZUELA USD'!$AH$4</f>
        <v>4080.0667012717363</v>
      </c>
      <c r="Q30" s="35">
        <f>IF($P$20&lt;=0," ",P30/$P$20)</f>
        <v>0.54387927341271758</v>
      </c>
      <c r="R30" s="35">
        <f>IF(M30=0,"",(M30-P30)/ABS(P30))</f>
        <v>-0.67448034847981186</v>
      </c>
      <c r="S30" s="68"/>
      <c r="T30" s="3" t="s">
        <v>53</v>
      </c>
      <c r="U30" s="33">
        <f>+'VZLA BFS'!U30/'VENEZUELA USD'!$AH$3</f>
        <v>0</v>
      </c>
      <c r="V30" s="33">
        <f>+V21-V25-V23+V27</f>
        <v>-935.32554968927013</v>
      </c>
      <c r="W30" s="33">
        <f>+W21-W25-W23+W27</f>
        <v>542.29775064620787</v>
      </c>
      <c r="X30" s="33">
        <f>+X21-X25-X23-X27</f>
        <v>650.75070120442172</v>
      </c>
      <c r="Y30" s="33">
        <f>+Y21-Y25-Y23+Y27</f>
        <v>723.40922840015401</v>
      </c>
      <c r="Z30" s="63">
        <f>+Y30-X30</f>
        <v>72.65852719573229</v>
      </c>
      <c r="AA30" s="68" t="str">
        <f>IF(U30=0,"",(V30-U30)/ABS(U30)+1)</f>
        <v/>
      </c>
      <c r="AB30" s="33">
        <f>+AB21-AB25-AB23-AB27</f>
        <v>604.43821151625139</v>
      </c>
      <c r="AC30" s="68">
        <f>IF(AB30=0,"",(Y30-AB30)/ABS(AB30))</f>
        <v>0.19682907965970625</v>
      </c>
    </row>
    <row r="31" spans="2:35" x14ac:dyDescent="0.2">
      <c r="B31" s="3" t="s">
        <v>54</v>
      </c>
      <c r="C31" s="33">
        <f>'VZLA BFS'!C27/'VENEZUELA USD'!$AH$3</f>
        <v>0</v>
      </c>
      <c r="D31" s="35" t="str">
        <f>IF(DD36&lt;=0," ",C31/$C$20)</f>
        <v xml:space="preserve"> </v>
      </c>
      <c r="E31" s="33">
        <f>'VZLA BFS'!E31/'VENEZUELA USD'!$AH$3</f>
        <v>1161.5107518011328</v>
      </c>
      <c r="F31" s="35">
        <f>+E31/$E$20</f>
        <v>0.29307191711961289</v>
      </c>
      <c r="G31" s="35" t="str">
        <f>IF(C31=0,"",(E31-C31)/ABS(C31)+1)</f>
        <v/>
      </c>
      <c r="H31" s="63">
        <f>+'VZLA BFS'!H31/'VENEZUELA USD'!$AH$4</f>
        <v>1712.9987023098884</v>
      </c>
      <c r="I31" s="35">
        <f>IF($H$20&lt;=0," ",H31/$H$20)</f>
        <v>0.22834540652946558</v>
      </c>
      <c r="J31" s="35">
        <f>IF(E31=0,"",(E31-H31)/ABS(H31))</f>
        <v>-0.32194300542382387</v>
      </c>
      <c r="K31" s="33">
        <f>'VZLA BFS'!K27/'VENEZUELA USD'!$AH$3</f>
        <v>0</v>
      </c>
      <c r="L31" s="35" t="str">
        <f>IF($K$20&lt;=0," ",K31/$K$20)</f>
        <v xml:space="preserve"> </v>
      </c>
      <c r="M31" s="33">
        <f>'VZLA BFS'!M31/'VENEZUELA USD'!$AH$3</f>
        <v>1161.5107518011328</v>
      </c>
      <c r="N31" s="35">
        <f>+M31/$M$20</f>
        <v>0.29307191711961289</v>
      </c>
      <c r="O31" s="35" t="str">
        <f>IF(K31=0,"",(M31-K31)/ABS(K31)+1)</f>
        <v/>
      </c>
      <c r="P31" s="63">
        <f>+'VZLA BFS'!P31/'VENEZUELA USD'!$AH$4</f>
        <v>1712.9987023098884</v>
      </c>
      <c r="Q31" s="35">
        <f>IF($P$20&lt;=0," ",P31/$P$20)</f>
        <v>0.22834540652946558</v>
      </c>
      <c r="R31" s="35">
        <f>IF(M31=0,"",(M31-P31)/ABS(P31))</f>
        <v>-0.32194300542382387</v>
      </c>
      <c r="S31" s="68"/>
      <c r="T31" s="68"/>
      <c r="U31" s="58"/>
    </row>
    <row r="32" spans="2:35" x14ac:dyDescent="0.2">
      <c r="B32" s="3" t="s">
        <v>55</v>
      </c>
      <c r="C32" s="33">
        <f>'VZLA BFS'!C28/'VENEZUELA USD'!$AH$3</f>
        <v>0</v>
      </c>
      <c r="D32" s="35" t="str">
        <f>IF(DD37&lt;=0," ",C32/$C$20)</f>
        <v xml:space="preserve"> </v>
      </c>
      <c r="E32" s="33">
        <f>'VZLA BFS'!E32/'VENEZUELA USD'!$AH$3</f>
        <v>2489.6526425782322</v>
      </c>
      <c r="F32" s="35">
        <f>+E32/$E$20</f>
        <v>0.62818813497065151</v>
      </c>
      <c r="G32" s="35" t="str">
        <f>IF(C32=0,"",(E32-C32)/ABS(C32)+1)</f>
        <v/>
      </c>
      <c r="H32" s="63">
        <f>+'VZLA BFS'!H32/'VENEZUELA USD'!$AH$4</f>
        <v>5793.0654035816242</v>
      </c>
      <c r="I32" s="35">
        <f>IF($H$20&lt;=0," ",H32/$H$20)</f>
        <v>0.77222467994218313</v>
      </c>
      <c r="J32" s="35">
        <f>IF(E32=0,"",(E32-H32)/ABS(H32))</f>
        <v>-0.57023570957114034</v>
      </c>
      <c r="K32" s="33">
        <f>'VZLA BFS'!K28/'VENEZUELA USD'!$AH$3</f>
        <v>0</v>
      </c>
      <c r="L32" s="35" t="str">
        <f>IF($K$20&lt;=0," ",K32/$K$20)</f>
        <v xml:space="preserve"> </v>
      </c>
      <c r="M32" s="33">
        <f>'VZLA BFS'!M32/'VENEZUELA USD'!$AH$3</f>
        <v>2489.6526425782322</v>
      </c>
      <c r="N32" s="35">
        <f>+M32/$M$20</f>
        <v>0.62818813497065151</v>
      </c>
      <c r="O32" s="35" t="str">
        <f>IF(K32=0,"",(M32-K32)/ABS(K32)+1)</f>
        <v/>
      </c>
      <c r="P32" s="63">
        <f>+'VZLA BFS'!P32/'VENEZUELA USD'!$AH$4</f>
        <v>5793.0654035816242</v>
      </c>
      <c r="Q32" s="35">
        <f>IF($P$20&lt;=0," ",P32/$P$20)</f>
        <v>0.77222467994218313</v>
      </c>
      <c r="R32" s="35">
        <f>IF(M32=0,"",(M32-P32)/ABS(P32))</f>
        <v>-0.57023570957114034</v>
      </c>
      <c r="S32" s="68"/>
    </row>
    <row r="33" spans="2:51" x14ac:dyDescent="0.2">
      <c r="E33" s="33">
        <f>'VZLA BFS'!E33/'VENEZUELA USD'!$AH$3</f>
        <v>0</v>
      </c>
      <c r="H33" s="63">
        <f>+'VZLA BFS'!H33/'VENEZUELA USD'!$AH$4</f>
        <v>0</v>
      </c>
      <c r="M33" s="33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56</v>
      </c>
      <c r="C34" s="33">
        <f>'VZLA BFS'!C29/'VENEZUELA USD'!$AH$3</f>
        <v>0</v>
      </c>
      <c r="D34" s="35" t="str">
        <f>IF(DD38&lt;=0," ",C34/$C$20)</f>
        <v xml:space="preserve"> </v>
      </c>
      <c r="E34" s="33">
        <f>'VZLA BFS'!E34/'VENEZUELA USD'!$AH$3</f>
        <v>3612.3909145905513</v>
      </c>
      <c r="F34" s="35">
        <f>+E34/$E$20</f>
        <v>0.91147699587182784</v>
      </c>
      <c r="G34" s="35" t="str">
        <f>IF(C34=0,"",(E34-C34)/ABS(C34)+1)</f>
        <v/>
      </c>
      <c r="H34" s="63">
        <f>+'VZLA BFS'!H34/'VENEZUELA USD'!$AH$4</f>
        <v>7554.937710874643</v>
      </c>
      <c r="I34" s="35">
        <f>IF($H$20&lt;=0," ",H34/$H$20)</f>
        <v>1.0070850144651053</v>
      </c>
      <c r="J34" s="35">
        <f>IF(E34=0,"",(E34-H34)/ABS(H34))</f>
        <v>-0.52185033777434797</v>
      </c>
      <c r="K34" s="33">
        <f>'VZLA BFS'!K29/'VENEZUELA USD'!$AH$3</f>
        <v>0</v>
      </c>
      <c r="L34" s="35" t="str">
        <f>IF($K$20&lt;=0," ",K34/$K$20)</f>
        <v xml:space="preserve"> </v>
      </c>
      <c r="M34" s="33">
        <f>'VZLA BFS'!M34/'VENEZUELA USD'!$AH$3</f>
        <v>3612.3909145905513</v>
      </c>
      <c r="N34" s="35">
        <f>+M34/$M$20</f>
        <v>0.91147699587182784</v>
      </c>
      <c r="O34" s="35" t="str">
        <f>IF(K34=0,"",(M34-K34)/ABS(K34)+1)</f>
        <v/>
      </c>
      <c r="P34" s="63">
        <f>+'VZLA BFS'!P34/'VENEZUELA USD'!$AH$4</f>
        <v>7554.937710874643</v>
      </c>
      <c r="Q34" s="35">
        <f>IF($P$20&lt;=0," ",P34/$P$20)</f>
        <v>1.0070850144651053</v>
      </c>
      <c r="R34" s="35">
        <f>IF(M34=0,"",(M34-P34)/ABS(P34))</f>
        <v>-0.52185033777434797</v>
      </c>
      <c r="S34" s="68"/>
      <c r="AL34" s="79" t="s">
        <v>140</v>
      </c>
      <c r="AT34" s="79" t="s">
        <v>141</v>
      </c>
    </row>
    <row r="35" spans="2:51" ht="15" x14ac:dyDescent="0.25">
      <c r="E35" s="33">
        <f>'VZLA BFS'!E35/'VENEZUELA USD'!$AH$3</f>
        <v>0</v>
      </c>
      <c r="H35" s="63">
        <f>+'VZLA BFS'!H35/'VENEZUELA USD'!$AH$4</f>
        <v>0</v>
      </c>
      <c r="M35" s="33">
        <f>'VZLA BFS'!M35/'VENEZUELA USD'!$AH$3</f>
        <v>0</v>
      </c>
      <c r="P35" s="63">
        <f>+'VZLA BFS'!P35/'VENEZUELA USD'!$AH$4</f>
        <v>0</v>
      </c>
      <c r="S35" s="68"/>
      <c r="AL35" s="110" t="s">
        <v>6</v>
      </c>
      <c r="AM35" s="111">
        <v>1788641</v>
      </c>
      <c r="AN35"/>
      <c r="AO35"/>
      <c r="AP35"/>
      <c r="AQ35"/>
      <c r="AT35" s="110" t="s">
        <v>6</v>
      </c>
      <c r="AU35" s="111">
        <v>4.71</v>
      </c>
      <c r="AV35"/>
      <c r="AW35"/>
      <c r="AX35"/>
      <c r="AY35"/>
    </row>
    <row r="36" spans="2:51" ht="15" x14ac:dyDescent="0.25">
      <c r="B36" s="3" t="s">
        <v>57</v>
      </c>
      <c r="C36" s="33">
        <f>'VZLA BFS'!C30/'VENEZUELA USD'!$AH$3</f>
        <v>0</v>
      </c>
      <c r="D36" s="35" t="str">
        <f>IF(DD39&lt;=0," ",C36/$C$20)</f>
        <v xml:space="preserve"> </v>
      </c>
      <c r="E36" s="33">
        <f>'VZLA BFS'!E36/'VENEZUELA USD'!$AH$3</f>
        <v>350.83682560633508</v>
      </c>
      <c r="F36" s="35">
        <f>+E36/$E$20</f>
        <v>8.8523004128172073E-2</v>
      </c>
      <c r="G36" s="35" t="str">
        <f>IF(C36=0,"",(E36-C36)/ABS(C36)+1)</f>
        <v/>
      </c>
      <c r="H36" s="63">
        <f>+'VZLA BFS'!H36/'VENEZUELA USD'!$AH$4</f>
        <v>-53.150272514923557</v>
      </c>
      <c r="I36" s="35">
        <f>IF($H$20&lt;=0," ",H36/$H$20)</f>
        <v>-7.0850144651052622E-3</v>
      </c>
      <c r="J36" s="35">
        <f>IF(E36=0,"",(E36-H36)/ABS(H36))</f>
        <v>7.6008471641951978</v>
      </c>
      <c r="K36" s="33">
        <f>'VZLA BFS'!K30/'VENEZUELA USD'!$AH$3</f>
        <v>0</v>
      </c>
      <c r="L36" s="35" t="str">
        <f>IF($K$20&lt;=0," ",K36/$K$20)</f>
        <v xml:space="preserve"> </v>
      </c>
      <c r="M36" s="33">
        <f>'VZLA BFS'!M36/'VENEZUELA USD'!$AH$3</f>
        <v>350.83682560633508</v>
      </c>
      <c r="N36" s="35">
        <f>+M36/$M$20</f>
        <v>8.8523004128172073E-2</v>
      </c>
      <c r="O36" s="35" t="str">
        <f>IF(K36=0,"",(M36-K36)/ABS(K36)+1)</f>
        <v/>
      </c>
      <c r="P36" s="63">
        <f>+'VZLA BFS'!P36/'VENEZUELA USD'!$AH$4</f>
        <v>-53.150272514923557</v>
      </c>
      <c r="Q36" s="35">
        <f>IF($P$20&lt;=0," ",P36/$P$20)</f>
        <v>-7.0850144651052622E-3</v>
      </c>
      <c r="R36" s="35">
        <f>IF(M36=0,"",(M36-P36)/ABS(P36))</f>
        <v>7.6008471641951978</v>
      </c>
      <c r="AL36" s="110" t="s">
        <v>10</v>
      </c>
      <c r="AM36" s="111">
        <v>1899023</v>
      </c>
      <c r="AN36"/>
      <c r="AO36"/>
      <c r="AP36"/>
      <c r="AQ36"/>
      <c r="AT36" s="110" t="s">
        <v>10</v>
      </c>
      <c r="AU36" s="111">
        <v>4.6100000000000003</v>
      </c>
      <c r="AV36"/>
      <c r="AW36"/>
      <c r="AX36"/>
      <c r="AY36"/>
    </row>
    <row r="37" spans="2:51" ht="13.5" customHeight="1" x14ac:dyDescent="0.25">
      <c r="E37" s="33">
        <f>'VZLA BFS'!E37/'VENEZUELA USD'!$AH$3</f>
        <v>0</v>
      </c>
      <c r="H37" s="63">
        <f>+'VZLA BFS'!H37/'VENEZUELA USD'!$AH$4</f>
        <v>0</v>
      </c>
      <c r="M37" s="33">
        <f>'VZLA BFS'!M37/'VENEZUELA USD'!$AH$3</f>
        <v>0</v>
      </c>
      <c r="P37" s="63">
        <f>+'VZLA BFS'!P37/'VENEZUELA USD'!$AH$4</f>
        <v>0</v>
      </c>
      <c r="AL37" s="110" t="s">
        <v>11</v>
      </c>
      <c r="AM37" s="111">
        <v>2115582</v>
      </c>
      <c r="AN37"/>
      <c r="AO37"/>
      <c r="AP37"/>
      <c r="AQ37"/>
      <c r="AT37" s="110" t="s">
        <v>11</v>
      </c>
      <c r="AU37" s="111">
        <v>4.4800000000000004</v>
      </c>
      <c r="AV37"/>
      <c r="AW37"/>
      <c r="AX37"/>
      <c r="AY37"/>
    </row>
    <row r="38" spans="2:51" ht="15" x14ac:dyDescent="0.25">
      <c r="B38" s="3" t="s">
        <v>58</v>
      </c>
      <c r="C38" s="33">
        <f>'VZLA BFS'!C31/'VENEZUELA USD'!$AH$3</f>
        <v>0</v>
      </c>
      <c r="D38" s="35" t="str">
        <f>IF(DD40&lt;=0," ",C38/$C$20)</f>
        <v xml:space="preserve"> </v>
      </c>
      <c r="E38" s="33">
        <f>'VZLA BFS'!E38/'VENEZUELA USD'!$AH$3</f>
        <v>4822.9840785348943</v>
      </c>
      <c r="F38" s="35">
        <f>+E38/$E$20</f>
        <v>1.2169333671184124</v>
      </c>
      <c r="G38" s="35" t="str">
        <f>IF(C38=0,"",(E38-C38)/ABS(C38)+1)</f>
        <v/>
      </c>
      <c r="H38" s="63">
        <f>+'VZLA BFS'!H38/'VENEZUELA USD'!$AH$4</f>
        <v>2965.0402283934595</v>
      </c>
      <c r="I38" s="35">
        <f>IF($H$20&lt;=0," ",H38/$H$20)</f>
        <v>0.39524450042825682</v>
      </c>
      <c r="J38" s="35">
        <f>IF(E38=0,"",(E38-H38)/ABS(H38))</f>
        <v>0.62661674278467372</v>
      </c>
      <c r="K38" s="33">
        <f>'VZLA BFS'!K31/'VENEZUELA USD'!$AH$3</f>
        <v>0</v>
      </c>
      <c r="L38" s="35" t="str">
        <f>IF($K$20&lt;=0," ",K38/$K$20)</f>
        <v xml:space="preserve"> </v>
      </c>
      <c r="M38" s="33">
        <f>'VZLA BFS'!M38/'VENEZUELA USD'!$AH$3</f>
        <v>4822.9840785348943</v>
      </c>
      <c r="N38" s="35">
        <f>+M38/$M$20</f>
        <v>1.2169333671184124</v>
      </c>
      <c r="O38" s="35" t="str">
        <f>IF(K38=0,"",(M38-K38)/ABS(K38)+1)</f>
        <v/>
      </c>
      <c r="P38" s="63">
        <f>+'VZLA BFS'!P38/'VENEZUELA USD'!$AH$4</f>
        <v>2965.0402283934595</v>
      </c>
      <c r="Q38" s="35">
        <f>IF($P$20&lt;=0," ",P38/$P$20)</f>
        <v>0.39524450042825682</v>
      </c>
      <c r="R38" s="35">
        <f>IF(M38=0,"",(M38-P38)/ABS(P38))</f>
        <v>0.62661674278467372</v>
      </c>
      <c r="AL38" s="110" t="s">
        <v>12</v>
      </c>
      <c r="AM38" s="111">
        <v>2900823</v>
      </c>
      <c r="AN38"/>
      <c r="AO38"/>
      <c r="AP38"/>
      <c r="AQ38"/>
      <c r="AT38" s="110" t="s">
        <v>12</v>
      </c>
      <c r="AU38" s="111">
        <v>4.57</v>
      </c>
      <c r="AV38"/>
      <c r="AW38"/>
      <c r="AX38"/>
      <c r="AY38"/>
    </row>
    <row r="39" spans="2:51" ht="15" x14ac:dyDescent="0.25">
      <c r="B39" s="3" t="s">
        <v>59</v>
      </c>
      <c r="C39" s="33">
        <f>'VZLA BFS'!C32/'VENEZUELA USD'!$AH$3</f>
        <v>0</v>
      </c>
      <c r="D39" s="35" t="str">
        <f>IF(DD41&lt;=0," ",C39/$C$20)</f>
        <v xml:space="preserve"> </v>
      </c>
      <c r="E39" s="33">
        <f>'VZLA BFS'!E39/'VENEZUELA USD'!$AH$3</f>
        <v>16.875653082549633</v>
      </c>
      <c r="F39" s="35">
        <f>+E39/$E$20</f>
        <v>4.2580578732301861E-3</v>
      </c>
      <c r="G39" s="35" t="str">
        <f>IF(C39=0,"",(E39-C39)/ABS(C39)+1)</f>
        <v/>
      </c>
      <c r="H39" s="63">
        <f>+'VZLA BFS'!H39/'VENEZUELA USD'!$AH$4</f>
        <v>6.7739423825590448</v>
      </c>
      <c r="I39" s="35">
        <f>IF($H$20&lt;=0," ",H39/$H$20)</f>
        <v>9.0297711554996826E-4</v>
      </c>
      <c r="J39" s="35">
        <f>IF(E39=0,"",(E39-H39)/ABS(H39))</f>
        <v>1.4912602041020586</v>
      </c>
      <c r="K39" s="33">
        <f>'VZLA BFS'!K32/'VENEZUELA USD'!$AH$3</f>
        <v>0</v>
      </c>
      <c r="L39" s="35" t="str">
        <f>IF($K$20&lt;=0," ",K39/$K$20)</f>
        <v xml:space="preserve"> </v>
      </c>
      <c r="M39" s="33">
        <f>'VZLA BFS'!M39/'VENEZUELA USD'!$AH$3</f>
        <v>16.875653082549633</v>
      </c>
      <c r="N39" s="35">
        <f>+M39/$M$20</f>
        <v>4.2580578732301861E-3</v>
      </c>
      <c r="O39" s="35" t="str">
        <f>IF(K39=0,"",(M39-K39)/ABS(K39)+1)</f>
        <v/>
      </c>
      <c r="P39" s="63">
        <f>+'VZLA BFS'!P39/'VENEZUELA USD'!$AH$4</f>
        <v>6.7739423825590448</v>
      </c>
      <c r="Q39" s="35">
        <f>IF($P$20&lt;=0," ",P39/$P$20)</f>
        <v>9.0297711554996826E-4</v>
      </c>
      <c r="R39" s="35">
        <f>IF(M39=0,"",(M39-P39)/ABS(P39))</f>
        <v>1.4912602041020586</v>
      </c>
      <c r="AL39" s="110" t="s">
        <v>13</v>
      </c>
      <c r="AM39" s="111">
        <v>3143738</v>
      </c>
      <c r="AN39"/>
      <c r="AO39"/>
      <c r="AP39"/>
      <c r="AQ39"/>
      <c r="AT39" s="110" t="s">
        <v>13</v>
      </c>
      <c r="AU39" s="111">
        <v>5.14</v>
      </c>
      <c r="AV39"/>
      <c r="AW39"/>
      <c r="AX39"/>
      <c r="AY39"/>
    </row>
    <row r="40" spans="2:51" ht="15" x14ac:dyDescent="0.25">
      <c r="E40" s="33">
        <f>'VZLA BFS'!E40/'VENEZUELA USD'!$AH$3</f>
        <v>0</v>
      </c>
      <c r="H40" s="63">
        <f>+'VZLA BFS'!H40/'VENEZUELA USD'!$AH$4</f>
        <v>0</v>
      </c>
      <c r="M40" s="33">
        <f>'VZLA BFS'!M40/'VENEZUELA USD'!$AH$3</f>
        <v>0</v>
      </c>
      <c r="P40" s="63">
        <f>+'VZLA BFS'!P40/'VENEZUELA USD'!$AH$4</f>
        <v>0</v>
      </c>
      <c r="AL40" s="110" t="s">
        <v>14</v>
      </c>
      <c r="AM40" s="111">
        <v>3267940</v>
      </c>
      <c r="AN40"/>
      <c r="AO40"/>
      <c r="AP40"/>
      <c r="AQ40"/>
      <c r="AT40" s="110" t="s">
        <v>14</v>
      </c>
      <c r="AU40" s="111">
        <v>5.78</v>
      </c>
      <c r="AV40"/>
      <c r="AW40"/>
      <c r="AX40"/>
      <c r="AY40"/>
    </row>
    <row r="41" spans="2:51" ht="15" x14ac:dyDescent="0.25">
      <c r="B41" s="3" t="s">
        <v>60</v>
      </c>
      <c r="C41" s="33">
        <f>'VZLA BFS'!C33/'VENEZUELA USD'!$AH$3</f>
        <v>0</v>
      </c>
      <c r="D41" s="35" t="str">
        <f>IF(DD42&lt;=0," ",C41/$C$20)</f>
        <v xml:space="preserve"> </v>
      </c>
      <c r="E41" s="33">
        <f>'VZLA BFS'!E41/'VENEZUELA USD'!$AH$3</f>
        <v>5156.9452510586798</v>
      </c>
      <c r="F41" s="35">
        <f>+E41/$E$20</f>
        <v>1.3011983133733545</v>
      </c>
      <c r="G41" s="35" t="str">
        <f>IF(C41=0,"",(E41-C41)/ABS(C41)+1)</f>
        <v/>
      </c>
      <c r="H41" s="63">
        <f>+'VZLA BFS'!H41/'VENEZUELA USD'!$AH$4</f>
        <v>2905.1160134959769</v>
      </c>
      <c r="I41" s="35">
        <f>IF($H$20&lt;=0," ",H41/$H$20)</f>
        <v>0.38725650884760154</v>
      </c>
      <c r="J41" s="35">
        <f>IF(E41=0,"",(E41-H41)/ABS(H41))</f>
        <v>0.77512540879662928</v>
      </c>
      <c r="K41" s="33">
        <f>'VZLA BFS'!K33/'VENEZUELA USD'!$AH$3</f>
        <v>0</v>
      </c>
      <c r="L41" s="35" t="str">
        <f>IF($K$20&lt;=0," ",K41/$K$20)</f>
        <v xml:space="preserve"> </v>
      </c>
      <c r="M41" s="33">
        <f>'VZLA BFS'!M41/'VENEZUELA USD'!$AH$3</f>
        <v>5156.9452510586798</v>
      </c>
      <c r="N41" s="35">
        <f>+M41/$M$20</f>
        <v>1.3011983133733545</v>
      </c>
      <c r="O41" s="35" t="str">
        <f>IF(K41=0,"",(M41-K41)/ABS(K41)+1)</f>
        <v/>
      </c>
      <c r="P41" s="63">
        <f>+'VZLA BFS'!P41/'VENEZUELA USD'!$AH$4</f>
        <v>2905.1160134959769</v>
      </c>
      <c r="Q41" s="35">
        <f>IF($P$20&lt;=0," ",P41/$P$20)</f>
        <v>0.38725650884760154</v>
      </c>
      <c r="R41" s="35">
        <f>IF(M41=0,"",(M41-P41)/ABS(P41))</f>
        <v>0.77512540879662928</v>
      </c>
      <c r="AL41" s="110" t="s">
        <v>15</v>
      </c>
      <c r="AM41" s="111">
        <v>4139112</v>
      </c>
      <c r="AN41"/>
      <c r="AO41"/>
      <c r="AP41"/>
      <c r="AQ41"/>
      <c r="AT41" s="110" t="s">
        <v>15</v>
      </c>
      <c r="AU41" s="111">
        <v>5.91</v>
      </c>
      <c r="AV41"/>
      <c r="AW41"/>
      <c r="AX41"/>
      <c r="AY41"/>
    </row>
    <row r="42" spans="2:51" ht="15" x14ac:dyDescent="0.25">
      <c r="B42" s="3" t="s">
        <v>46</v>
      </c>
      <c r="C42" s="33">
        <f>'VZLA BFS'!C34/'VENEZUELA USD'!$AH$3</f>
        <v>0</v>
      </c>
      <c r="D42" s="35" t="str">
        <f>IF(DD43&lt;=0," ",C42/$C$20)</f>
        <v xml:space="preserve"> </v>
      </c>
      <c r="E42" s="33">
        <f>'VZLA BFS'!E42/'VENEZUELA USD'!$AH$3</f>
        <v>0</v>
      </c>
      <c r="F42" s="35">
        <f>+E42/$E$20</f>
        <v>0</v>
      </c>
      <c r="G42" s="35" t="str">
        <f>IF(C42=0,"",(E42-C42)/ABS(C42)+1)</f>
        <v/>
      </c>
      <c r="H42" s="63">
        <f>+'VZLA BFS'!H42/'VENEZUELA USD'!$AH$4</f>
        <v>0</v>
      </c>
      <c r="I42" s="35">
        <f>IF($H$20&lt;=0," ",H42/$H$20)</f>
        <v>0</v>
      </c>
      <c r="J42" s="35" t="str">
        <f>IF(E42=0,"",(E42-H42)/ABS(H42))</f>
        <v/>
      </c>
      <c r="K42" s="33">
        <f>'VZLA BFS'!K34/'VENEZUELA USD'!$AH$3</f>
        <v>0</v>
      </c>
      <c r="L42" s="35" t="str">
        <f>IF($K$20&lt;=0," ",K42/$K$20)</f>
        <v xml:space="preserve"> </v>
      </c>
      <c r="M42" s="33">
        <f>'VZLA BFS'!M42/'VENEZUELA USD'!$AH$3</f>
        <v>0</v>
      </c>
      <c r="N42" s="35">
        <f>+M42/$M$20</f>
        <v>0</v>
      </c>
      <c r="O42" s="35" t="str">
        <f>IF(K42=0,"",(M42-K42)/ABS(K42)+1)</f>
        <v/>
      </c>
      <c r="P42" s="63">
        <f>+'VZLA BFS'!P42/'VENEZUELA USD'!$AH$4</f>
        <v>0</v>
      </c>
      <c r="Q42" s="35">
        <f>IF($P$20&lt;=0," ",P42/$P$20)</f>
        <v>0</v>
      </c>
      <c r="R42" s="35" t="str">
        <f>IF(M42=0,"",(M42-P42)/ABS(P42))</f>
        <v/>
      </c>
      <c r="AL42" s="110" t="s">
        <v>16</v>
      </c>
      <c r="AM42" s="111">
        <v>4148043</v>
      </c>
      <c r="AN42"/>
      <c r="AO42"/>
      <c r="AP42"/>
      <c r="AQ42"/>
      <c r="AT42" s="110" t="s">
        <v>16</v>
      </c>
      <c r="AU42" s="111">
        <v>8.39</v>
      </c>
      <c r="AV42"/>
      <c r="AW42"/>
      <c r="AX42"/>
      <c r="AY42"/>
    </row>
    <row r="43" spans="2:51" ht="15" x14ac:dyDescent="0.25">
      <c r="B43" s="3" t="s">
        <v>61</v>
      </c>
      <c r="C43" s="33">
        <f>'VZLA BFS'!C35/'VENEZUELA USD'!$AH$3</f>
        <v>0</v>
      </c>
      <c r="D43" s="35" t="str">
        <f>IF(DD44&lt;=0," ",C43/$C$20)</f>
        <v xml:space="preserve"> </v>
      </c>
      <c r="E43" s="33">
        <f>'VZLA BFS'!E43/'VENEZUELA USD'!$AH$3</f>
        <v>5156.9452510586798</v>
      </c>
      <c r="F43" s="35">
        <f>+E43/$E$20</f>
        <v>1.3011983133733545</v>
      </c>
      <c r="G43" s="35" t="str">
        <f>IF(C43=0,"",(E43-C43)/ABS(C43)+1)</f>
        <v/>
      </c>
      <c r="H43" s="63">
        <f>+'VZLA BFS'!H43/'VENEZUELA USD'!$AH$4</f>
        <v>2905.1160134959769</v>
      </c>
      <c r="I43" s="35">
        <f>IF($H$20&lt;=0," ",H43/$H$20)</f>
        <v>0.38725650884760154</v>
      </c>
      <c r="J43" s="35">
        <f>IF(E43=0,"",(E43-H43)/ABS(H43))</f>
        <v>0.77512540879662928</v>
      </c>
      <c r="K43" s="33">
        <f>'VZLA BFS'!K35/'VENEZUELA USD'!$AH$3</f>
        <v>0</v>
      </c>
      <c r="L43" s="35" t="str">
        <f>IF($K$20&lt;=0," ",K43/$K$20)</f>
        <v xml:space="preserve"> </v>
      </c>
      <c r="M43" s="33">
        <f>'VZLA BFS'!M43/'VENEZUELA USD'!$AH$3</f>
        <v>5156.9452510586798</v>
      </c>
      <c r="N43" s="35">
        <f>+M43/$M$20</f>
        <v>1.3011983133733545</v>
      </c>
      <c r="O43" s="35" t="str">
        <f>IF(K43=0,"",(M43-K43)/ABS(K43)+1)</f>
        <v/>
      </c>
      <c r="P43" s="63">
        <f>+'VZLA BFS'!P43/'VENEZUELA USD'!$AH$4</f>
        <v>2905.1160134959769</v>
      </c>
      <c r="Q43" s="35">
        <f>IF($P$20&lt;=0," ",P43/$P$20)</f>
        <v>0.38725650884760154</v>
      </c>
      <c r="R43" s="35">
        <f>IF(M43=0,"",(M43-P43)/ABS(P43))</f>
        <v>0.77512540879662928</v>
      </c>
      <c r="AL43" s="110" t="s">
        <v>17</v>
      </c>
      <c r="AM43" s="111">
        <v>4549688</v>
      </c>
      <c r="AN43"/>
      <c r="AO43"/>
      <c r="AP43"/>
      <c r="AQ43"/>
      <c r="AT43" s="110" t="s">
        <v>17</v>
      </c>
      <c r="AU43" s="111">
        <v>8.3699999999999992</v>
      </c>
      <c r="AV43"/>
      <c r="AW43"/>
      <c r="AX43"/>
      <c r="AY43"/>
    </row>
    <row r="44" spans="2:51" ht="15" x14ac:dyDescent="0.25">
      <c r="E44" s="33">
        <f>'VZLA BFS'!E44/'VENEZUELA USD'!$AH$3</f>
        <v>0</v>
      </c>
      <c r="H44" s="63">
        <f>+'VZLA BFS'!H44/'VENEZUELA USD'!$AH$4</f>
        <v>0</v>
      </c>
      <c r="M44" s="33">
        <f>'VZLA BFS'!M44/'VENEZUELA USD'!$AH$3</f>
        <v>0</v>
      </c>
      <c r="P44" s="63">
        <f>+'VZLA BFS'!P44/'VENEZUELA USD'!$AH$4</f>
        <v>0</v>
      </c>
      <c r="AL44" s="110" t="s">
        <v>18</v>
      </c>
      <c r="AM44" s="111">
        <v>4.5599999999999996</v>
      </c>
      <c r="AN44"/>
      <c r="AO44"/>
      <c r="AP44"/>
      <c r="AQ44"/>
      <c r="AT44" s="110" t="s">
        <v>18</v>
      </c>
      <c r="AU44" s="111">
        <v>9.0500000000000007</v>
      </c>
      <c r="AV44"/>
      <c r="AW44"/>
      <c r="AX44"/>
      <c r="AY44"/>
    </row>
    <row r="45" spans="2:51" ht="23.25" x14ac:dyDescent="0.25">
      <c r="B45" s="3" t="s">
        <v>62</v>
      </c>
      <c r="C45" s="33">
        <f>'VZLA BFS'!C36/'VENEZUELA USD'!$AH$3</f>
        <v>0</v>
      </c>
      <c r="D45" s="35" t="str">
        <f>IF(DD45&lt;=0," ",C45/$C$20)</f>
        <v xml:space="preserve"> </v>
      </c>
      <c r="E45" s="33">
        <f>'VZLA BFS'!E45/'VENEZUELA USD'!$AH$3</f>
        <v>5156.9452510586798</v>
      </c>
      <c r="F45" s="35">
        <f>+E45/$E$20</f>
        <v>1.3011983133733545</v>
      </c>
      <c r="G45" s="35" t="str">
        <f>IF(C45=0,"",(E45-C45)/ABS(C45)+1)</f>
        <v/>
      </c>
      <c r="H45" s="63">
        <f>+'VZLA BFS'!H45/'VENEZUELA USD'!$AH$4</f>
        <v>2905.1160134959769</v>
      </c>
      <c r="I45" s="35">
        <f>IF($H$20&lt;=0," ",H45/$H$20)</f>
        <v>0.38725650884760154</v>
      </c>
      <c r="J45" s="35">
        <f>IF(E45=0,"",(E45-H45)/ABS(H45))</f>
        <v>0.77512540879662928</v>
      </c>
      <c r="K45" s="33">
        <f>'VZLA BFS'!K36/'VENEZUELA USD'!$AH$3</f>
        <v>0</v>
      </c>
      <c r="L45" s="35" t="str">
        <f>IF($K$20&lt;=0," ",K45/$K$20)</f>
        <v xml:space="preserve"> </v>
      </c>
      <c r="M45" s="33">
        <f>'VZLA BFS'!M45/'VENEZUELA USD'!$AH$3</f>
        <v>5156.9452510586798</v>
      </c>
      <c r="N45" s="35">
        <f>+M45/$M$20</f>
        <v>1.3011983133733545</v>
      </c>
      <c r="O45" s="35" t="str">
        <f>IF(K45=0,"",(M45-K45)/ABS(K45)+1)</f>
        <v/>
      </c>
      <c r="P45" s="63">
        <f>+'VZLA BFS'!P45/'VENEZUELA USD'!$AH$4</f>
        <v>2905.1160134959769</v>
      </c>
      <c r="Q45" s="35">
        <f>IF($P$20&lt;=0," ",P45/$P$20)</f>
        <v>0.38725650884760154</v>
      </c>
      <c r="R45" s="35">
        <f>IF(M45=0,"",(M45-P45)/ABS(P45))</f>
        <v>0.77512540879662928</v>
      </c>
      <c r="AL45" s="110" t="s">
        <v>19</v>
      </c>
      <c r="AM45" s="111">
        <v>4.99</v>
      </c>
      <c r="AN45"/>
      <c r="AO45"/>
      <c r="AP45" s="112" t="s">
        <v>142</v>
      </c>
      <c r="AQ45" t="s">
        <v>143</v>
      </c>
      <c r="AT45" s="110" t="s">
        <v>19</v>
      </c>
      <c r="AU45" s="111">
        <v>13.1</v>
      </c>
      <c r="AV45"/>
      <c r="AW45"/>
      <c r="AX45" s="112" t="s">
        <v>142</v>
      </c>
      <c r="AY45" t="s">
        <v>143</v>
      </c>
    </row>
    <row r="46" spans="2:51" ht="15" x14ac:dyDescent="0.25">
      <c r="B46" s="3" t="s">
        <v>37</v>
      </c>
      <c r="C46" s="33">
        <f>'VZLA BFS'!C37/'VENEZUELA USD'!$AH$3</f>
        <v>0</v>
      </c>
      <c r="D46" s="35" t="str">
        <f>IF(DD46&lt;=0," ",C46/$C$20)</f>
        <v xml:space="preserve"> </v>
      </c>
      <c r="E46" s="33">
        <f>'VZLA BFS'!E46/'VENEZUELA USD'!$AH$3</f>
        <v>0</v>
      </c>
      <c r="F46" s="35">
        <f>+E46/$E$20</f>
        <v>0</v>
      </c>
      <c r="G46" s="35" t="str">
        <f>IF(C46=0,"",(E46-C46)/ABS(C46)+1)</f>
        <v/>
      </c>
      <c r="H46" s="63">
        <f>+'VZLA BFS'!H46/'VENEZUELA USD'!$AH$4</f>
        <v>0</v>
      </c>
      <c r="I46" s="35">
        <f>IF($H$20&lt;=0," ",H46/$H$20)</f>
        <v>0</v>
      </c>
      <c r="J46" s="35" t="str">
        <f>IF(E46=0,"",(E46-H46)/ABS(H46))</f>
        <v/>
      </c>
      <c r="K46" s="33">
        <f>'VZLA BFS'!K37/'VENEZUELA USD'!$AH$3</f>
        <v>0</v>
      </c>
      <c r="L46" s="35" t="str">
        <f>IF($K$20&lt;=0," ",K46/$K$20)</f>
        <v xml:space="preserve"> </v>
      </c>
      <c r="M46" s="33">
        <f>'VZLA BFS'!M46/'VENEZUELA USD'!$AH$3</f>
        <v>0</v>
      </c>
      <c r="N46" s="35">
        <f>+M46/$M$20</f>
        <v>0</v>
      </c>
      <c r="O46" s="35" t="str">
        <f>IF(K46=0,"",(M46-K46)/ABS(K46)+1)</f>
        <v/>
      </c>
      <c r="P46" s="63">
        <f>+'VZLA BFS'!P46/'VENEZUELA USD'!$AH$4</f>
        <v>0</v>
      </c>
      <c r="Q46" s="35">
        <f>IF($P$20&lt;=0," ",P46/$P$20)</f>
        <v>0</v>
      </c>
      <c r="R46" s="35" t="str">
        <f>IF(M46=0,"",(M46-P46)/ABS(P46))</f>
        <v/>
      </c>
      <c r="AL46" s="110" t="s">
        <v>20</v>
      </c>
      <c r="AM46" s="111">
        <v>4.6900000000000004</v>
      </c>
      <c r="AN46" s="113">
        <f>1/AM46</f>
        <v>0.21321961620469082</v>
      </c>
      <c r="AO46" t="s">
        <v>144</v>
      </c>
      <c r="AP46">
        <v>11272</v>
      </c>
      <c r="AQ46" s="114">
        <f>+AP46*AN46</f>
        <v>2403.4115138592751</v>
      </c>
      <c r="AT46" s="110" t="s">
        <v>20</v>
      </c>
      <c r="AU46" s="111">
        <v>18.600000000000001</v>
      </c>
      <c r="AV46" s="113">
        <f>1/AU46</f>
        <v>5.3763440860215048E-2</v>
      </c>
      <c r="AW46" t="s">
        <v>144</v>
      </c>
      <c r="AX46" s="115">
        <v>11272</v>
      </c>
      <c r="AY46" s="114">
        <f>+AX46*AV46</f>
        <v>606.02150537634407</v>
      </c>
    </row>
    <row r="47" spans="2:51" ht="15" x14ac:dyDescent="0.25">
      <c r="E47" s="53"/>
      <c r="M47" s="53"/>
      <c r="P47" s="63">
        <f>+'VZLA BFS'!P47/'VENEZUELA USD'!$AH$4</f>
        <v>0</v>
      </c>
      <c r="AL47" t="s">
        <v>145</v>
      </c>
      <c r="AM47" s="116">
        <f>AVERAGE(AM35:AM46)</f>
        <v>2329383.6866666665</v>
      </c>
      <c r="AN47" s="113">
        <f>1/AM47</f>
        <v>4.2929810392507461E-7</v>
      </c>
      <c r="AO47" t="s">
        <v>146</v>
      </c>
      <c r="AP47" s="117">
        <v>11272</v>
      </c>
      <c r="AQ47" s="118">
        <f>+AP47*AN47</f>
        <v>4.8390482274434411E-3</v>
      </c>
      <c r="AT47" t="s">
        <v>145</v>
      </c>
      <c r="AU47" s="116">
        <f>AVERAGE(AU35:AU46)</f>
        <v>7.725833333333334</v>
      </c>
      <c r="AV47" s="113">
        <f>1/AU47</f>
        <v>0.12943587531010678</v>
      </c>
      <c r="AW47" t="s">
        <v>146</v>
      </c>
      <c r="AX47" s="117">
        <v>11272</v>
      </c>
      <c r="AY47" s="118">
        <f>+AX47*AV47</f>
        <v>1459.0011864955236</v>
      </c>
    </row>
    <row r="51" spans="35:43" x14ac:dyDescent="0.2">
      <c r="AL51" s="79" t="s">
        <v>147</v>
      </c>
    </row>
    <row r="52" spans="35:43" ht="15" x14ac:dyDescent="0.25">
      <c r="AL52" s="110" t="s">
        <v>6</v>
      </c>
      <c r="AM52" s="111">
        <v>23.11</v>
      </c>
      <c r="AN52"/>
      <c r="AO52"/>
      <c r="AP52"/>
      <c r="AQ52"/>
    </row>
    <row r="53" spans="35:43" ht="15" x14ac:dyDescent="0.25">
      <c r="AL53" s="110" t="s">
        <v>10</v>
      </c>
      <c r="AM53" s="111">
        <v>25.1</v>
      </c>
      <c r="AN53"/>
      <c r="AO53"/>
      <c r="AP53"/>
      <c r="AQ53"/>
    </row>
    <row r="54" spans="35:43" ht="15" x14ac:dyDescent="0.25">
      <c r="AL54" s="110" t="s">
        <v>11</v>
      </c>
      <c r="AM54" s="111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10" t="s">
        <v>12</v>
      </c>
      <c r="AM55" s="111">
        <v>28.23</v>
      </c>
      <c r="AN55"/>
      <c r="AO55"/>
      <c r="AP55"/>
      <c r="AQ55"/>
    </row>
    <row r="56" spans="35:43" ht="15" x14ac:dyDescent="0.25">
      <c r="AL56" s="110" t="s">
        <v>13</v>
      </c>
      <c r="AM56" s="111">
        <v>28.23</v>
      </c>
      <c r="AN56"/>
      <c r="AO56"/>
      <c r="AP56"/>
      <c r="AQ56"/>
    </row>
    <row r="57" spans="35:43" ht="15" x14ac:dyDescent="0.25">
      <c r="AL57" s="110" t="s">
        <v>14</v>
      </c>
      <c r="AM57" s="111">
        <v>28.35</v>
      </c>
      <c r="AN57"/>
      <c r="AO57"/>
      <c r="AP57"/>
      <c r="AQ57"/>
    </row>
    <row r="58" spans="35:43" ht="15" x14ac:dyDescent="0.25">
      <c r="AL58" s="110" t="s">
        <v>15</v>
      </c>
      <c r="AM58" s="111">
        <v>33.93</v>
      </c>
      <c r="AN58"/>
      <c r="AO58"/>
      <c r="AP58"/>
      <c r="AQ58"/>
    </row>
    <row r="59" spans="35:43" ht="15" x14ac:dyDescent="0.25">
      <c r="AL59" s="110" t="s">
        <v>16</v>
      </c>
      <c r="AM59" s="111">
        <v>34.659999999999997</v>
      </c>
      <c r="AN59"/>
      <c r="AO59"/>
      <c r="AP59"/>
      <c r="AQ59"/>
    </row>
    <row r="60" spans="35:43" ht="15" x14ac:dyDescent="0.25">
      <c r="AL60" s="110" t="s">
        <v>17</v>
      </c>
      <c r="AM60" s="111">
        <v>35.74</v>
      </c>
      <c r="AN60"/>
      <c r="AO60"/>
      <c r="AP60"/>
      <c r="AQ60"/>
    </row>
    <row r="61" spans="35:43" ht="15" x14ac:dyDescent="0.25">
      <c r="AL61" s="110" t="s">
        <v>18</v>
      </c>
      <c r="AM61" s="111">
        <v>37.29</v>
      </c>
      <c r="AN61"/>
      <c r="AO61"/>
      <c r="AP61"/>
      <c r="AQ61"/>
    </row>
    <row r="62" spans="35:43" ht="23.25" x14ac:dyDescent="0.25">
      <c r="AL62" s="110" t="s">
        <v>19</v>
      </c>
      <c r="AM62" s="111">
        <v>37.950000000000003</v>
      </c>
      <c r="AN62"/>
      <c r="AO62"/>
      <c r="AP62" s="112" t="s">
        <v>142</v>
      </c>
      <c r="AQ62" t="s">
        <v>143</v>
      </c>
    </row>
    <row r="63" spans="35:43" ht="15" x14ac:dyDescent="0.25">
      <c r="AL63" s="110" t="s">
        <v>20</v>
      </c>
      <c r="AM63" s="111">
        <v>39.08</v>
      </c>
      <c r="AN63" s="113">
        <f>1/AM63</f>
        <v>2.5588536335721598E-2</v>
      </c>
      <c r="AO63" t="s">
        <v>144</v>
      </c>
      <c r="AP63" s="115">
        <v>394358</v>
      </c>
      <c r="AQ63" s="114">
        <f>+AP63*AN63</f>
        <v>10091.044012282498</v>
      </c>
    </row>
    <row r="64" spans="35:43" ht="15" x14ac:dyDescent="0.25">
      <c r="AL64" t="s">
        <v>145</v>
      </c>
      <c r="AM64" s="116">
        <f>AVERAGE(AM52:AM63)</f>
        <v>31.385000000000002</v>
      </c>
      <c r="AN64" s="113">
        <f>1/AM64</f>
        <v>3.186235462800701E-2</v>
      </c>
      <c r="AO64" t="s">
        <v>146</v>
      </c>
      <c r="AP64" s="115">
        <v>394358</v>
      </c>
      <c r="AQ64" s="118">
        <f>+AP64*AN64</f>
        <v>12565.174446391589</v>
      </c>
    </row>
    <row r="69" spans="38:43" x14ac:dyDescent="0.2">
      <c r="AL69" s="79" t="s">
        <v>148</v>
      </c>
    </row>
    <row r="70" spans="38:43" ht="15" x14ac:dyDescent="0.25">
      <c r="AL70" s="110" t="s">
        <v>6</v>
      </c>
      <c r="AM70" s="111">
        <v>38.53</v>
      </c>
      <c r="AN70"/>
      <c r="AO70"/>
      <c r="AP70"/>
      <c r="AQ70"/>
    </row>
    <row r="71" spans="38:43" ht="15" x14ac:dyDescent="0.25">
      <c r="AL71" s="110" t="s">
        <v>10</v>
      </c>
      <c r="AM71" s="111">
        <v>38.92</v>
      </c>
      <c r="AN71"/>
      <c r="AO71"/>
      <c r="AP71"/>
      <c r="AQ71"/>
    </row>
    <row r="72" spans="38:43" ht="15" x14ac:dyDescent="0.25">
      <c r="AL72" s="110" t="s">
        <v>11</v>
      </c>
      <c r="AM72" s="111">
        <v>39.119999999999997</v>
      </c>
      <c r="AN72"/>
      <c r="AO72"/>
      <c r="AP72"/>
      <c r="AQ72"/>
    </row>
    <row r="73" spans="38:43" ht="15" x14ac:dyDescent="0.25">
      <c r="AL73" s="110" t="s">
        <v>12</v>
      </c>
      <c r="AM73" s="111">
        <v>40.86</v>
      </c>
      <c r="AN73"/>
      <c r="AO73"/>
      <c r="AP73"/>
      <c r="AQ73"/>
    </row>
    <row r="74" spans="38:43" ht="15" x14ac:dyDescent="0.25">
      <c r="AL74" s="110" t="s">
        <v>13</v>
      </c>
      <c r="AM74" s="111">
        <v>36.46</v>
      </c>
      <c r="AN74"/>
      <c r="AO74"/>
      <c r="AP74"/>
      <c r="AQ74"/>
    </row>
    <row r="75" spans="38:43" ht="15" x14ac:dyDescent="0.25">
      <c r="AL75" s="110" t="s">
        <v>14</v>
      </c>
      <c r="AM75" s="111">
        <v>40.46</v>
      </c>
      <c r="AN75"/>
      <c r="AO75"/>
      <c r="AP75"/>
      <c r="AQ75"/>
    </row>
    <row r="76" spans="38:43" ht="15" x14ac:dyDescent="0.25">
      <c r="AL76" s="110" t="s">
        <v>15</v>
      </c>
      <c r="AM76" s="111">
        <v>45.57</v>
      </c>
      <c r="AN76"/>
      <c r="AO76"/>
      <c r="AP76"/>
      <c r="AQ76"/>
    </row>
    <row r="77" spans="38:43" ht="15" x14ac:dyDescent="0.25">
      <c r="AL77" s="110" t="s">
        <v>16</v>
      </c>
      <c r="AM77" s="111">
        <v>43.18</v>
      </c>
      <c r="AN77"/>
      <c r="AO77"/>
      <c r="AP77"/>
      <c r="AQ77"/>
    </row>
    <row r="78" spans="38:43" ht="15" x14ac:dyDescent="0.25">
      <c r="AL78" s="110" t="s">
        <v>17</v>
      </c>
      <c r="AM78" s="111">
        <v>43.1</v>
      </c>
      <c r="AN78"/>
      <c r="AO78"/>
      <c r="AP78"/>
      <c r="AQ78"/>
    </row>
    <row r="79" spans="38:43" ht="15" x14ac:dyDescent="0.25">
      <c r="AL79" s="110" t="s">
        <v>18</v>
      </c>
      <c r="AM79" s="111">
        <v>43.45</v>
      </c>
      <c r="AN79"/>
      <c r="AO79"/>
      <c r="AP79"/>
      <c r="AQ79"/>
    </row>
    <row r="80" spans="38:43" ht="23.25" x14ac:dyDescent="0.25">
      <c r="AL80" s="110" t="s">
        <v>19</v>
      </c>
      <c r="AM80" s="111">
        <v>43.45</v>
      </c>
      <c r="AN80"/>
      <c r="AO80"/>
      <c r="AP80" s="112" t="s">
        <v>142</v>
      </c>
      <c r="AQ80" t="s">
        <v>143</v>
      </c>
    </row>
    <row r="81" spans="32:43" ht="15" x14ac:dyDescent="0.25">
      <c r="AL81" s="110" t="s">
        <v>20</v>
      </c>
      <c r="AM81" s="111">
        <v>53.85</v>
      </c>
      <c r="AN81" s="113">
        <f>1/AM81</f>
        <v>1.8570102135561744E-2</v>
      </c>
      <c r="AO81" t="s">
        <v>144</v>
      </c>
      <c r="AP81" s="115"/>
      <c r="AQ81" s="114">
        <f>+AP81*AN81</f>
        <v>0</v>
      </c>
    </row>
    <row r="82" spans="32:43" ht="15" x14ac:dyDescent="0.25">
      <c r="AL82" t="s">
        <v>145</v>
      </c>
      <c r="AM82" s="116">
        <f>AVERAGE(AM70:AM81)</f>
        <v>42.245833333333337</v>
      </c>
      <c r="AN82" s="113">
        <f>1/AM82</f>
        <v>2.3670973468783902E-2</v>
      </c>
      <c r="AO82" t="s">
        <v>146</v>
      </c>
      <c r="AP82" s="115"/>
      <c r="AQ82" s="118">
        <f>+AP82*AN82</f>
        <v>0</v>
      </c>
    </row>
    <row r="93" spans="32:43" x14ac:dyDescent="0.2">
      <c r="AL93" s="79" t="s">
        <v>149</v>
      </c>
    </row>
    <row r="94" spans="32:43" ht="15" x14ac:dyDescent="0.25">
      <c r="AL94" s="110" t="s">
        <v>6</v>
      </c>
      <c r="AM94" s="111">
        <v>64.319999999999993</v>
      </c>
      <c r="AN94"/>
      <c r="AO94"/>
    </row>
    <row r="95" spans="32:43" ht="15" x14ac:dyDescent="0.25">
      <c r="AL95" s="110" t="s">
        <v>10</v>
      </c>
      <c r="AM95" s="111">
        <v>68.3</v>
      </c>
      <c r="AN95"/>
      <c r="AO95"/>
    </row>
    <row r="96" spans="32:43" ht="15" x14ac:dyDescent="0.25">
      <c r="AF96" s="2">
        <f>1/0.0044548</f>
        <v>224.47696866301516</v>
      </c>
      <c r="AL96" s="110" t="s">
        <v>11</v>
      </c>
      <c r="AM96" s="111">
        <v>68.52</v>
      </c>
      <c r="AN96"/>
      <c r="AO96"/>
    </row>
    <row r="97" spans="38:41" ht="15" x14ac:dyDescent="0.25">
      <c r="AL97" s="110" t="s">
        <v>12</v>
      </c>
      <c r="AM97" s="111">
        <v>69.83</v>
      </c>
      <c r="AN97"/>
      <c r="AO97"/>
    </row>
    <row r="98" spans="38:41" ht="15" x14ac:dyDescent="0.25">
      <c r="AL98" s="110" t="s">
        <v>13</v>
      </c>
      <c r="AM98" s="111">
        <v>97.191000000000003</v>
      </c>
      <c r="AN98"/>
      <c r="AO98"/>
    </row>
    <row r="99" spans="38:41" ht="15" x14ac:dyDescent="0.25">
      <c r="AL99" s="110" t="s">
        <v>14</v>
      </c>
      <c r="AM99" s="111">
        <v>125.26</v>
      </c>
      <c r="AN99"/>
      <c r="AO99"/>
    </row>
    <row r="100" spans="38:41" ht="15" x14ac:dyDescent="0.25">
      <c r="AL100" s="110" t="s">
        <v>15</v>
      </c>
      <c r="AM100" s="111">
        <v>141.6</v>
      </c>
      <c r="AN100"/>
      <c r="AO100"/>
    </row>
    <row r="101" spans="38:41" ht="15" x14ac:dyDescent="0.25">
      <c r="AL101" s="110" t="s">
        <v>16</v>
      </c>
      <c r="AM101" s="111">
        <v>147.08250000000001</v>
      </c>
      <c r="AN101"/>
      <c r="AO101"/>
    </row>
    <row r="102" spans="38:41" ht="15" x14ac:dyDescent="0.25">
      <c r="AL102" s="110" t="s">
        <v>17</v>
      </c>
      <c r="AM102" s="111">
        <v>177.614</v>
      </c>
      <c r="AN102"/>
      <c r="AO102"/>
    </row>
    <row r="103" spans="38:41" ht="15" x14ac:dyDescent="0.25">
      <c r="AL103" s="110" t="s">
        <v>18</v>
      </c>
      <c r="AM103" s="111">
        <f>1/0.004471</f>
        <v>223.66360993066428</v>
      </c>
      <c r="AN103"/>
      <c r="AO103"/>
    </row>
    <row r="104" spans="38:41" ht="15" x14ac:dyDescent="0.25">
      <c r="AL104" s="110" t="s">
        <v>19</v>
      </c>
      <c r="AM104" s="111">
        <f>1/0.004113</f>
        <v>243.13153415998053</v>
      </c>
      <c r="AN104"/>
      <c r="AO104"/>
    </row>
    <row r="105" spans="38:41" ht="15" x14ac:dyDescent="0.25">
      <c r="AL105" s="110" t="s">
        <v>20</v>
      </c>
      <c r="AM105" s="111">
        <v>298.1431</v>
      </c>
      <c r="AN105" s="113">
        <f>1/AM105</f>
        <v>3.3540940575180174E-3</v>
      </c>
      <c r="AO105" t="s">
        <v>144</v>
      </c>
    </row>
    <row r="106" spans="38:41" ht="15" x14ac:dyDescent="0.25">
      <c r="AL106" t="s">
        <v>145</v>
      </c>
      <c r="AM106" s="116">
        <f>AVERAGE(AM94:AM105)</f>
        <v>143.72131200755373</v>
      </c>
      <c r="AN106" s="113">
        <f>1/AM106</f>
        <v>6.9579103198518103E-3</v>
      </c>
      <c r="AO106" t="s">
        <v>146</v>
      </c>
    </row>
    <row r="108" spans="38:41" x14ac:dyDescent="0.2">
      <c r="AN108" s="2">
        <v>5000</v>
      </c>
    </row>
    <row r="109" spans="38:41" x14ac:dyDescent="0.2">
      <c r="AN109" s="119">
        <f>+AN108*AN106</f>
        <v>34.789551599259049</v>
      </c>
    </row>
    <row r="116" spans="38:41" x14ac:dyDescent="0.2">
      <c r="AL116" s="79" t="s">
        <v>150</v>
      </c>
    </row>
    <row r="117" spans="38:41" ht="15" x14ac:dyDescent="0.25">
      <c r="AL117" s="110" t="s">
        <v>6</v>
      </c>
      <c r="AM117" s="111">
        <v>363.66</v>
      </c>
      <c r="AN117"/>
      <c r="AO117"/>
    </row>
    <row r="118" spans="38:41" ht="15" x14ac:dyDescent="0.25">
      <c r="AL118" s="110" t="s">
        <v>10</v>
      </c>
      <c r="AM118" s="111"/>
      <c r="AN118"/>
      <c r="AO118"/>
    </row>
    <row r="119" spans="38:41" ht="15" x14ac:dyDescent="0.25">
      <c r="AL119" s="110" t="s">
        <v>11</v>
      </c>
      <c r="AM119" s="111"/>
      <c r="AN119"/>
      <c r="AO119"/>
    </row>
    <row r="120" spans="38:41" ht="15" x14ac:dyDescent="0.25">
      <c r="AL120" s="110" t="s">
        <v>12</v>
      </c>
      <c r="AM120" s="111"/>
      <c r="AN120"/>
      <c r="AO120"/>
    </row>
    <row r="121" spans="38:41" ht="15" x14ac:dyDescent="0.25">
      <c r="AL121" s="110" t="s">
        <v>13</v>
      </c>
      <c r="AM121" s="111"/>
      <c r="AN121"/>
      <c r="AO121"/>
    </row>
    <row r="122" spans="38:41" ht="15" x14ac:dyDescent="0.25">
      <c r="AL122" s="110" t="s">
        <v>14</v>
      </c>
      <c r="AM122" s="111"/>
      <c r="AN122"/>
      <c r="AO122"/>
    </row>
    <row r="123" spans="38:41" ht="15" x14ac:dyDescent="0.25">
      <c r="AL123" s="110" t="s">
        <v>15</v>
      </c>
      <c r="AM123" s="111"/>
      <c r="AN123"/>
      <c r="AO123"/>
    </row>
    <row r="124" spans="38:41" ht="15" x14ac:dyDescent="0.25">
      <c r="AL124" s="110" t="s">
        <v>16</v>
      </c>
      <c r="AM124" s="111"/>
      <c r="AN124"/>
      <c r="AO124"/>
    </row>
    <row r="125" spans="38:41" ht="15" x14ac:dyDescent="0.25">
      <c r="AL125" s="110" t="s">
        <v>17</v>
      </c>
      <c r="AM125" s="111"/>
      <c r="AN125"/>
      <c r="AO125"/>
    </row>
    <row r="126" spans="38:41" ht="15" x14ac:dyDescent="0.25">
      <c r="AL126" s="110" t="s">
        <v>18</v>
      </c>
      <c r="AM126" s="111"/>
      <c r="AN126"/>
      <c r="AO126"/>
    </row>
    <row r="127" spans="38:41" ht="15" x14ac:dyDescent="0.25">
      <c r="AL127" s="110" t="s">
        <v>19</v>
      </c>
      <c r="AM127" s="111"/>
      <c r="AN127"/>
      <c r="AO127"/>
    </row>
    <row r="128" spans="38:41" ht="15" x14ac:dyDescent="0.25">
      <c r="AL128" s="110" t="s">
        <v>20</v>
      </c>
      <c r="AM128" s="111"/>
      <c r="AN128" s="113" t="e">
        <f>1/AM128</f>
        <v>#DIV/0!</v>
      </c>
      <c r="AO128" t="s">
        <v>144</v>
      </c>
    </row>
    <row r="129" spans="38:41" ht="15" x14ac:dyDescent="0.25">
      <c r="AL129" t="s">
        <v>145</v>
      </c>
      <c r="AM129" s="116">
        <f>AVERAGE(AM117:AM128)</f>
        <v>363.66</v>
      </c>
      <c r="AN129" s="113">
        <f>1/AM129</f>
        <v>2.7498212616179946E-3</v>
      </c>
      <c r="AO129" t="s">
        <v>146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F0302-B6D1-4FBC-8AA7-7DB9BD8FCE36}">
  <sheetPr>
    <tabColor theme="2" tint="-0.249977111117893"/>
  </sheetPr>
  <dimension ref="A1:AH48"/>
  <sheetViews>
    <sheetView showGridLines="0" topLeftCell="S1" zoomScale="93" zoomScaleNormal="93" workbookViewId="0">
      <selection activeCell="AH37" sqref="AH37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151</v>
      </c>
      <c r="T3" s="18" t="s">
        <v>151</v>
      </c>
    </row>
    <row r="4" spans="1:34" ht="14.25" customHeight="1" x14ac:dyDescent="0.2">
      <c r="A4" s="78" t="str">
        <f>+Paramet!A3</f>
        <v>202501</v>
      </c>
      <c r="B4" s="2" t="s">
        <v>22</v>
      </c>
      <c r="K4" s="120"/>
      <c r="L4" s="120"/>
      <c r="M4" s="120"/>
      <c r="N4" s="120"/>
      <c r="O4" s="120"/>
      <c r="P4" s="120"/>
      <c r="Q4" s="120"/>
      <c r="R4" s="120"/>
      <c r="S4" s="120"/>
      <c r="T4" s="3" t="s">
        <v>23</v>
      </c>
    </row>
    <row r="5" spans="1:34" ht="14.25" customHeight="1" x14ac:dyDescent="0.2">
      <c r="A5" s="78" t="str">
        <f>+Paramet!A4</f>
        <v>202501</v>
      </c>
      <c r="B5" s="3" t="s">
        <v>152</v>
      </c>
      <c r="K5" s="13"/>
      <c r="L5" s="13"/>
      <c r="M5" s="24"/>
      <c r="N5" s="24"/>
      <c r="O5" s="10"/>
      <c r="P5" s="13"/>
      <c r="Q5" s="13"/>
      <c r="R5" s="10"/>
      <c r="S5" s="10"/>
      <c r="T5" s="3" t="s">
        <v>152</v>
      </c>
    </row>
    <row r="6" spans="1:34" ht="14.25" customHeight="1" thickBot="1" x14ac:dyDescent="0.25">
      <c r="A6" s="78" t="str">
        <f>+Paramet!B3</f>
        <v>202601</v>
      </c>
      <c r="B6" s="21" t="str">
        <f>+'COLOMB$ '!B6</f>
        <v>ENERO de 2026</v>
      </c>
      <c r="K6" s="22" t="s">
        <v>25</v>
      </c>
      <c r="L6" s="22"/>
      <c r="M6" s="22"/>
      <c r="N6" s="22"/>
      <c r="O6" s="22"/>
      <c r="P6" s="22"/>
      <c r="Q6" s="22"/>
      <c r="R6" s="22"/>
      <c r="S6" s="15"/>
      <c r="T6" s="21" t="str">
        <f>+B6</f>
        <v>ENERO de 2026</v>
      </c>
      <c r="X6" s="22" t="s">
        <v>25</v>
      </c>
      <c r="Y6" s="22"/>
      <c r="Z6" s="22"/>
      <c r="AA6" s="22"/>
      <c r="AB6" s="22"/>
      <c r="AC6" s="22"/>
    </row>
    <row r="7" spans="1:34" ht="14.25" customHeight="1" x14ac:dyDescent="0.2">
      <c r="A7" s="78" t="str">
        <f>+Paramet!B4</f>
        <v>202601</v>
      </c>
      <c r="B7" s="61"/>
      <c r="C7" s="61" t="str">
        <f>+'COLOMB$ '!D7:D7</f>
        <v>Ppto 2026</v>
      </c>
      <c r="D7" s="61"/>
      <c r="E7" s="61" t="str">
        <f>+'COLOMB$ '!F7:F7</f>
        <v>Real 2026</v>
      </c>
      <c r="F7" s="61"/>
      <c r="G7" s="61" t="s">
        <v>26</v>
      </c>
      <c r="H7" s="61" t="str">
        <f>+'COLOMB$ '!I7:I7</f>
        <v>Real 2025</v>
      </c>
      <c r="I7" s="61"/>
      <c r="J7" s="61" t="s">
        <v>27</v>
      </c>
      <c r="K7" s="61" t="str">
        <f>+C7</f>
        <v>Ppto 2026</v>
      </c>
      <c r="L7" s="61"/>
      <c r="M7" s="61" t="str">
        <f>+E7</f>
        <v>Real 2026</v>
      </c>
      <c r="N7" s="61"/>
      <c r="O7" s="61" t="s">
        <v>26</v>
      </c>
      <c r="P7" s="61" t="str">
        <f>+H7</f>
        <v>Real 2025</v>
      </c>
      <c r="Q7" s="61"/>
      <c r="R7" s="61" t="s">
        <v>27</v>
      </c>
      <c r="T7" s="54"/>
      <c r="U7" s="54" t="str">
        <f>+C7</f>
        <v>Ppto 2026</v>
      </c>
      <c r="V7" s="54" t="str">
        <f>+M7</f>
        <v>Real 2026</v>
      </c>
      <c r="W7" s="54" t="str">
        <f>+H7</f>
        <v>Real 2025</v>
      </c>
      <c r="X7" s="121" t="str">
        <f>+K7</f>
        <v>Ppto 2026</v>
      </c>
      <c r="Y7" s="54" t="str">
        <f>+V7</f>
        <v>Real 2026</v>
      </c>
      <c r="Z7" s="54" t="s">
        <v>28</v>
      </c>
      <c r="AA7" s="54" t="s">
        <v>26</v>
      </c>
      <c r="AB7" s="54" t="str">
        <f>+W7</f>
        <v>Real 2025</v>
      </c>
      <c r="AC7" s="54" t="s">
        <v>27</v>
      </c>
    </row>
    <row r="8" spans="1:34" ht="14.25" customHeight="1" thickBot="1" x14ac:dyDescent="0.25">
      <c r="B8" s="27" t="s">
        <v>29</v>
      </c>
      <c r="C8" s="28" t="s">
        <v>30</v>
      </c>
      <c r="D8" s="28" t="s">
        <v>31</v>
      </c>
      <c r="E8" s="28" t="s">
        <v>30</v>
      </c>
      <c r="F8" s="28" t="s">
        <v>31</v>
      </c>
      <c r="G8" s="28" t="s">
        <v>32</v>
      </c>
      <c r="H8" s="28" t="s">
        <v>30</v>
      </c>
      <c r="I8" s="28" t="s">
        <v>31</v>
      </c>
      <c r="J8" s="28" t="s">
        <v>32</v>
      </c>
      <c r="K8" s="28" t="s">
        <v>30</v>
      </c>
      <c r="L8" s="28" t="s">
        <v>31</v>
      </c>
      <c r="M8" s="28" t="s">
        <v>30</v>
      </c>
      <c r="N8" s="28" t="s">
        <v>31</v>
      </c>
      <c r="O8" s="28" t="s">
        <v>32</v>
      </c>
      <c r="P8" s="28" t="s">
        <v>30</v>
      </c>
      <c r="Q8" s="28" t="s">
        <v>31</v>
      </c>
      <c r="R8" s="28" t="s">
        <v>32</v>
      </c>
      <c r="T8" s="30"/>
      <c r="U8" s="31"/>
      <c r="V8" s="31"/>
      <c r="W8" s="31"/>
      <c r="X8" s="31"/>
      <c r="Y8" s="31"/>
      <c r="Z8" s="31"/>
      <c r="AA8" s="31" t="s">
        <v>32</v>
      </c>
      <c r="AB8" s="31"/>
      <c r="AC8" s="31" t="s">
        <v>32</v>
      </c>
    </row>
    <row r="9" spans="1:34" ht="14.25" customHeight="1" x14ac:dyDescent="0.2">
      <c r="T9" s="3"/>
    </row>
    <row r="10" spans="1:34" ht="14.25" customHeight="1" x14ac:dyDescent="0.2">
      <c r="B10" s="3" t="s">
        <v>67</v>
      </c>
      <c r="C10" s="33">
        <f>+E10</f>
        <v>0</v>
      </c>
      <c r="D10" s="35" t="str">
        <f>IF($C$20&lt;=0," ",C10/$C$20)</f>
        <v xml:space="preserve"> </v>
      </c>
      <c r="E10" s="33">
        <v>0</v>
      </c>
      <c r="F10" s="35" t="str">
        <f>IF($E$20&lt;=0," ",E10/$E$20)</f>
        <v xml:space="preserve"> </v>
      </c>
      <c r="G10" s="35" t="str">
        <f>IF(C10=0,"",(E10-C10)/ABS(C10)+1)</f>
        <v/>
      </c>
      <c r="H10" s="33">
        <v>0</v>
      </c>
      <c r="I10" s="35" t="str">
        <f>IF(E10=0,"",(G10-E10)/ABS(E10)+1)</f>
        <v/>
      </c>
      <c r="J10" s="35" t="str">
        <f>IF($H$20&lt;=0," ",I10/$H$20)</f>
        <v xml:space="preserve"> </v>
      </c>
      <c r="K10" s="33">
        <f t="shared" ref="K10:K15" si="0">+M10</f>
        <v>0</v>
      </c>
      <c r="L10" s="35" t="str">
        <f>IF($K$20&lt;=0," ",K10/$K$20)</f>
        <v xml:space="preserve"> </v>
      </c>
      <c r="M10" s="33">
        <v>0</v>
      </c>
      <c r="N10" s="35" t="str">
        <f>IF($M$20&lt;=0," ",M10/$M$20)</f>
        <v xml:space="preserve"> </v>
      </c>
      <c r="O10" s="35" t="str">
        <f t="shared" ref="O10:O15" si="1">IF(K10=0,"",(M10-K10)/ABS(K10)+1)</f>
        <v/>
      </c>
      <c r="P10" s="33">
        <v>0</v>
      </c>
      <c r="Q10" s="35" t="e">
        <f t="shared" ref="Q10:Q15" si="2">+P10/$P$20</f>
        <v>#DIV/0!</v>
      </c>
      <c r="R10" s="35" t="str">
        <f>IF(P10=0,"",(M10-P10)/ABS(P10))</f>
        <v/>
      </c>
      <c r="T10" s="3" t="s">
        <v>33</v>
      </c>
      <c r="U10" s="33">
        <f>+V10</f>
        <v>7873.1</v>
      </c>
      <c r="V10" s="33">
        <v>7873.1</v>
      </c>
      <c r="W10" s="33">
        <v>8811.7900000000009</v>
      </c>
      <c r="X10" s="33">
        <f>+Y10</f>
        <v>7873.1</v>
      </c>
      <c r="Y10" s="33">
        <v>7873.1</v>
      </c>
      <c r="Z10" s="63">
        <f>+Y10-X10</f>
        <v>0</v>
      </c>
      <c r="AA10" s="68">
        <f>IF(X10=0,"",(Y10-X10)/ABS(X10)+1)</f>
        <v>1</v>
      </c>
      <c r="AB10" s="33">
        <v>9874.7900000000009</v>
      </c>
      <c r="AC10" s="68">
        <f>IF(W10=0,"",(Y10-AB10)/ABS(AB10))</f>
        <v>-0.20270709554329766</v>
      </c>
      <c r="AE10" s="33"/>
      <c r="AF10" s="33"/>
    </row>
    <row r="11" spans="1:34" ht="14.25" customHeight="1" x14ac:dyDescent="0.2">
      <c r="B11" s="3" t="s">
        <v>69</v>
      </c>
      <c r="C11" s="33">
        <v>0</v>
      </c>
      <c r="D11" s="35" t="str">
        <f t="shared" ref="D11:D20" si="3">IF($C$20&lt;=0," ",C11/$C$20)</f>
        <v xml:space="preserve"> </v>
      </c>
      <c r="E11" s="33">
        <v>0</v>
      </c>
      <c r="F11" s="35" t="str">
        <f t="shared" ref="F11:F20" si="4">IF($E$20&lt;=0," ",E11/$E$20)</f>
        <v xml:space="preserve"> </v>
      </c>
      <c r="G11" s="35" t="str">
        <f t="shared" ref="G11:G46" si="5">IF(C11=0,"",(E11-C11)/ABS(C11)+1)</f>
        <v/>
      </c>
      <c r="H11" s="33">
        <v>0</v>
      </c>
      <c r="I11" s="35" t="str">
        <f t="shared" ref="I11:I46" si="6">IF(E11=0,"",(G11-E11)/ABS(E11)+1)</f>
        <v/>
      </c>
      <c r="J11" s="35" t="str">
        <f>IF(H11=0,"",(E11-H11)/ABS(H11))</f>
        <v/>
      </c>
      <c r="K11" s="33">
        <f t="shared" si="0"/>
        <v>0</v>
      </c>
      <c r="L11" s="35" t="str">
        <f t="shared" ref="L11:L20" si="7">IF($K$20&lt;=0," ",K11/$K$20)</f>
        <v xml:space="preserve"> </v>
      </c>
      <c r="M11" s="33">
        <v>0</v>
      </c>
      <c r="N11" s="35" t="str">
        <f t="shared" ref="N11:N24" si="8">IF($M$20&lt;=0," ",M11/$M$20)</f>
        <v xml:space="preserve"> </v>
      </c>
      <c r="O11" s="35" t="str">
        <f t="shared" si="1"/>
        <v/>
      </c>
      <c r="P11" s="33">
        <v>0</v>
      </c>
      <c r="Q11" s="35" t="e">
        <f t="shared" si="2"/>
        <v>#DIV/0!</v>
      </c>
      <c r="R11" s="35" t="str">
        <f t="shared" ref="R11:R46" si="9">IF(P11=0,"",(M11-P11)/ABS(P11))</f>
        <v/>
      </c>
      <c r="T11" s="3" t="s">
        <v>34</v>
      </c>
      <c r="U11" s="33">
        <f>+V11</f>
        <v>0</v>
      </c>
      <c r="V11" s="33">
        <v>0</v>
      </c>
      <c r="W11" s="33">
        <v>0</v>
      </c>
      <c r="X11" s="33">
        <f>+Y11</f>
        <v>0</v>
      </c>
      <c r="Y11" s="33">
        <v>0</v>
      </c>
      <c r="Z11" s="63">
        <f>+Y11-X11</f>
        <v>0</v>
      </c>
      <c r="AA11" s="68" t="str">
        <f>IF(X11=0,"",(Y11-X11)/ABS(X11)+1)</f>
        <v/>
      </c>
      <c r="AB11" s="33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71</v>
      </c>
      <c r="C12" s="33">
        <v>0</v>
      </c>
      <c r="D12" s="35" t="str">
        <f t="shared" si="3"/>
        <v xml:space="preserve"> </v>
      </c>
      <c r="E12" s="33">
        <v>0</v>
      </c>
      <c r="F12" s="35" t="str">
        <f t="shared" si="4"/>
        <v xml:space="preserve"> </v>
      </c>
      <c r="G12" s="35" t="str">
        <f t="shared" si="5"/>
        <v/>
      </c>
      <c r="H12" s="33">
        <v>0</v>
      </c>
      <c r="I12" s="35" t="str">
        <f t="shared" si="6"/>
        <v/>
      </c>
      <c r="J12" s="35" t="str">
        <f>IF(H12=0,"",(E12-H12)/ABS(H12))</f>
        <v/>
      </c>
      <c r="K12" s="33">
        <f t="shared" si="0"/>
        <v>0</v>
      </c>
      <c r="L12" s="35" t="str">
        <f t="shared" si="7"/>
        <v xml:space="preserve"> </v>
      </c>
      <c r="M12" s="33">
        <v>0</v>
      </c>
      <c r="N12" s="35" t="str">
        <f t="shared" si="8"/>
        <v xml:space="preserve"> </v>
      </c>
      <c r="O12" s="35" t="str">
        <f t="shared" si="1"/>
        <v/>
      </c>
      <c r="P12" s="33">
        <v>0</v>
      </c>
      <c r="Q12" s="35" t="e">
        <f t="shared" si="2"/>
        <v>#DIV/0!</v>
      </c>
      <c r="R12" s="35" t="str">
        <f t="shared" si="9"/>
        <v/>
      </c>
      <c r="AE12" s="67"/>
      <c r="AF12" s="67"/>
    </row>
    <row r="13" spans="1:34" ht="14.25" customHeight="1" x14ac:dyDescent="0.2">
      <c r="B13" s="3" t="s">
        <v>74</v>
      </c>
      <c r="C13" s="33">
        <v>0</v>
      </c>
      <c r="D13" s="35" t="str">
        <f t="shared" si="3"/>
        <v xml:space="preserve"> </v>
      </c>
      <c r="E13" s="33">
        <v>0</v>
      </c>
      <c r="F13" s="35" t="str">
        <f t="shared" si="4"/>
        <v xml:space="preserve"> </v>
      </c>
      <c r="G13" s="35" t="str">
        <f t="shared" si="5"/>
        <v/>
      </c>
      <c r="H13" s="33">
        <v>0</v>
      </c>
      <c r="I13" s="35" t="str">
        <f t="shared" si="6"/>
        <v/>
      </c>
      <c r="J13" s="35" t="str">
        <f>IF(H13=0,"",(E13-H13)/ABS(H13))</f>
        <v/>
      </c>
      <c r="K13" s="33">
        <f t="shared" si="0"/>
        <v>0</v>
      </c>
      <c r="L13" s="35" t="str">
        <f t="shared" si="7"/>
        <v xml:space="preserve"> </v>
      </c>
      <c r="M13" s="33">
        <v>0</v>
      </c>
      <c r="N13" s="35" t="str">
        <f t="shared" si="8"/>
        <v xml:space="preserve"> </v>
      </c>
      <c r="O13" s="35" t="str">
        <f t="shared" si="1"/>
        <v/>
      </c>
      <c r="P13" s="33"/>
      <c r="Q13" s="35" t="e">
        <f t="shared" si="2"/>
        <v>#DIV/0!</v>
      </c>
      <c r="R13" s="35" t="str">
        <f t="shared" si="9"/>
        <v/>
      </c>
      <c r="T13" s="3" t="s">
        <v>35</v>
      </c>
      <c r="U13" s="33">
        <v>0</v>
      </c>
      <c r="V13" s="33">
        <v>0</v>
      </c>
      <c r="W13" s="33">
        <v>0</v>
      </c>
      <c r="X13" s="33"/>
      <c r="Y13" s="33"/>
      <c r="Z13" s="63">
        <f>+X13-Y13</f>
        <v>0</v>
      </c>
      <c r="AA13" s="68" t="str">
        <f>IF(X13=0,"",(Y13-X13)/ABS(X13)+1)</f>
        <v/>
      </c>
      <c r="AB13" s="33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75</v>
      </c>
      <c r="C14" s="33">
        <v>0</v>
      </c>
      <c r="D14" s="35" t="str">
        <f t="shared" si="3"/>
        <v xml:space="preserve"> </v>
      </c>
      <c r="E14" s="33">
        <v>0</v>
      </c>
      <c r="F14" s="35" t="str">
        <f t="shared" si="4"/>
        <v xml:space="preserve"> </v>
      </c>
      <c r="G14" s="35" t="str">
        <f t="shared" si="5"/>
        <v/>
      </c>
      <c r="H14" s="33">
        <v>0</v>
      </c>
      <c r="I14" s="35" t="str">
        <f t="shared" si="6"/>
        <v/>
      </c>
      <c r="J14" s="35" t="str">
        <f>IF(H14=0,"",(E14-H14)/ABS(H14))</f>
        <v/>
      </c>
      <c r="K14" s="33">
        <f t="shared" si="0"/>
        <v>0</v>
      </c>
      <c r="L14" s="35" t="str">
        <f t="shared" si="7"/>
        <v xml:space="preserve"> </v>
      </c>
      <c r="M14" s="33">
        <v>0</v>
      </c>
      <c r="N14" s="35" t="str">
        <f t="shared" si="8"/>
        <v xml:space="preserve"> </v>
      </c>
      <c r="O14" s="35" t="str">
        <f t="shared" si="1"/>
        <v/>
      </c>
      <c r="P14" s="33">
        <v>0</v>
      </c>
      <c r="Q14" s="35" t="e">
        <f t="shared" si="2"/>
        <v>#DIV/0!</v>
      </c>
      <c r="R14" s="35" t="str">
        <f t="shared" si="9"/>
        <v/>
      </c>
      <c r="T14" s="3" t="s">
        <v>36</v>
      </c>
      <c r="U14" s="33">
        <v>0</v>
      </c>
      <c r="V14" s="33">
        <v>0</v>
      </c>
      <c r="W14" s="33">
        <v>0</v>
      </c>
      <c r="X14" s="33"/>
      <c r="Y14" s="33"/>
      <c r="Z14" s="63">
        <f>+X14-Y14</f>
        <v>0</v>
      </c>
      <c r="AA14" s="68" t="str">
        <f>IF(X14=0,"",(Y14-X14)/ABS(X14)+1)</f>
        <v/>
      </c>
      <c r="AB14" s="33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77</v>
      </c>
      <c r="C15" s="33">
        <v>0</v>
      </c>
      <c r="D15" s="35" t="str">
        <f t="shared" si="3"/>
        <v xml:space="preserve"> </v>
      </c>
      <c r="E15" s="33">
        <v>0</v>
      </c>
      <c r="F15" s="35" t="str">
        <f t="shared" si="4"/>
        <v xml:space="preserve"> </v>
      </c>
      <c r="G15" s="35" t="str">
        <f t="shared" si="5"/>
        <v/>
      </c>
      <c r="H15" s="33">
        <v>0</v>
      </c>
      <c r="I15" s="35" t="str">
        <f t="shared" si="6"/>
        <v/>
      </c>
      <c r="J15" s="35" t="str">
        <f>IF(H15=0,"",(E15-H15)/ABS(H15))</f>
        <v/>
      </c>
      <c r="K15" s="33">
        <f t="shared" si="0"/>
        <v>0</v>
      </c>
      <c r="L15" s="35" t="str">
        <f t="shared" si="7"/>
        <v xml:space="preserve"> </v>
      </c>
      <c r="M15" s="33">
        <v>0</v>
      </c>
      <c r="N15" s="35" t="str">
        <f t="shared" si="8"/>
        <v xml:space="preserve"> </v>
      </c>
      <c r="O15" s="35" t="str">
        <f t="shared" si="1"/>
        <v/>
      </c>
      <c r="P15" s="33">
        <v>0</v>
      </c>
      <c r="Q15" s="35" t="e">
        <f t="shared" si="2"/>
        <v>#DIV/0!</v>
      </c>
      <c r="R15" s="35" t="str">
        <f t="shared" si="9"/>
        <v/>
      </c>
      <c r="T15" s="3" t="s">
        <v>37</v>
      </c>
      <c r="U15" s="33"/>
      <c r="V15" s="33">
        <v>0</v>
      </c>
      <c r="W15" s="33">
        <v>0</v>
      </c>
      <c r="X15" s="33"/>
      <c r="Y15" s="33"/>
      <c r="Z15" s="63">
        <f>+X15-Y15</f>
        <v>0</v>
      </c>
      <c r="AA15" s="68" t="str">
        <f>IF(X15=0,"",(Y15-X15)/ABS(X15)+1)</f>
        <v/>
      </c>
      <c r="AB15" s="33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78</v>
      </c>
      <c r="C16" s="33"/>
      <c r="D16" s="35" t="str">
        <f t="shared" si="3"/>
        <v xml:space="preserve"> </v>
      </c>
      <c r="E16" s="33"/>
      <c r="F16" s="35" t="str">
        <f t="shared" si="4"/>
        <v xml:space="preserve"> </v>
      </c>
      <c r="G16" s="35" t="str">
        <f t="shared" si="5"/>
        <v/>
      </c>
      <c r="H16" s="33"/>
      <c r="I16" s="35" t="str">
        <f t="shared" si="6"/>
        <v/>
      </c>
      <c r="J16" s="35"/>
      <c r="K16" s="33"/>
      <c r="L16" s="35" t="str">
        <f t="shared" si="7"/>
        <v xml:space="preserve"> </v>
      </c>
      <c r="M16" s="33"/>
      <c r="N16" s="35" t="str">
        <f t="shared" si="8"/>
        <v xml:space="preserve"> </v>
      </c>
      <c r="O16" s="35"/>
      <c r="P16" s="33"/>
      <c r="Q16" s="35"/>
      <c r="R16" s="35" t="str">
        <f t="shared" si="9"/>
        <v/>
      </c>
      <c r="T16" s="3" t="s">
        <v>38</v>
      </c>
      <c r="U16" s="33">
        <f>+V16</f>
        <v>0</v>
      </c>
      <c r="V16" s="33">
        <v>0</v>
      </c>
      <c r="W16" s="33">
        <v>1934</v>
      </c>
      <c r="X16" s="33">
        <f>+Y16</f>
        <v>0</v>
      </c>
      <c r="Y16" s="33">
        <v>0</v>
      </c>
      <c r="Z16" s="63">
        <f>+X16-Y16</f>
        <v>0</v>
      </c>
      <c r="AA16" s="68" t="str">
        <f>IF(X16=0,"",(Y16-X16)/ABS(X16)+1)</f>
        <v/>
      </c>
      <c r="AB16" s="33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80</v>
      </c>
      <c r="C17" s="33"/>
      <c r="D17" s="35" t="str">
        <f t="shared" si="3"/>
        <v xml:space="preserve"> </v>
      </c>
      <c r="E17" s="33"/>
      <c r="F17" s="35" t="str">
        <f t="shared" si="4"/>
        <v xml:space="preserve"> </v>
      </c>
      <c r="G17" s="35" t="str">
        <f t="shared" si="5"/>
        <v/>
      </c>
      <c r="H17" s="33"/>
      <c r="I17" s="35" t="str">
        <f t="shared" si="6"/>
        <v/>
      </c>
      <c r="J17" s="35"/>
      <c r="K17" s="33"/>
      <c r="L17" s="35" t="str">
        <f t="shared" si="7"/>
        <v xml:space="preserve"> </v>
      </c>
      <c r="M17" s="33"/>
      <c r="N17" s="35" t="str">
        <f t="shared" si="8"/>
        <v xml:space="preserve"> </v>
      </c>
      <c r="O17" s="35"/>
      <c r="P17" s="33"/>
      <c r="Q17" s="35"/>
      <c r="R17" s="35" t="str">
        <f t="shared" si="9"/>
        <v/>
      </c>
      <c r="T17" s="3" t="s">
        <v>39</v>
      </c>
      <c r="U17" s="33">
        <f>SUM(U16)</f>
        <v>0</v>
      </c>
      <c r="V17" s="33">
        <f>+V16</f>
        <v>0</v>
      </c>
      <c r="W17" s="33">
        <v>1934</v>
      </c>
      <c r="X17" s="33">
        <f>SUM(X16)</f>
        <v>0</v>
      </c>
      <c r="Y17" s="33">
        <f>+Y16</f>
        <v>0</v>
      </c>
      <c r="Z17" s="63">
        <f>+Y17-X17</f>
        <v>0</v>
      </c>
      <c r="AA17" s="68" t="str">
        <f>IF(X17=0,"",(Y17-X17)/ABS(X17)+1)</f>
        <v/>
      </c>
      <c r="AB17" s="33">
        <v>4372</v>
      </c>
      <c r="AC17" s="68">
        <f>IF(AB17=0,"",(Y17-AB17)/ABS(AB17))</f>
        <v>-1</v>
      </c>
    </row>
    <row r="18" spans="1:32" ht="14.25" customHeight="1" x14ac:dyDescent="0.2">
      <c r="B18" s="3" t="s">
        <v>82</v>
      </c>
      <c r="C18" s="33"/>
      <c r="D18" s="35" t="str">
        <f t="shared" si="3"/>
        <v xml:space="preserve"> </v>
      </c>
      <c r="E18" s="33"/>
      <c r="F18" s="35" t="str">
        <f t="shared" si="4"/>
        <v xml:space="preserve"> </v>
      </c>
      <c r="G18" s="35" t="str">
        <f t="shared" si="5"/>
        <v/>
      </c>
      <c r="H18" s="33"/>
      <c r="I18" s="35" t="str">
        <f t="shared" si="6"/>
        <v/>
      </c>
      <c r="J18" s="35"/>
      <c r="K18" s="33"/>
      <c r="L18" s="35" t="str">
        <f t="shared" si="7"/>
        <v xml:space="preserve"> </v>
      </c>
      <c r="M18" s="33"/>
      <c r="N18" s="35" t="str">
        <f t="shared" si="8"/>
        <v xml:space="preserve"> </v>
      </c>
      <c r="O18" s="35"/>
      <c r="P18" s="33"/>
      <c r="Q18" s="35"/>
      <c r="R18" s="35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84</v>
      </c>
      <c r="C19" s="33">
        <f>+E19</f>
        <v>0</v>
      </c>
      <c r="D19" s="35" t="str">
        <f t="shared" si="3"/>
        <v xml:space="preserve"> </v>
      </c>
      <c r="E19" s="33">
        <v>0</v>
      </c>
      <c r="F19" s="35" t="str">
        <f t="shared" si="4"/>
        <v xml:space="preserve"> </v>
      </c>
      <c r="G19" s="35" t="str">
        <f t="shared" si="5"/>
        <v/>
      </c>
      <c r="H19" s="33">
        <v>0</v>
      </c>
      <c r="I19" s="35" t="str">
        <f t="shared" si="6"/>
        <v/>
      </c>
      <c r="J19" s="35"/>
      <c r="K19" s="33">
        <f>+M19</f>
        <v>0</v>
      </c>
      <c r="L19" s="35" t="str">
        <f t="shared" si="7"/>
        <v xml:space="preserve"> </v>
      </c>
      <c r="M19" s="33">
        <v>0</v>
      </c>
      <c r="N19" s="35" t="str">
        <f t="shared" si="8"/>
        <v xml:space="preserve"> </v>
      </c>
      <c r="O19" s="35"/>
      <c r="P19" s="33">
        <v>0</v>
      </c>
      <c r="Q19" s="33" t="e">
        <f>+P19/$P$20</f>
        <v>#DIV/0!</v>
      </c>
      <c r="R19" s="35" t="str">
        <f t="shared" si="9"/>
        <v/>
      </c>
      <c r="T19" s="3" t="s">
        <v>40</v>
      </c>
      <c r="U19" s="33">
        <f>+U11-U16</f>
        <v>0</v>
      </c>
      <c r="V19" s="33">
        <f>+V11-V16</f>
        <v>0</v>
      </c>
      <c r="W19" s="33">
        <v>-1934</v>
      </c>
      <c r="X19" s="33">
        <f>+X11-X16</f>
        <v>0</v>
      </c>
      <c r="Y19" s="33">
        <f>+Y11-Y16</f>
        <v>0</v>
      </c>
      <c r="Z19" s="63">
        <f>+Y19-X19</f>
        <v>0</v>
      </c>
      <c r="AA19" s="68" t="str">
        <f>IF(X19=0,"",(Y19-X19)/ABS(X19)+1)</f>
        <v/>
      </c>
      <c r="AB19" s="33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1" t="s">
        <v>41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5" t="str">
        <f t="shared" si="5"/>
        <v/>
      </c>
      <c r="H20" s="69">
        <v>0</v>
      </c>
      <c r="I20" s="35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5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3"/>
      <c r="V20" s="33"/>
      <c r="W20" s="33"/>
      <c r="X20" s="33"/>
      <c r="Y20" s="33"/>
      <c r="Z20" s="63"/>
      <c r="AA20" s="68"/>
      <c r="AB20" s="33"/>
      <c r="AC20" s="68"/>
      <c r="AD20" s="67"/>
      <c r="AE20" s="67"/>
      <c r="AF20" s="67"/>
    </row>
    <row r="21" spans="1:32" ht="14.25" customHeight="1" x14ac:dyDescent="0.2">
      <c r="G21" s="35" t="str">
        <f t="shared" si="5"/>
        <v/>
      </c>
      <c r="I21" s="35" t="str">
        <f t="shared" si="6"/>
        <v/>
      </c>
      <c r="N21" s="35" t="str">
        <f t="shared" si="8"/>
        <v xml:space="preserve"> </v>
      </c>
      <c r="R21" s="35" t="str">
        <f t="shared" si="9"/>
        <v/>
      </c>
      <c r="T21" s="3" t="s">
        <v>42</v>
      </c>
      <c r="U21" s="33">
        <f>+U10+U19</f>
        <v>7873.1</v>
      </c>
      <c r="V21" s="33">
        <f>+V10+V19</f>
        <v>7873.1</v>
      </c>
      <c r="W21" s="33">
        <v>6877.7900000000009</v>
      </c>
      <c r="X21" s="33">
        <f>+X10+X19</f>
        <v>7873.1</v>
      </c>
      <c r="Y21" s="33">
        <f>+Y10+Y19</f>
        <v>7873.1</v>
      </c>
      <c r="Z21" s="63">
        <f>+Y21-X21</f>
        <v>0</v>
      </c>
      <c r="AA21" s="68">
        <f>IF(X21=0,"",(Y21-X21)/ABS(X21)+1)</f>
        <v>1</v>
      </c>
      <c r="AB21" s="33">
        <v>52877.79</v>
      </c>
      <c r="AC21" s="68">
        <f>IF(AB21=0,"",(Y21-AB21)/ABS(AB21))</f>
        <v>-0.85110762004236562</v>
      </c>
      <c r="AD21" s="67"/>
      <c r="AE21" s="67"/>
      <c r="AF21" s="67"/>
    </row>
    <row r="22" spans="1:32" ht="14.25" customHeight="1" x14ac:dyDescent="0.2">
      <c r="B22" s="3" t="s">
        <v>43</v>
      </c>
      <c r="C22" s="33">
        <v>0</v>
      </c>
      <c r="D22" s="35" t="str">
        <f>IF($C$20&lt;=0," ",C22/$C$20)</f>
        <v xml:space="preserve"> </v>
      </c>
      <c r="E22" s="33">
        <v>0</v>
      </c>
      <c r="F22" s="35" t="str">
        <f>IF($E$20&lt;=0," ",E22/$E$20)</f>
        <v xml:space="preserve"> </v>
      </c>
      <c r="G22" s="35" t="str">
        <f t="shared" si="5"/>
        <v/>
      </c>
      <c r="H22" s="33">
        <v>0</v>
      </c>
      <c r="I22" s="35" t="str">
        <f t="shared" si="6"/>
        <v/>
      </c>
      <c r="J22" s="35" t="str">
        <f>IF(H22=0,"",(E22-H22)/ABS(H22))</f>
        <v/>
      </c>
      <c r="K22" s="33">
        <v>0</v>
      </c>
      <c r="L22" s="35" t="str">
        <f>IF($K$20&lt;=0," ",K22/$K$20)</f>
        <v xml:space="preserve"> </v>
      </c>
      <c r="M22" s="33">
        <f>+M17</f>
        <v>0</v>
      </c>
      <c r="N22" s="35" t="str">
        <f t="shared" si="8"/>
        <v xml:space="preserve"> </v>
      </c>
      <c r="O22" s="35" t="str">
        <f>IF(K22=0,"",(M22-K22)/ABS(K22)+1)</f>
        <v/>
      </c>
      <c r="P22" s="33">
        <v>0</v>
      </c>
      <c r="Q22" s="35" t="e">
        <f>+P22/$P$20</f>
        <v>#DIV/0!</v>
      </c>
      <c r="R22" s="35" t="str">
        <f t="shared" si="9"/>
        <v/>
      </c>
      <c r="AD22" s="67"/>
      <c r="AE22" s="67"/>
      <c r="AF22" s="67"/>
    </row>
    <row r="23" spans="1:32" ht="14.25" customHeight="1" x14ac:dyDescent="0.2">
      <c r="G23" s="35" t="str">
        <f t="shared" si="5"/>
        <v/>
      </c>
      <c r="I23" s="35" t="str">
        <f t="shared" si="6"/>
        <v/>
      </c>
      <c r="N23" s="35" t="str">
        <f t="shared" si="8"/>
        <v xml:space="preserve"> </v>
      </c>
      <c r="R23" s="35" t="str">
        <f t="shared" si="9"/>
        <v/>
      </c>
      <c r="T23" s="3" t="s">
        <v>44</v>
      </c>
      <c r="U23" s="33"/>
      <c r="V23" s="33"/>
      <c r="W23" s="33"/>
      <c r="X23" s="33">
        <f>+AD21+U23</f>
        <v>0</v>
      </c>
      <c r="Y23" s="33">
        <f>+V23+AF21</f>
        <v>0</v>
      </c>
      <c r="Z23" s="63">
        <f>+Y23-X23</f>
        <v>0</v>
      </c>
      <c r="AA23" s="68" t="str">
        <f>IF(X23=0,"",(Y23-X23)/ABS(X23)+1)</f>
        <v/>
      </c>
      <c r="AB23" s="33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45</v>
      </c>
      <c r="C24" s="33">
        <f>+C19</f>
        <v>0</v>
      </c>
      <c r="D24" s="35" t="str">
        <f>IF($C$20&lt;=0," ",C24/$C$20)</f>
        <v xml:space="preserve"> </v>
      </c>
      <c r="E24" s="33">
        <f>+E19</f>
        <v>0</v>
      </c>
      <c r="F24" s="35" t="str">
        <f>IF($E$20&lt;=0," ",E24/$E$20)</f>
        <v xml:space="preserve"> </v>
      </c>
      <c r="G24" s="35" t="str">
        <f t="shared" si="5"/>
        <v/>
      </c>
      <c r="H24" s="33">
        <f>+H19</f>
        <v>0</v>
      </c>
      <c r="I24" s="35" t="str">
        <f t="shared" si="6"/>
        <v/>
      </c>
      <c r="J24" s="35" t="str">
        <f>IF(H24=0,"",(E24-H24)/ABS(H24))</f>
        <v/>
      </c>
      <c r="K24" s="33">
        <f>+K19</f>
        <v>0</v>
      </c>
      <c r="L24" s="35" t="str">
        <f>IF($K$20&lt;=0," ",K24/$K$20)</f>
        <v xml:space="preserve"> </v>
      </c>
      <c r="M24" s="33">
        <f>+M19</f>
        <v>0</v>
      </c>
      <c r="N24" s="35" t="str">
        <f t="shared" si="8"/>
        <v xml:space="preserve"> </v>
      </c>
      <c r="O24" s="35" t="str">
        <f>IF(K24=0,"",(M24-K24)/ABS(K24)+1)</f>
        <v/>
      </c>
      <c r="P24" s="33">
        <f>+P19</f>
        <v>0</v>
      </c>
      <c r="Q24" s="35" t="e">
        <f>+P24/$P$20</f>
        <v>#DIV/0!</v>
      </c>
      <c r="R24" s="35" t="str">
        <f t="shared" si="9"/>
        <v/>
      </c>
      <c r="AD24" s="67"/>
      <c r="AE24" s="67"/>
      <c r="AF24" s="67"/>
    </row>
    <row r="25" spans="1:32" ht="14.25" customHeight="1" x14ac:dyDescent="0.2">
      <c r="G25" s="35" t="str">
        <f t="shared" si="5"/>
        <v/>
      </c>
      <c r="I25" s="35" t="str">
        <f t="shared" si="6"/>
        <v/>
      </c>
      <c r="R25" s="35" t="str">
        <f t="shared" si="9"/>
        <v/>
      </c>
      <c r="T25" s="3" t="s">
        <v>46</v>
      </c>
      <c r="U25" s="33"/>
      <c r="V25" s="33"/>
      <c r="W25" s="33"/>
      <c r="X25" s="33">
        <f>+AD22+U25</f>
        <v>0</v>
      </c>
      <c r="Y25" s="33">
        <f>+V25+AF22</f>
        <v>0</v>
      </c>
      <c r="Z25" s="63">
        <f>+Y25-X25</f>
        <v>0</v>
      </c>
      <c r="AA25" s="68" t="str">
        <f>IF(X25=0,"",(Y25-X25)/ABS(X25)+1)</f>
        <v/>
      </c>
      <c r="AB25" s="33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47</v>
      </c>
      <c r="C26" s="33">
        <f>+E26</f>
        <v>0</v>
      </c>
      <c r="D26" s="35" t="str">
        <f>IF($C$20&lt;=0," ",C26/$C$20)</f>
        <v xml:space="preserve"> </v>
      </c>
      <c r="E26" s="33">
        <v>0</v>
      </c>
      <c r="F26" s="35" t="str">
        <f>IF($E$20&lt;=0," ",E26/$E$20)</f>
        <v xml:space="preserve"> </v>
      </c>
      <c r="G26" s="35" t="str">
        <f t="shared" si="5"/>
        <v/>
      </c>
      <c r="H26" s="33">
        <v>0</v>
      </c>
      <c r="I26" s="35" t="str">
        <f t="shared" si="6"/>
        <v/>
      </c>
      <c r="J26" s="35" t="str">
        <f>IF(H26=0,"",(E26-H26)/ABS(H26))</f>
        <v/>
      </c>
      <c r="K26" s="33">
        <f>+K20</f>
        <v>0</v>
      </c>
      <c r="L26" s="35" t="str">
        <f>IF($K$20&lt;=0," ",K26/$K$20)</f>
        <v xml:space="preserve"> </v>
      </c>
      <c r="M26" s="33"/>
      <c r="N26" s="35" t="str">
        <f>IF($M$20&lt;=0," ",M26/$M$20)</f>
        <v xml:space="preserve"> </v>
      </c>
      <c r="O26" s="35" t="str">
        <f>IF(K26=0,"",(M26-K26)/ABS(K26)+1)</f>
        <v/>
      </c>
      <c r="P26" s="33">
        <v>0</v>
      </c>
      <c r="Q26" s="35" t="e">
        <f>+P26/$P$20</f>
        <v>#DIV/0!</v>
      </c>
      <c r="R26" s="35" t="str">
        <f t="shared" si="9"/>
        <v/>
      </c>
    </row>
    <row r="27" spans="1:32" ht="14.25" customHeight="1" x14ac:dyDescent="0.2">
      <c r="A27" s="94"/>
      <c r="B27" s="3" t="s">
        <v>48</v>
      </c>
      <c r="C27" s="33">
        <f>+E27</f>
        <v>0</v>
      </c>
      <c r="D27" s="35" t="str">
        <f>IF($C$20&lt;=0," ",C27/$C$20)</f>
        <v xml:space="preserve"> </v>
      </c>
      <c r="E27" s="33">
        <v>0</v>
      </c>
      <c r="F27" s="35" t="str">
        <f>IF($E$20&lt;=0," ",E27/$E$20)</f>
        <v xml:space="preserve"> </v>
      </c>
      <c r="G27" s="35" t="str">
        <f t="shared" si="5"/>
        <v/>
      </c>
      <c r="H27" s="33">
        <v>0</v>
      </c>
      <c r="I27" s="35" t="str">
        <f t="shared" si="6"/>
        <v/>
      </c>
      <c r="J27" s="35" t="str">
        <f>IF(H27=0,"",(E27-H27)/ABS(H27))</f>
        <v/>
      </c>
      <c r="K27" s="33">
        <f>+K22</f>
        <v>0</v>
      </c>
      <c r="L27" s="35" t="str">
        <f>IF($K$20&lt;=0," ",K27/$K$20)</f>
        <v xml:space="preserve"> </v>
      </c>
      <c r="M27" s="33"/>
      <c r="N27" s="35" t="str">
        <f>IF($M$20&lt;=0," ",M27/$M$20)</f>
        <v xml:space="preserve"> </v>
      </c>
      <c r="O27" s="35" t="str">
        <f>IF(K27=0,"",(M27-K27)/ABS(K27)+1)</f>
        <v/>
      </c>
      <c r="P27" s="33">
        <v>0</v>
      </c>
      <c r="Q27" s="35" t="e">
        <f>+P27/$P$20</f>
        <v>#DIV/0!</v>
      </c>
      <c r="R27" s="35" t="str">
        <f t="shared" si="9"/>
        <v/>
      </c>
      <c r="T27" s="3" t="s">
        <v>49</v>
      </c>
      <c r="U27" s="33"/>
      <c r="V27" s="33"/>
      <c r="W27" s="33"/>
      <c r="X27" s="33">
        <f>+AD23+U27</f>
        <v>0</v>
      </c>
      <c r="Y27" s="33">
        <f>+AE23+V27</f>
        <v>0</v>
      </c>
      <c r="Z27" s="63">
        <f>+Y27-X27</f>
        <v>0</v>
      </c>
      <c r="AA27" s="68" t="str">
        <f>IF(X27=0,"",(Y27-X27)/ABS(X27)+1)</f>
        <v/>
      </c>
      <c r="AB27" s="33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50</v>
      </c>
      <c r="C28" s="33">
        <f>SUM(C26:C27)</f>
        <v>0</v>
      </c>
      <c r="D28" s="35" t="str">
        <f>IF($C$20&lt;=0," ",C28/$C$20)</f>
        <v xml:space="preserve"> </v>
      </c>
      <c r="E28" s="33">
        <f>SUM(E26:E27)</f>
        <v>0</v>
      </c>
      <c r="F28" s="35" t="str">
        <f>IF($E$20&lt;=0," ",E28/$E$20)</f>
        <v xml:space="preserve"> </v>
      </c>
      <c r="G28" s="35" t="str">
        <f t="shared" si="5"/>
        <v/>
      </c>
      <c r="H28" s="33">
        <f>SUM(H26:H27)</f>
        <v>0</v>
      </c>
      <c r="I28" s="35" t="str">
        <f t="shared" si="6"/>
        <v/>
      </c>
      <c r="J28" s="35" t="str">
        <f>IF(H28=0,"",(E28-H28)/ABS(H28))</f>
        <v/>
      </c>
      <c r="K28" s="33">
        <f>+K24</f>
        <v>0</v>
      </c>
      <c r="L28" s="35" t="str">
        <f>IF($K$20&lt;=0," ",K28/$K$20)</f>
        <v xml:space="preserve"> </v>
      </c>
      <c r="M28" s="33"/>
      <c r="N28" s="35" t="str">
        <f>IF($M$20&lt;=0," ",M28/$M$20)</f>
        <v xml:space="preserve"> </v>
      </c>
      <c r="O28" s="35" t="str">
        <f>IF(K28=0,"",(M28-K28)/ABS(K28)+1)</f>
        <v/>
      </c>
      <c r="P28" s="33">
        <f>+P27+P26</f>
        <v>0</v>
      </c>
      <c r="Q28" s="35" t="e">
        <f>+P28/$P$20</f>
        <v>#DIV/0!</v>
      </c>
      <c r="R28" s="35" t="str">
        <f t="shared" si="9"/>
        <v/>
      </c>
      <c r="T28" s="3" t="s">
        <v>153</v>
      </c>
      <c r="U28" s="33">
        <f>+V28</f>
        <v>0</v>
      </c>
      <c r="V28" s="33">
        <v>0</v>
      </c>
      <c r="W28" s="33">
        <v>0</v>
      </c>
      <c r="X28" s="33">
        <f>+Y28</f>
        <v>0</v>
      </c>
      <c r="Y28" s="33">
        <v>0</v>
      </c>
      <c r="Z28" s="63">
        <f>+Y28-X28</f>
        <v>0</v>
      </c>
      <c r="AA28" s="68" t="str">
        <f>IF(X28=0,"",(Y28-X28)/ABS(X28)+1)</f>
        <v/>
      </c>
      <c r="AB28" s="33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5" t="str">
        <f t="shared" si="5"/>
        <v/>
      </c>
      <c r="I29" s="35" t="str">
        <f t="shared" si="6"/>
        <v/>
      </c>
      <c r="R29" s="35" t="str">
        <f t="shared" si="9"/>
        <v/>
      </c>
    </row>
    <row r="30" spans="1:32" ht="14.25" customHeight="1" x14ac:dyDescent="0.2">
      <c r="A30" s="94"/>
      <c r="B30" s="3" t="s">
        <v>52</v>
      </c>
      <c r="C30" s="33">
        <f>+E30</f>
        <v>0</v>
      </c>
      <c r="D30" s="35" t="str">
        <f>IF($C$20&lt;=0," ",C30/$C$20)</f>
        <v xml:space="preserve"> </v>
      </c>
      <c r="E30" s="33"/>
      <c r="F30" s="35" t="str">
        <f>IF($E$20&lt;=0," ",E30/$E$20)</f>
        <v xml:space="preserve"> </v>
      </c>
      <c r="G30" s="35" t="str">
        <f t="shared" si="5"/>
        <v/>
      </c>
      <c r="H30" s="33"/>
      <c r="I30" s="35" t="str">
        <f t="shared" si="6"/>
        <v/>
      </c>
      <c r="J30" s="35" t="str">
        <f>IF(H30=0,"",(E30-H30)/ABS(H30))</f>
        <v/>
      </c>
      <c r="K30" s="33">
        <f>+K26</f>
        <v>0</v>
      </c>
      <c r="L30" s="35" t="str">
        <f>IF($K$20&lt;=0," ",K30/$K$20)</f>
        <v xml:space="preserve"> </v>
      </c>
      <c r="M30" s="33"/>
      <c r="N30" s="35" t="str">
        <f>IF($M$20&lt;=0," ",M30/$M$20)</f>
        <v xml:space="preserve"> </v>
      </c>
      <c r="O30" s="35" t="str">
        <f>IF(K30=0,"",(M30-K30)/ABS(K30)+1)</f>
        <v/>
      </c>
      <c r="P30" s="33"/>
      <c r="Q30" s="35" t="e">
        <f>+P30/$P$20</f>
        <v>#DIV/0!</v>
      </c>
      <c r="R30" s="35" t="str">
        <f t="shared" si="9"/>
        <v/>
      </c>
      <c r="T30" s="21" t="s">
        <v>53</v>
      </c>
      <c r="U30" s="69">
        <f>U21-U23-U25-U27-U28</f>
        <v>7873.1</v>
      </c>
      <c r="V30" s="69">
        <f>V21-V23-V25-V27-V28</f>
        <v>7873.1</v>
      </c>
      <c r="W30" s="69">
        <v>6877.7900000000009</v>
      </c>
      <c r="X30" s="69">
        <f>X21-X23-X25-X27-X28</f>
        <v>7873.1</v>
      </c>
      <c r="Y30" s="69">
        <f>Y21-Y23-Y25-Y27-Y28</f>
        <v>7873.1</v>
      </c>
      <c r="Z30" s="71">
        <f>V30-U30</f>
        <v>0</v>
      </c>
      <c r="AA30" s="72">
        <f>IF(U30=0,"",(V30-U30)/ABS(U30)+1)</f>
        <v>1</v>
      </c>
      <c r="AB30" s="69">
        <v>6877.7900000000009</v>
      </c>
      <c r="AC30" s="72">
        <f>IF(W30=0,"",(V30-W30)/ABS(W30))</f>
        <v>0.14471363621163183</v>
      </c>
    </row>
    <row r="31" spans="1:32" ht="14.25" customHeight="1" x14ac:dyDescent="0.2">
      <c r="A31" s="94"/>
      <c r="B31" s="3" t="s">
        <v>154</v>
      </c>
      <c r="C31" s="33">
        <f>+E31</f>
        <v>0</v>
      </c>
      <c r="D31" s="35" t="str">
        <f>IF($C$20&lt;=0," ",C31/$C$20)</f>
        <v xml:space="preserve"> </v>
      </c>
      <c r="E31" s="33">
        <v>0</v>
      </c>
      <c r="F31" s="35" t="str">
        <f>IF($E$20&lt;=0," ",E31/$E$20)</f>
        <v xml:space="preserve"> </v>
      </c>
      <c r="G31" s="35" t="str">
        <f t="shared" si="5"/>
        <v/>
      </c>
      <c r="H31" s="33">
        <v>0</v>
      </c>
      <c r="I31" s="35" t="str">
        <f t="shared" si="6"/>
        <v/>
      </c>
      <c r="J31" s="35" t="str">
        <f>IF(H31=0,"",(E31-H31)/ABS(H31))</f>
        <v/>
      </c>
      <c r="K31" s="33">
        <f>+K27</f>
        <v>0</v>
      </c>
      <c r="L31" s="35" t="str">
        <f>IF($K$20&lt;=0," ",K31/$K$20)</f>
        <v xml:space="preserve"> </v>
      </c>
      <c r="M31" s="33">
        <v>0</v>
      </c>
      <c r="N31" s="35" t="str">
        <f>IF($M$20&lt;=0," ",M31/$M$20)</f>
        <v xml:space="preserve"> </v>
      </c>
      <c r="O31" s="35" t="str">
        <f>IF(K31=0,"",(M31-K31)/ABS(K31)+1)</f>
        <v/>
      </c>
      <c r="P31" s="33">
        <v>0</v>
      </c>
      <c r="Q31" s="35" t="e">
        <f>+P31/$P$20</f>
        <v>#DIV/0!</v>
      </c>
      <c r="R31" s="35" t="str">
        <f t="shared" si="9"/>
        <v/>
      </c>
    </row>
    <row r="32" spans="1:32" ht="14.25" customHeight="1" x14ac:dyDescent="0.2">
      <c r="A32" s="94"/>
      <c r="B32" s="3" t="s">
        <v>55</v>
      </c>
      <c r="C32" s="33">
        <f>SUM(C30:C31)</f>
        <v>0</v>
      </c>
      <c r="D32" s="35" t="str">
        <f>IF($C$20&lt;=0," ",C32/$C$20)</f>
        <v xml:space="preserve"> </v>
      </c>
      <c r="E32" s="33">
        <f>SUM(E30:E31)</f>
        <v>0</v>
      </c>
      <c r="F32" s="35" t="str">
        <f>IF($E$20&lt;=0," ",E32/$E$20)</f>
        <v xml:space="preserve"> </v>
      </c>
      <c r="G32" s="35" t="str">
        <f t="shared" si="5"/>
        <v/>
      </c>
      <c r="H32" s="33">
        <f>SUM(H30:H31)</f>
        <v>0</v>
      </c>
      <c r="I32" s="35" t="str">
        <f t="shared" si="6"/>
        <v/>
      </c>
      <c r="J32" s="35" t="str">
        <f>IF(H32=0,"",(E32-H32)/ABS(H32))</f>
        <v/>
      </c>
      <c r="K32" s="33">
        <f>+K28</f>
        <v>0</v>
      </c>
      <c r="L32" s="35" t="str">
        <f>IF($K$20&lt;=0," ",K32/$K$20)</f>
        <v xml:space="preserve"> </v>
      </c>
      <c r="M32" s="33">
        <f>SUM(M30:M31)</f>
        <v>0</v>
      </c>
      <c r="N32" s="35" t="str">
        <f>IF($M$20&lt;=0," ",M32/$M$20)</f>
        <v xml:space="preserve"> </v>
      </c>
      <c r="O32" s="35" t="str">
        <f>IF(K32=0,"",(M32-K32)/ABS(K32)+1)</f>
        <v/>
      </c>
      <c r="P32" s="33">
        <f>+P31</f>
        <v>0</v>
      </c>
      <c r="Q32" s="35" t="e">
        <f>+P32/$P$20</f>
        <v>#DIV/0!</v>
      </c>
      <c r="R32" s="35" t="str">
        <f t="shared" si="9"/>
        <v/>
      </c>
    </row>
    <row r="33" spans="1:20" ht="14.25" customHeight="1" x14ac:dyDescent="0.2">
      <c r="A33" s="94"/>
      <c r="G33" s="35" t="str">
        <f t="shared" si="5"/>
        <v/>
      </c>
      <c r="I33" s="35" t="str">
        <f t="shared" si="6"/>
        <v/>
      </c>
      <c r="R33" s="35" t="str">
        <f t="shared" si="9"/>
        <v/>
      </c>
    </row>
    <row r="34" spans="1:20" ht="14.25" customHeight="1" x14ac:dyDescent="0.2">
      <c r="A34" s="94"/>
      <c r="B34" s="3" t="s">
        <v>56</v>
      </c>
      <c r="C34" s="33">
        <f>C28+C32</f>
        <v>0</v>
      </c>
      <c r="D34" s="35" t="str">
        <f>IF($C$20&lt;=0," ",C34/$C$20)</f>
        <v xml:space="preserve"> </v>
      </c>
      <c r="E34" s="33">
        <f>E28+E32</f>
        <v>0</v>
      </c>
      <c r="F34" s="35" t="str">
        <f>IF($E$20&lt;=0," ",E34/$E$20)</f>
        <v xml:space="preserve"> </v>
      </c>
      <c r="G34" s="35" t="str">
        <f t="shared" si="5"/>
        <v/>
      </c>
      <c r="H34" s="33">
        <f>H28+H32</f>
        <v>0</v>
      </c>
      <c r="I34" s="35" t="str">
        <f t="shared" si="6"/>
        <v/>
      </c>
      <c r="J34" s="35" t="str">
        <f>IF(H34=0,"",(E34-H34)/ABS(H34))</f>
        <v/>
      </c>
      <c r="K34" s="33">
        <f>+K30</f>
        <v>0</v>
      </c>
      <c r="L34" s="35" t="str">
        <f>IF($K$20&lt;=0," ",K34/$K$20)</f>
        <v xml:space="preserve"> </v>
      </c>
      <c r="M34" s="33">
        <f>M28+M32</f>
        <v>0</v>
      </c>
      <c r="N34" s="35" t="str">
        <f>IF($M$20&lt;=0," ",M34/$M$20)</f>
        <v xml:space="preserve"> </v>
      </c>
      <c r="O34" s="35" t="str">
        <f>IF(K34=0,"",(M34-K34)/ABS(K34)+1)</f>
        <v/>
      </c>
      <c r="P34" s="33">
        <f>+P32</f>
        <v>0</v>
      </c>
      <c r="Q34" s="35" t="e">
        <f>+P34/$P$20</f>
        <v>#DIV/0!</v>
      </c>
      <c r="R34" s="35" t="str">
        <f t="shared" si="9"/>
        <v/>
      </c>
    </row>
    <row r="35" spans="1:20" ht="14.25" customHeight="1" x14ac:dyDescent="0.2">
      <c r="G35" s="35" t="str">
        <f t="shared" si="5"/>
        <v/>
      </c>
      <c r="I35" s="35" t="str">
        <f t="shared" si="6"/>
        <v/>
      </c>
      <c r="R35" s="35" t="str">
        <f t="shared" si="9"/>
        <v/>
      </c>
    </row>
    <row r="36" spans="1:20" ht="14.25" customHeight="1" x14ac:dyDescent="0.2">
      <c r="B36" s="21" t="s">
        <v>57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5" t="str">
        <f t="shared" si="5"/>
        <v/>
      </c>
      <c r="H36" s="69">
        <f>+H24-H34</f>
        <v>0</v>
      </c>
      <c r="I36" s="35" t="str">
        <f t="shared" si="6"/>
        <v/>
      </c>
      <c r="J36" s="45" t="str">
        <f>IF(H36=0,"",(E36-H36)/ABS(H36))</f>
        <v/>
      </c>
      <c r="K36" s="69">
        <f>+K31</f>
        <v>0</v>
      </c>
      <c r="L36" s="45" t="str">
        <f>IF($K$20&lt;=0," ",K36/$K$20)</f>
        <v xml:space="preserve"> </v>
      </c>
      <c r="M36" s="69">
        <f>+M24-M34</f>
        <v>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0</v>
      </c>
      <c r="Q36" s="45" t="e">
        <f>+P36/$P$20</f>
        <v>#DIV/0!</v>
      </c>
      <c r="R36" s="45" t="str">
        <f t="shared" si="9"/>
        <v/>
      </c>
    </row>
    <row r="37" spans="1:20" ht="14.25" customHeight="1" x14ac:dyDescent="0.2">
      <c r="G37" s="35" t="str">
        <f t="shared" si="5"/>
        <v/>
      </c>
      <c r="I37" s="35" t="str">
        <f t="shared" si="6"/>
        <v/>
      </c>
      <c r="R37" s="35" t="str">
        <f t="shared" si="9"/>
        <v/>
      </c>
      <c r="T37" s="55"/>
    </row>
    <row r="38" spans="1:20" ht="14.25" customHeight="1" x14ac:dyDescent="0.2">
      <c r="B38" s="3" t="s">
        <v>58</v>
      </c>
      <c r="C38" s="33">
        <f>+E38</f>
        <v>0</v>
      </c>
      <c r="D38" s="35" t="str">
        <f>IF($C$20&lt;=0," ",C38/$C$20)</f>
        <v xml:space="preserve"> </v>
      </c>
      <c r="E38" s="33">
        <v>0</v>
      </c>
      <c r="F38" s="35" t="str">
        <f>IF($E$20&lt;=0," ",E38/$E$20)</f>
        <v xml:space="preserve"> </v>
      </c>
      <c r="G38" s="35" t="str">
        <f t="shared" si="5"/>
        <v/>
      </c>
      <c r="H38" s="33">
        <v>0</v>
      </c>
      <c r="I38" s="35" t="str">
        <f t="shared" si="6"/>
        <v/>
      </c>
      <c r="J38" s="35" t="str">
        <f>IF(H38=0,"",(E38-H38)/ABS(H38))</f>
        <v/>
      </c>
      <c r="K38" s="33">
        <f>+K32</f>
        <v>0</v>
      </c>
      <c r="L38" s="35" t="str">
        <f>IF($K$20&lt;=0," ",K38/$K$20)</f>
        <v xml:space="preserve"> </v>
      </c>
      <c r="M38" s="33">
        <v>0</v>
      </c>
      <c r="N38" s="35" t="str">
        <f>IF($M$20&lt;=0," ",M38/$M$20)</f>
        <v xml:space="preserve"> </v>
      </c>
      <c r="O38" s="35" t="str">
        <f>IF(K38=0,"",(M38-K38)/ABS(K38)+1)</f>
        <v/>
      </c>
      <c r="P38" s="33">
        <v>0</v>
      </c>
      <c r="Q38" s="35" t="e">
        <f>+P38/$P$20</f>
        <v>#DIV/0!</v>
      </c>
      <c r="R38" s="35" t="str">
        <f t="shared" si="9"/>
        <v/>
      </c>
    </row>
    <row r="39" spans="1:20" ht="14.25" customHeight="1" x14ac:dyDescent="0.2">
      <c r="B39" s="3" t="s">
        <v>59</v>
      </c>
      <c r="C39" s="33">
        <f>+E39</f>
        <v>0</v>
      </c>
      <c r="D39" s="35" t="str">
        <f>IF($C$20&lt;=0," ",C39/$C$20)</f>
        <v xml:space="preserve"> </v>
      </c>
      <c r="E39" s="33">
        <v>0</v>
      </c>
      <c r="F39" s="35" t="str">
        <f>IF($E$20&lt;=0," ",E39/$E$20)</f>
        <v xml:space="preserve"> </v>
      </c>
      <c r="G39" s="35" t="str">
        <f t="shared" si="5"/>
        <v/>
      </c>
      <c r="H39" s="33">
        <v>0</v>
      </c>
      <c r="I39" s="35" t="str">
        <f t="shared" si="6"/>
        <v/>
      </c>
      <c r="J39" s="35" t="str">
        <f>IF(H39=0,"",(E39-H39)/ABS(H39))</f>
        <v/>
      </c>
      <c r="K39" s="33">
        <f>+K34</f>
        <v>0</v>
      </c>
      <c r="L39" s="35" t="str">
        <f>IF($K$20&lt;=0," ",K39/$K$20)</f>
        <v xml:space="preserve"> </v>
      </c>
      <c r="M39" s="33">
        <v>0</v>
      </c>
      <c r="N39" s="35" t="str">
        <f>IF($M$20&lt;=0," ",M39/$M$20)</f>
        <v xml:space="preserve"> </v>
      </c>
      <c r="O39" s="35" t="str">
        <f>IF(K39=0,"",(M39-K39)/ABS(K39)+1)</f>
        <v/>
      </c>
      <c r="P39" s="33">
        <v>0</v>
      </c>
      <c r="Q39" s="35" t="e">
        <f>+P39/$P$20</f>
        <v>#DIV/0!</v>
      </c>
      <c r="R39" s="35" t="str">
        <f t="shared" si="9"/>
        <v/>
      </c>
    </row>
    <row r="40" spans="1:20" ht="14.25" customHeight="1" x14ac:dyDescent="0.2">
      <c r="G40" s="35" t="str">
        <f t="shared" si="5"/>
        <v/>
      </c>
      <c r="I40" s="35" t="str">
        <f t="shared" si="6"/>
        <v/>
      </c>
      <c r="R40" s="35" t="str">
        <f t="shared" si="9"/>
        <v/>
      </c>
    </row>
    <row r="41" spans="1:20" ht="14.25" customHeight="1" x14ac:dyDescent="0.2">
      <c r="B41" s="3" t="s">
        <v>60</v>
      </c>
      <c r="C41" s="33">
        <f>C36+C38-C39</f>
        <v>0</v>
      </c>
      <c r="D41" s="35" t="str">
        <f>IF($C$20&lt;=0," ",C41/$C$20)</f>
        <v xml:space="preserve"> </v>
      </c>
      <c r="E41" s="33">
        <f>+E36-E39+E38</f>
        <v>0</v>
      </c>
      <c r="F41" s="35" t="str">
        <f>IF($E$20&lt;=0," ",E41/$E$20)</f>
        <v xml:space="preserve"> </v>
      </c>
      <c r="G41" s="35" t="str">
        <f t="shared" si="5"/>
        <v/>
      </c>
      <c r="H41" s="33">
        <f>+H36-H39+H38</f>
        <v>0</v>
      </c>
      <c r="I41" s="35" t="str">
        <f t="shared" si="6"/>
        <v/>
      </c>
      <c r="J41" s="35" t="str">
        <f>IF(H41=0,"",(E41-H41)/ABS(H41))</f>
        <v/>
      </c>
      <c r="K41" s="33">
        <f>+K36</f>
        <v>0</v>
      </c>
      <c r="L41" s="35" t="str">
        <f>IF($K$20&lt;=0," ",K41/$K$20)</f>
        <v xml:space="preserve"> </v>
      </c>
      <c r="M41" s="33">
        <f>+M36-M39+M38</f>
        <v>0</v>
      </c>
      <c r="N41" s="35" t="str">
        <f>IF($M$20&lt;=0," ",M41/$M$20)</f>
        <v xml:space="preserve"> </v>
      </c>
      <c r="O41" s="35" t="str">
        <f>IF(K41=0,"",(M41-K41)/ABS(K41)+1)</f>
        <v/>
      </c>
      <c r="P41" s="33">
        <f>P36+P38-P39</f>
        <v>0</v>
      </c>
      <c r="Q41" s="35" t="e">
        <f>+P41/$P$20</f>
        <v>#DIV/0!</v>
      </c>
      <c r="R41" s="35" t="str">
        <f t="shared" si="9"/>
        <v/>
      </c>
    </row>
    <row r="42" spans="1:20" ht="14.25" customHeight="1" x14ac:dyDescent="0.2">
      <c r="B42" s="3" t="s">
        <v>46</v>
      </c>
      <c r="C42" s="33"/>
      <c r="D42" s="35" t="str">
        <f>IF($C$20&lt;=0," ",C42/$C$20)</f>
        <v xml:space="preserve"> </v>
      </c>
      <c r="E42" s="33"/>
      <c r="F42" s="35" t="str">
        <f>IF($E$20&lt;=0," ",E42/$E$20)</f>
        <v xml:space="preserve"> </v>
      </c>
      <c r="G42" s="35" t="str">
        <f t="shared" si="5"/>
        <v/>
      </c>
      <c r="H42" s="33"/>
      <c r="I42" s="35" t="str">
        <f t="shared" si="6"/>
        <v/>
      </c>
      <c r="J42" s="35" t="str">
        <f>IF(H42=0,"",(E42-H42)/ABS(H42))</f>
        <v/>
      </c>
      <c r="K42" s="33">
        <f>+K38</f>
        <v>0</v>
      </c>
      <c r="L42" s="35" t="str">
        <f>IF($K$20&lt;=0," ",K42/$K$20)</f>
        <v xml:space="preserve"> </v>
      </c>
      <c r="M42" s="33"/>
      <c r="N42" s="35" t="str">
        <f>IF($M$20&lt;=0," ",M42/$M$20)</f>
        <v xml:space="preserve"> </v>
      </c>
      <c r="O42" s="35" t="str">
        <f>IF(K42=0,"",(M42-K42)/ABS(K42)+1)</f>
        <v/>
      </c>
      <c r="P42" s="33">
        <f>+H42</f>
        <v>0</v>
      </c>
      <c r="Q42" s="35" t="e">
        <f>+P42/$P$20</f>
        <v>#DIV/0!</v>
      </c>
      <c r="R42" s="35" t="str">
        <f t="shared" si="9"/>
        <v/>
      </c>
    </row>
    <row r="43" spans="1:20" ht="14.25" customHeight="1" x14ac:dyDescent="0.2">
      <c r="B43" s="21" t="s">
        <v>61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5" t="str">
        <f t="shared" si="5"/>
        <v/>
      </c>
      <c r="H43" s="69">
        <f>H41-H42</f>
        <v>0</v>
      </c>
      <c r="I43" s="35" t="str">
        <f t="shared" si="6"/>
        <v/>
      </c>
      <c r="J43" s="45" t="str">
        <f>IF(H43=0,"",(E43-H43)/ABS(H43))</f>
        <v/>
      </c>
      <c r="K43" s="69">
        <f>+K39</f>
        <v>0</v>
      </c>
      <c r="L43" s="45" t="str">
        <f>IF($K$20&lt;=0," ",K43/$K$20)</f>
        <v xml:space="preserve"> </v>
      </c>
      <c r="M43" s="69">
        <f>M41-M42</f>
        <v>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0</v>
      </c>
      <c r="Q43" s="45" t="e">
        <f>+P43/$P$20</f>
        <v>#DIV/0!</v>
      </c>
      <c r="R43" s="45" t="str">
        <f t="shared" si="9"/>
        <v/>
      </c>
    </row>
    <row r="44" spans="1:20" ht="14.25" customHeight="1" x14ac:dyDescent="0.2">
      <c r="G44" s="35" t="str">
        <f t="shared" si="5"/>
        <v/>
      </c>
      <c r="I44" s="35" t="str">
        <f t="shared" si="6"/>
        <v/>
      </c>
      <c r="R44" s="35" t="str">
        <f t="shared" si="9"/>
        <v/>
      </c>
    </row>
    <row r="45" spans="1:20" ht="14.25" customHeight="1" x14ac:dyDescent="0.2">
      <c r="B45" s="3" t="s">
        <v>62</v>
      </c>
      <c r="C45" s="33">
        <f>+C36</f>
        <v>0</v>
      </c>
      <c r="D45" s="35" t="str">
        <f>IF($C$20&lt;=0," ",C45/$C$20)</f>
        <v xml:space="preserve"> </v>
      </c>
      <c r="E45" s="33">
        <f>+E36</f>
        <v>0</v>
      </c>
      <c r="F45" s="35" t="str">
        <f>IF($E$20&lt;=0," ",E45/$E$20)</f>
        <v xml:space="preserve"> </v>
      </c>
      <c r="G45" s="35" t="str">
        <f t="shared" si="5"/>
        <v/>
      </c>
      <c r="H45" s="33">
        <f>+H36</f>
        <v>0</v>
      </c>
      <c r="I45" s="35" t="str">
        <f t="shared" si="6"/>
        <v/>
      </c>
      <c r="J45" s="35" t="str">
        <f>IF(H45=0,"",(E45-H45)/ABS(H45))</f>
        <v/>
      </c>
      <c r="K45" s="33">
        <f>+K41</f>
        <v>0</v>
      </c>
      <c r="L45" s="35" t="str">
        <f>IF($K$20&lt;=0," ",K45/$K$20)</f>
        <v xml:space="preserve"> </v>
      </c>
      <c r="M45" s="33">
        <f>+M36</f>
        <v>0</v>
      </c>
      <c r="N45" s="35" t="str">
        <f>IF($M$20&lt;=0," ",M45/$M$20)</f>
        <v xml:space="preserve"> </v>
      </c>
      <c r="O45" s="35" t="str">
        <f>IF(K45=0,"",(M45-K45)/ABS(K45)+1)</f>
        <v/>
      </c>
      <c r="P45" s="33">
        <f>+P36</f>
        <v>0</v>
      </c>
      <c r="Q45" s="35" t="e">
        <f>+P45/$P$20</f>
        <v>#DIV/0!</v>
      </c>
      <c r="R45" s="35" t="str">
        <f t="shared" si="9"/>
        <v/>
      </c>
    </row>
    <row r="46" spans="1:20" ht="14.25" customHeight="1" x14ac:dyDescent="0.2">
      <c r="B46" s="3" t="s">
        <v>37</v>
      </c>
      <c r="C46" s="33">
        <v>0</v>
      </c>
      <c r="D46" s="35" t="str">
        <f>IF($C$20&lt;=0," ",C46/$C$20)</f>
        <v xml:space="preserve"> </v>
      </c>
      <c r="E46" s="33">
        <v>0</v>
      </c>
      <c r="F46" s="35" t="str">
        <f>IF($E$20&lt;=0," ",E46/$E$20)</f>
        <v xml:space="preserve"> </v>
      </c>
      <c r="G46" s="35" t="str">
        <f t="shared" si="5"/>
        <v/>
      </c>
      <c r="H46" s="33">
        <v>0</v>
      </c>
      <c r="I46" s="35" t="str">
        <f t="shared" si="6"/>
        <v/>
      </c>
      <c r="J46" s="35" t="str">
        <f>IF(H46=0,"",(E46-H46)/ABS(H46))</f>
        <v/>
      </c>
      <c r="K46" s="33">
        <f>+K42</f>
        <v>0</v>
      </c>
      <c r="L46" s="35" t="str">
        <f>IF($K$20&lt;=0," ",K46/$K$20)</f>
        <v xml:space="preserve"> </v>
      </c>
      <c r="M46" s="33">
        <v>0</v>
      </c>
      <c r="N46" s="35" t="str">
        <f>IF($M$20&lt;=0," ",M46/$M$20)</f>
        <v xml:space="preserve"> </v>
      </c>
      <c r="O46" s="35" t="str">
        <f>IF(K46=0,"",(M46-K46)/ABS(K46)+1)</f>
        <v/>
      </c>
      <c r="P46" s="33">
        <v>0</v>
      </c>
      <c r="Q46" s="35" t="e">
        <f>+P46/$P$20</f>
        <v>#DIV/0!</v>
      </c>
      <c r="R46" s="35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2026-02-26T21:51:04Z</dcterms:created>
  <dcterms:modified xsi:type="dcterms:W3CDTF">2026-02-26T21:52:54Z</dcterms:modified>
</cp:coreProperties>
</file>