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0" documentId="8_{EEC8EBDC-795C-42ED-BB90-107D8CC34E65}" xr6:coauthVersionLast="47" xr6:coauthVersionMax="47" xr10:uidLastSave="{00000000-0000-0000-0000-000000000000}"/>
  <bookViews>
    <workbookView xWindow="-28920" yWindow="-120" windowWidth="29040" windowHeight="15840" activeTab="6" xr2:uid="{7CD632D3-EE50-475F-BC87-D147B955B722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0" r:id="rId12"/>
    <pivotCache cacheId="2" r:id="rId13"/>
    <pivotCache cacheId="1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AJ8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G30" i="10" s="1"/>
  <c r="R29" i="10"/>
  <c r="I29" i="10"/>
  <c r="G29" i="10"/>
  <c r="P28" i="10"/>
  <c r="H28" i="10"/>
  <c r="J28" i="10" s="1"/>
  <c r="E28" i="10"/>
  <c r="I28" i="10" s="1"/>
  <c r="AC27" i="10"/>
  <c r="Y27" i="10"/>
  <c r="Z27" i="10" s="1"/>
  <c r="X27" i="10"/>
  <c r="AA27" i="10" s="1"/>
  <c r="R27" i="10"/>
  <c r="K27" i="10"/>
  <c r="O27" i="10" s="1"/>
  <c r="J27" i="10"/>
  <c r="I27" i="10"/>
  <c r="C27" i="10"/>
  <c r="G27" i="10" s="1"/>
  <c r="R26" i="10"/>
  <c r="J26" i="10"/>
  <c r="I26" i="10"/>
  <c r="C26" i="10"/>
  <c r="AC25" i="10"/>
  <c r="Y25" i="10"/>
  <c r="Z25" i="10" s="1"/>
  <c r="X25" i="10"/>
  <c r="AA25" i="10" s="1"/>
  <c r="R25" i="10"/>
  <c r="I25" i="10"/>
  <c r="G25" i="10"/>
  <c r="AC23" i="10"/>
  <c r="Y23" i="10"/>
  <c r="X23" i="10"/>
  <c r="AA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P47" i="9"/>
  <c r="AY46" i="9"/>
  <c r="AV46" i="9"/>
  <c r="AN46" i="9"/>
  <c r="AQ46" i="9" s="1"/>
  <c r="H46" i="9"/>
  <c r="E46" i="9"/>
  <c r="D46" i="9"/>
  <c r="E45" i="9"/>
  <c r="D45" i="9"/>
  <c r="K43" i="9"/>
  <c r="O43" i="9" s="1"/>
  <c r="D43" i="9"/>
  <c r="P42" i="9"/>
  <c r="M42" i="9"/>
  <c r="R42" i="9" s="1"/>
  <c r="D42" i="9"/>
  <c r="P41" i="9"/>
  <c r="D41" i="9"/>
  <c r="C41" i="9"/>
  <c r="G41" i="9" s="1"/>
  <c r="P40" i="9"/>
  <c r="K39" i="9"/>
  <c r="H39" i="9"/>
  <c r="E39" i="9"/>
  <c r="D39" i="9"/>
  <c r="H38" i="9"/>
  <c r="E38" i="9"/>
  <c r="D38" i="9"/>
  <c r="P36" i="9"/>
  <c r="D36" i="9"/>
  <c r="C36" i="9"/>
  <c r="C58" i="7" s="1"/>
  <c r="P35" i="9"/>
  <c r="M35" i="9"/>
  <c r="H34" i="9"/>
  <c r="D34" i="9"/>
  <c r="P32" i="9"/>
  <c r="M32" i="9"/>
  <c r="R32" i="9" s="1"/>
  <c r="D32" i="9"/>
  <c r="P31" i="9"/>
  <c r="D31" i="9"/>
  <c r="C31" i="9"/>
  <c r="E30" i="9"/>
  <c r="D30" i="9"/>
  <c r="C30" i="9"/>
  <c r="AB28" i="9"/>
  <c r="AC28" i="9" s="1"/>
  <c r="AA28" i="9"/>
  <c r="Y28" i="9"/>
  <c r="Z28" i="9" s="1"/>
  <c r="D28" i="9"/>
  <c r="C28" i="9"/>
  <c r="G28" i="9" s="1"/>
  <c r="U27" i="9"/>
  <c r="P27" i="9"/>
  <c r="D27" i="9"/>
  <c r="U26" i="9"/>
  <c r="D26" i="9"/>
  <c r="C26" i="9"/>
  <c r="G26" i="9" s="1"/>
  <c r="AB25" i="9"/>
  <c r="U25" i="9"/>
  <c r="P25" i="9"/>
  <c r="M25" i="9"/>
  <c r="H24" i="9"/>
  <c r="D24" i="9"/>
  <c r="AC23" i="9"/>
  <c r="AA23" i="9"/>
  <c r="Z23" i="9"/>
  <c r="U23" i="9"/>
  <c r="P23" i="9"/>
  <c r="P22" i="9"/>
  <c r="M22" i="9"/>
  <c r="D22" i="9"/>
  <c r="C22" i="9"/>
  <c r="G22" i="9" s="1"/>
  <c r="AB21" i="9"/>
  <c r="O21" i="9"/>
  <c r="M21" i="9"/>
  <c r="R21" i="9" s="1"/>
  <c r="G21" i="9"/>
  <c r="AC20" i="9"/>
  <c r="P20" i="9"/>
  <c r="D20" i="9"/>
  <c r="AB19" i="9"/>
  <c r="M19" i="9"/>
  <c r="K19" i="9"/>
  <c r="D19" i="9"/>
  <c r="C19" i="9"/>
  <c r="U18" i="9"/>
  <c r="P18" i="9"/>
  <c r="Q18" i="9" s="1"/>
  <c r="H18" i="9"/>
  <c r="E18" i="9"/>
  <c r="J18" i="9" s="1"/>
  <c r="D18" i="9"/>
  <c r="W17" i="9"/>
  <c r="H17" i="9"/>
  <c r="D17" i="9"/>
  <c r="W16" i="9"/>
  <c r="V16" i="9"/>
  <c r="K16" i="9"/>
  <c r="O16" i="9" s="1"/>
  <c r="H16" i="9"/>
  <c r="D16" i="9"/>
  <c r="Y15" i="9"/>
  <c r="W15" i="9"/>
  <c r="M15" i="9"/>
  <c r="K15" i="9"/>
  <c r="D15" i="9"/>
  <c r="C15" i="9"/>
  <c r="U14" i="9"/>
  <c r="P14" i="9"/>
  <c r="Q14" i="9" s="1"/>
  <c r="D14" i="9"/>
  <c r="C14" i="9"/>
  <c r="G14" i="9" s="1"/>
  <c r="AB13" i="9"/>
  <c r="AC13" i="9" s="1"/>
  <c r="V13" i="9"/>
  <c r="U13" i="9"/>
  <c r="P13" i="9"/>
  <c r="D13" i="9"/>
  <c r="C13" i="9"/>
  <c r="U12" i="9"/>
  <c r="H12" i="9"/>
  <c r="D12" i="9"/>
  <c r="W11" i="9"/>
  <c r="V11" i="9"/>
  <c r="H11" i="9"/>
  <c r="E11" i="9"/>
  <c r="D11" i="9"/>
  <c r="X10" i="9"/>
  <c r="W10" i="9"/>
  <c r="V10" i="9"/>
  <c r="H10" i="9"/>
  <c r="E10" i="9"/>
  <c r="D10" i="9"/>
  <c r="G7" i="9"/>
  <c r="O7" i="9" s="1"/>
  <c r="AH4" i="9"/>
  <c r="AI7" i="9" s="1"/>
  <c r="AI8" i="9" s="1"/>
  <c r="AH3" i="9"/>
  <c r="C46" i="9" s="1"/>
  <c r="G46" i="9" s="1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K34" i="8"/>
  <c r="K42" i="9" s="1"/>
  <c r="O42" i="9" s="1"/>
  <c r="I34" i="8"/>
  <c r="R32" i="8"/>
  <c r="Q32" i="8"/>
  <c r="M32" i="8"/>
  <c r="K32" i="8"/>
  <c r="J32" i="8"/>
  <c r="I32" i="8"/>
  <c r="G32" i="8"/>
  <c r="E32" i="8"/>
  <c r="C32" i="8"/>
  <c r="C39" i="9" s="1"/>
  <c r="G39" i="9" s="1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K28" i="8"/>
  <c r="K32" i="9" s="1"/>
  <c r="I28" i="8"/>
  <c r="E28" i="8"/>
  <c r="J28" i="8" s="1"/>
  <c r="C28" i="8"/>
  <c r="C32" i="9" s="1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F26" i="8"/>
  <c r="Y25" i="8"/>
  <c r="X25" i="8"/>
  <c r="Q24" i="8"/>
  <c r="I24" i="8"/>
  <c r="AC23" i="8"/>
  <c r="AA23" i="8"/>
  <c r="Z23" i="8"/>
  <c r="R22" i="8"/>
  <c r="Q22" i="8"/>
  <c r="K22" i="8"/>
  <c r="O22" i="8" s="1"/>
  <c r="J22" i="8"/>
  <c r="I22" i="8"/>
  <c r="G22" i="8"/>
  <c r="AC20" i="8"/>
  <c r="Q20" i="8"/>
  <c r="N20" i="8"/>
  <c r="M20" i="8"/>
  <c r="N45" i="8" s="1"/>
  <c r="K20" i="8"/>
  <c r="K20" i="9" s="1"/>
  <c r="I20" i="8"/>
  <c r="E20" i="8"/>
  <c r="C20" i="8"/>
  <c r="D26" i="8" s="1"/>
  <c r="V19" i="8"/>
  <c r="V21" i="8" s="1"/>
  <c r="V30" i="8" s="1"/>
  <c r="B19" i="8"/>
  <c r="Y17" i="8"/>
  <c r="V17" i="8"/>
  <c r="V17" i="9" s="1"/>
  <c r="U17" i="8"/>
  <c r="U19" i="8" s="1"/>
  <c r="B17" i="8"/>
  <c r="AC16" i="8"/>
  <c r="AA16" i="8"/>
  <c r="X16" i="8"/>
  <c r="Z16" i="8" s="1"/>
  <c r="L16" i="8"/>
  <c r="B16" i="8"/>
  <c r="AC15" i="8"/>
  <c r="X15" i="8"/>
  <c r="AA15" i="8" s="1"/>
  <c r="R15" i="8"/>
  <c r="Q15" i="8"/>
  <c r="N15" i="8"/>
  <c r="J15" i="8"/>
  <c r="I15" i="8"/>
  <c r="G15" i="8"/>
  <c r="B15" i="8"/>
  <c r="AC14" i="8"/>
  <c r="AA14" i="8"/>
  <c r="Z14" i="8"/>
  <c r="X14" i="8"/>
  <c r="X14" i="9" s="1"/>
  <c r="AA14" i="9" s="1"/>
  <c r="R14" i="8"/>
  <c r="Q14" i="8"/>
  <c r="O14" i="8"/>
  <c r="N14" i="8"/>
  <c r="J14" i="8"/>
  <c r="I14" i="8"/>
  <c r="G14" i="8"/>
  <c r="F14" i="8"/>
  <c r="B14" i="8"/>
  <c r="AC13" i="8"/>
  <c r="X13" i="8"/>
  <c r="R13" i="8"/>
  <c r="Q13" i="8"/>
  <c r="O13" i="8"/>
  <c r="N13" i="8"/>
  <c r="J13" i="8"/>
  <c r="I13" i="8"/>
  <c r="G13" i="8"/>
  <c r="B13" i="8"/>
  <c r="R12" i="8"/>
  <c r="Q12" i="8"/>
  <c r="O12" i="8"/>
  <c r="N12" i="8"/>
  <c r="J12" i="8"/>
  <c r="I12" i="8"/>
  <c r="G12" i="8"/>
  <c r="B12" i="8"/>
  <c r="AC11" i="8"/>
  <c r="X11" i="8"/>
  <c r="AA11" i="8" s="1"/>
  <c r="R11" i="8"/>
  <c r="Q11" i="8"/>
  <c r="O11" i="8"/>
  <c r="N11" i="8"/>
  <c r="J11" i="8"/>
  <c r="I11" i="8"/>
  <c r="G11" i="8"/>
  <c r="B11" i="8"/>
  <c r="AC10" i="8"/>
  <c r="AA10" i="8"/>
  <c r="Z10" i="8"/>
  <c r="R10" i="8"/>
  <c r="Q10" i="8"/>
  <c r="O10" i="8"/>
  <c r="N10" i="8"/>
  <c r="J10" i="8"/>
  <c r="I10" i="8"/>
  <c r="G10" i="8"/>
  <c r="B10" i="8"/>
  <c r="W39" i="7"/>
  <c r="V39" i="7"/>
  <c r="AD28" i="7"/>
  <c r="Z28" i="7"/>
  <c r="Y28" i="7"/>
  <c r="AB28" i="7" s="1"/>
  <c r="AD27" i="7"/>
  <c r="Z27" i="7"/>
  <c r="Y27" i="7"/>
  <c r="AB27" i="7" s="1"/>
  <c r="Z25" i="7"/>
  <c r="AD25" i="7" s="1"/>
  <c r="Y25" i="7"/>
  <c r="AA25" i="7" s="1"/>
  <c r="Z23" i="7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AD16" i="7"/>
  <c r="Z16" i="7"/>
  <c r="Y16" i="7"/>
  <c r="AA16" i="7" s="1"/>
  <c r="R16" i="7"/>
  <c r="K16" i="7"/>
  <c r="B16" i="7"/>
  <c r="AD15" i="7"/>
  <c r="AB15" i="7"/>
  <c r="Z15" i="7"/>
  <c r="Y15" i="7"/>
  <c r="AA15" i="7" s="1"/>
  <c r="B15" i="7"/>
  <c r="AD14" i="7"/>
  <c r="Z14" i="7"/>
  <c r="Y14" i="7"/>
  <c r="AB14" i="7" s="1"/>
  <c r="R14" i="7"/>
  <c r="B14" i="7"/>
  <c r="Z13" i="7"/>
  <c r="AD13" i="7" s="1"/>
  <c r="Y13" i="7"/>
  <c r="B13" i="7"/>
  <c r="B12" i="7"/>
  <c r="Z11" i="7"/>
  <c r="AA11" i="7" s="1"/>
  <c r="Y11" i="7"/>
  <c r="B11" i="7"/>
  <c r="AD10" i="7"/>
  <c r="AB10" i="7"/>
  <c r="AA10" i="7"/>
  <c r="B10" i="7"/>
  <c r="C7" i="7"/>
  <c r="K7" i="7" s="1"/>
  <c r="U3" i="7"/>
  <c r="Z27" i="6"/>
  <c r="Y27" i="6"/>
  <c r="AG21" i="11" s="1"/>
  <c r="AE20" i="6"/>
  <c r="B19" i="6"/>
  <c r="B17" i="6"/>
  <c r="J16" i="6"/>
  <c r="H16" i="6"/>
  <c r="H16" i="11" s="1"/>
  <c r="J16" i="11" s="1"/>
  <c r="E16" i="6"/>
  <c r="B16" i="6"/>
  <c r="B15" i="6"/>
  <c r="P14" i="6"/>
  <c r="M14" i="6"/>
  <c r="B14" i="6"/>
  <c r="B13" i="6"/>
  <c r="B12" i="6"/>
  <c r="B11" i="6"/>
  <c r="AD10" i="6"/>
  <c r="AA8" i="11" s="1"/>
  <c r="Z10" i="6"/>
  <c r="Y10" i="6"/>
  <c r="X10" i="6"/>
  <c r="B10" i="6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AC20" i="4"/>
  <c r="AC10" i="4"/>
  <c r="AA10" i="4"/>
  <c r="Z10" i="4"/>
  <c r="I7" i="4"/>
  <c r="H7" i="10" s="1"/>
  <c r="F7" i="4"/>
  <c r="N7" i="4" s="1"/>
  <c r="V7" i="4" s="1"/>
  <c r="Y7" i="4" s="1"/>
  <c r="D7" i="4"/>
  <c r="C7" i="6" s="1"/>
  <c r="K7" i="6" s="1"/>
  <c r="B6" i="4"/>
  <c r="T3" i="4"/>
  <c r="X27" i="3"/>
  <c r="W27" i="3"/>
  <c r="AC20" i="3"/>
  <c r="B19" i="3"/>
  <c r="B18" i="3"/>
  <c r="B18" i="7" s="1"/>
  <c r="B17" i="3"/>
  <c r="J16" i="3"/>
  <c r="B16" i="3"/>
  <c r="B15" i="3"/>
  <c r="R14" i="3"/>
  <c r="B14" i="3"/>
  <c r="B13" i="3"/>
  <c r="B12" i="3"/>
  <c r="B11" i="3"/>
  <c r="AB10" i="3"/>
  <c r="Y10" i="3"/>
  <c r="AA10" i="6" s="1"/>
  <c r="X10" i="3"/>
  <c r="W10" i="3"/>
  <c r="V10" i="3"/>
  <c r="U10" i="3"/>
  <c r="W10" i="6" s="1"/>
  <c r="B10" i="3"/>
  <c r="U7" i="3"/>
  <c r="X7" i="3" s="1"/>
  <c r="H7" i="3"/>
  <c r="H7" i="8" s="1"/>
  <c r="E7" i="3"/>
  <c r="M7" i="3" s="1"/>
  <c r="V7" i="3" s="1"/>
  <c r="Y7" i="3" s="1"/>
  <c r="C7" i="3"/>
  <c r="C7" i="8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E4" i="2"/>
  <c r="D4" i="2"/>
  <c r="B4" i="2"/>
  <c r="B3" i="2"/>
  <c r="A6" i="10" s="1"/>
  <c r="E11" i="6" l="1"/>
  <c r="E11" i="11" s="1"/>
  <c r="E12" i="6"/>
  <c r="E30" i="6"/>
  <c r="M30" i="6"/>
  <c r="M12" i="6"/>
  <c r="E18" i="6"/>
  <c r="E18" i="11" s="1"/>
  <c r="K13" i="6"/>
  <c r="M11" i="6"/>
  <c r="M18" i="6"/>
  <c r="C13" i="6"/>
  <c r="C12" i="6"/>
  <c r="K12" i="6"/>
  <c r="C32" i="6"/>
  <c r="K32" i="6"/>
  <c r="C38" i="6"/>
  <c r="K38" i="6"/>
  <c r="C39" i="6"/>
  <c r="K39" i="6"/>
  <c r="C42" i="6"/>
  <c r="K42" i="6"/>
  <c r="C46" i="6"/>
  <c r="K46" i="6"/>
  <c r="M46" i="6"/>
  <c r="M32" i="6"/>
  <c r="O32" i="6" s="1"/>
  <c r="M38" i="6"/>
  <c r="E39" i="6"/>
  <c r="M39" i="6"/>
  <c r="E42" i="6"/>
  <c r="M42" i="6"/>
  <c r="M42" i="11" s="1"/>
  <c r="E46" i="6"/>
  <c r="E46" i="11" s="1"/>
  <c r="E13" i="6"/>
  <c r="M13" i="6"/>
  <c r="C14" i="6"/>
  <c r="K14" i="6"/>
  <c r="C15" i="6"/>
  <c r="C15" i="11" s="1"/>
  <c r="K15" i="6"/>
  <c r="K16" i="6"/>
  <c r="C22" i="6"/>
  <c r="K22" i="6"/>
  <c r="E32" i="6"/>
  <c r="E38" i="6"/>
  <c r="E38" i="11" s="1"/>
  <c r="C10" i="6"/>
  <c r="K10" i="6"/>
  <c r="E15" i="6"/>
  <c r="C16" i="6"/>
  <c r="C17" i="6"/>
  <c r="E22" i="6"/>
  <c r="C26" i="6"/>
  <c r="C27" i="6"/>
  <c r="E14" i="6"/>
  <c r="M15" i="6"/>
  <c r="M15" i="11" s="1"/>
  <c r="K17" i="6"/>
  <c r="M22" i="6"/>
  <c r="M22" i="11" s="1"/>
  <c r="K26" i="6"/>
  <c r="K27" i="6"/>
  <c r="E10" i="6"/>
  <c r="M10" i="6"/>
  <c r="C11" i="6"/>
  <c r="K11" i="6"/>
  <c r="E17" i="6"/>
  <c r="M17" i="6"/>
  <c r="C18" i="6"/>
  <c r="K18" i="6"/>
  <c r="E26" i="6"/>
  <c r="M26" i="6"/>
  <c r="E27" i="6"/>
  <c r="M27" i="6"/>
  <c r="C30" i="6"/>
  <c r="K30" i="6"/>
  <c r="X13" i="6"/>
  <c r="V13" i="3"/>
  <c r="X11" i="3"/>
  <c r="Z11" i="6"/>
  <c r="U15" i="3"/>
  <c r="W15" i="6"/>
  <c r="X11" i="6"/>
  <c r="V11" i="3"/>
  <c r="W13" i="6"/>
  <c r="W10" i="11" s="1"/>
  <c r="U13" i="3"/>
  <c r="Z23" i="6"/>
  <c r="X23" i="3"/>
  <c r="AA23" i="3" s="1"/>
  <c r="X27" i="6"/>
  <c r="V27" i="3"/>
  <c r="U14" i="3"/>
  <c r="W14" i="6"/>
  <c r="W11" i="11" s="1"/>
  <c r="AA23" i="6"/>
  <c r="Y23" i="3"/>
  <c r="X25" i="3"/>
  <c r="Z25" i="6"/>
  <c r="AA27" i="6"/>
  <c r="AC27" i="6" s="1"/>
  <c r="Y27" i="3"/>
  <c r="AA27" i="3" s="1"/>
  <c r="Z28" i="6"/>
  <c r="X28" i="3"/>
  <c r="X14" i="6"/>
  <c r="V14" i="3"/>
  <c r="AA25" i="6"/>
  <c r="Y25" i="3"/>
  <c r="Y11" i="3"/>
  <c r="AA11" i="6"/>
  <c r="X13" i="3"/>
  <c r="Z13" i="6"/>
  <c r="X15" i="6"/>
  <c r="V15" i="3"/>
  <c r="X16" i="6"/>
  <c r="V16" i="3"/>
  <c r="AA13" i="6"/>
  <c r="Y13" i="3"/>
  <c r="Y17" i="3" s="1"/>
  <c r="Z14" i="6"/>
  <c r="X14" i="3"/>
  <c r="AA14" i="3" s="1"/>
  <c r="AA14" i="6"/>
  <c r="Y14" i="3"/>
  <c r="Z16" i="6"/>
  <c r="X16" i="3"/>
  <c r="W23" i="6"/>
  <c r="W19" i="11" s="1"/>
  <c r="U23" i="3"/>
  <c r="AA28" i="6"/>
  <c r="Y28" i="3"/>
  <c r="Y15" i="3"/>
  <c r="AA15" i="6"/>
  <c r="AA16" i="6"/>
  <c r="Y16" i="3"/>
  <c r="X23" i="6"/>
  <c r="V23" i="3"/>
  <c r="W25" i="6"/>
  <c r="U25" i="3"/>
  <c r="W28" i="6"/>
  <c r="U28" i="3"/>
  <c r="W16" i="6"/>
  <c r="U16" i="3"/>
  <c r="X15" i="3"/>
  <c r="Z15" i="6"/>
  <c r="U11" i="3"/>
  <c r="W11" i="6"/>
  <c r="X25" i="6"/>
  <c r="V25" i="3"/>
  <c r="U27" i="3"/>
  <c r="W27" i="6"/>
  <c r="W21" i="11" s="1"/>
  <c r="X28" i="6"/>
  <c r="V28" i="3"/>
  <c r="C438" i="12"/>
  <c r="AB10" i="6"/>
  <c r="AK8" i="11"/>
  <c r="AB8" i="11"/>
  <c r="W7" i="8"/>
  <c r="AB7" i="8" s="1"/>
  <c r="H7" i="9"/>
  <c r="P7" i="8"/>
  <c r="K7" i="8"/>
  <c r="C7" i="9"/>
  <c r="K7" i="9" s="1"/>
  <c r="P7" i="10"/>
  <c r="W7" i="10"/>
  <c r="AB7" i="10" s="1"/>
  <c r="A4" i="10"/>
  <c r="A5" i="5"/>
  <c r="T6" i="3"/>
  <c r="B6" i="11"/>
  <c r="B6" i="8"/>
  <c r="B6" i="7"/>
  <c r="U6" i="7" s="1"/>
  <c r="R28" i="8"/>
  <c r="M28" i="9"/>
  <c r="A7" i="5"/>
  <c r="AA23" i="7"/>
  <c r="L13" i="8"/>
  <c r="U21" i="8"/>
  <c r="U19" i="9"/>
  <c r="F22" i="8"/>
  <c r="E20" i="9"/>
  <c r="Q10" i="9"/>
  <c r="G30" i="9"/>
  <c r="F38" i="9"/>
  <c r="F46" i="9"/>
  <c r="A4" i="2"/>
  <c r="C7" i="5"/>
  <c r="K7" i="5" s="1"/>
  <c r="AB13" i="7"/>
  <c r="AD23" i="7"/>
  <c r="L15" i="8"/>
  <c r="L32" i="9"/>
  <c r="X11" i="9"/>
  <c r="AA11" i="9" s="1"/>
  <c r="Q13" i="9"/>
  <c r="X15" i="9"/>
  <c r="AA15" i="9" s="1"/>
  <c r="X16" i="9"/>
  <c r="AA16" i="9" s="1"/>
  <c r="O19" i="9"/>
  <c r="Q20" i="9"/>
  <c r="L43" i="9"/>
  <c r="L20" i="9"/>
  <c r="L30" i="9"/>
  <c r="L17" i="9"/>
  <c r="L16" i="9"/>
  <c r="R22" i="9"/>
  <c r="H7" i="5"/>
  <c r="P7" i="5" s="1"/>
  <c r="E7" i="7"/>
  <c r="M7" i="7" s="1"/>
  <c r="W7" i="7" s="1"/>
  <c r="Z7" i="7" s="1"/>
  <c r="D10" i="8"/>
  <c r="L11" i="8"/>
  <c r="L18" i="8"/>
  <c r="L20" i="8"/>
  <c r="R19" i="9"/>
  <c r="O32" i="9"/>
  <c r="F39" i="9"/>
  <c r="H7" i="7"/>
  <c r="AB11" i="7"/>
  <c r="AB16" i="7"/>
  <c r="D13" i="8"/>
  <c r="L14" i="8"/>
  <c r="AA25" i="8"/>
  <c r="X25" i="9"/>
  <c r="AA25" i="9" s="1"/>
  <c r="AA27" i="8"/>
  <c r="X27" i="9"/>
  <c r="AA27" i="9" s="1"/>
  <c r="F32" i="8"/>
  <c r="E32" i="9"/>
  <c r="J32" i="9" s="1"/>
  <c r="L21" i="9"/>
  <c r="Q22" i="9"/>
  <c r="K24" i="9"/>
  <c r="O24" i="9" s="1"/>
  <c r="E28" i="9"/>
  <c r="J28" i="9" s="1"/>
  <c r="T6" i="4"/>
  <c r="B6" i="10"/>
  <c r="T6" i="10" s="1"/>
  <c r="E7" i="6"/>
  <c r="M7" i="6" s="1"/>
  <c r="X7" i="6" s="1"/>
  <c r="AA7" i="6" s="1"/>
  <c r="AE10" i="6"/>
  <c r="X8" i="11"/>
  <c r="AE8" i="11" s="1"/>
  <c r="AG8" i="11"/>
  <c r="B18" i="6"/>
  <c r="Z21" i="11"/>
  <c r="X17" i="8"/>
  <c r="X13" i="9"/>
  <c r="L19" i="8"/>
  <c r="Z25" i="8"/>
  <c r="Y25" i="9"/>
  <c r="AC25" i="9" s="1"/>
  <c r="F10" i="9"/>
  <c r="L15" i="9"/>
  <c r="O15" i="9"/>
  <c r="C20" i="9"/>
  <c r="L24" i="9"/>
  <c r="O39" i="9"/>
  <c r="B5" i="2"/>
  <c r="A7" i="10"/>
  <c r="C59" i="12"/>
  <c r="K7" i="3"/>
  <c r="AA10" i="3"/>
  <c r="U7" i="4"/>
  <c r="X7" i="4" s="1"/>
  <c r="C7" i="10"/>
  <c r="K7" i="10" s="1"/>
  <c r="X7" i="10" s="1"/>
  <c r="A8" i="5"/>
  <c r="H7" i="6"/>
  <c r="Y7" i="6" s="1"/>
  <c r="AD7" i="6" s="1"/>
  <c r="AC10" i="6"/>
  <c r="AD11" i="7"/>
  <c r="AA14" i="7"/>
  <c r="L12" i="8"/>
  <c r="Z15" i="8"/>
  <c r="AC25" i="8"/>
  <c r="G28" i="8"/>
  <c r="J11" i="9"/>
  <c r="U17" i="9"/>
  <c r="F45" i="9"/>
  <c r="E7" i="10"/>
  <c r="M7" i="10" s="1"/>
  <c r="V7" i="10" s="1"/>
  <c r="Y7" i="10" s="1"/>
  <c r="AK24" i="11"/>
  <c r="R14" i="6"/>
  <c r="P14" i="11"/>
  <c r="Y19" i="8"/>
  <c r="Y17" i="9"/>
  <c r="L19" i="9"/>
  <c r="B6" i="5"/>
  <c r="Z17" i="7"/>
  <c r="AA27" i="7"/>
  <c r="E7" i="8"/>
  <c r="L10" i="8"/>
  <c r="L17" i="8"/>
  <c r="V19" i="9"/>
  <c r="V21" i="9" s="1"/>
  <c r="V30" i="9" s="1"/>
  <c r="N15" i="9"/>
  <c r="G19" i="9"/>
  <c r="M20" i="9"/>
  <c r="R20" i="9" s="1"/>
  <c r="Z8" i="11"/>
  <c r="X21" i="11"/>
  <c r="K10" i="9"/>
  <c r="Y10" i="9"/>
  <c r="K11" i="9"/>
  <c r="Y11" i="9"/>
  <c r="K12" i="9"/>
  <c r="L12" i="9" s="1"/>
  <c r="E13" i="9"/>
  <c r="J13" i="9" s="1"/>
  <c r="W13" i="9"/>
  <c r="E14" i="9"/>
  <c r="J14" i="9" s="1"/>
  <c r="V14" i="9"/>
  <c r="E15" i="9"/>
  <c r="AB15" i="9"/>
  <c r="AC15" i="9" s="1"/>
  <c r="Y16" i="9"/>
  <c r="Z16" i="9" s="1"/>
  <c r="K17" i="9"/>
  <c r="O17" i="9" s="1"/>
  <c r="U20" i="9"/>
  <c r="P21" i="9"/>
  <c r="E22" i="9"/>
  <c r="W25" i="9"/>
  <c r="E26" i="9"/>
  <c r="F26" i="9" s="1"/>
  <c r="E27" i="9"/>
  <c r="H28" i="9"/>
  <c r="E29" i="9"/>
  <c r="H30" i="9"/>
  <c r="J30" i="9" s="1"/>
  <c r="E31" i="9"/>
  <c r="E33" i="9"/>
  <c r="K34" i="9"/>
  <c r="O34" i="9" s="1"/>
  <c r="E37" i="9"/>
  <c r="K38" i="9"/>
  <c r="M39" i="9"/>
  <c r="C43" i="9"/>
  <c r="P43" i="9"/>
  <c r="Q43" i="9" s="1"/>
  <c r="H45" i="9"/>
  <c r="K46" i="9"/>
  <c r="O46" i="9" s="1"/>
  <c r="M10" i="9"/>
  <c r="AB10" i="9"/>
  <c r="M11" i="9"/>
  <c r="AB11" i="9"/>
  <c r="AC11" i="9" s="1"/>
  <c r="M12" i="9"/>
  <c r="H13" i="9"/>
  <c r="W14" i="9"/>
  <c r="P15" i="9"/>
  <c r="Q15" i="9" s="1"/>
  <c r="C16" i="9"/>
  <c r="G16" i="9" s="1"/>
  <c r="M16" i="9"/>
  <c r="R16" i="9" s="1"/>
  <c r="AB16" i="9"/>
  <c r="AC16" i="9" s="1"/>
  <c r="K18" i="9"/>
  <c r="O18" i="9" s="1"/>
  <c r="E19" i="9"/>
  <c r="F19" i="9" s="1"/>
  <c r="P19" i="9"/>
  <c r="H20" i="9"/>
  <c r="I46" i="9" s="1"/>
  <c r="H22" i="9"/>
  <c r="U22" i="9"/>
  <c r="P24" i="9"/>
  <c r="Q24" i="9" s="1"/>
  <c r="H26" i="9"/>
  <c r="H27" i="9"/>
  <c r="Y27" i="9"/>
  <c r="Z27" i="9" s="1"/>
  <c r="K28" i="9"/>
  <c r="O28" i="9" s="1"/>
  <c r="H29" i="9"/>
  <c r="K30" i="9"/>
  <c r="H33" i="9"/>
  <c r="H37" i="9"/>
  <c r="M38" i="9"/>
  <c r="N38" i="9" s="1"/>
  <c r="P39" i="9"/>
  <c r="E42" i="9"/>
  <c r="J42" i="9" s="1"/>
  <c r="E44" i="9"/>
  <c r="M46" i="9"/>
  <c r="N46" i="9" s="1"/>
  <c r="O32" i="8"/>
  <c r="P10" i="9"/>
  <c r="P11" i="9"/>
  <c r="Q11" i="9" s="1"/>
  <c r="C12" i="9"/>
  <c r="P12" i="9"/>
  <c r="Q12" i="9" s="1"/>
  <c r="K13" i="9"/>
  <c r="L13" i="9" s="1"/>
  <c r="Y13" i="9"/>
  <c r="H14" i="9"/>
  <c r="I14" i="9" s="1"/>
  <c r="C17" i="9"/>
  <c r="G17" i="9" s="1"/>
  <c r="M17" i="9"/>
  <c r="R17" i="9" s="1"/>
  <c r="AB17" i="9"/>
  <c r="AC17" i="9" s="1"/>
  <c r="E21" i="9"/>
  <c r="E23" i="9"/>
  <c r="C24" i="9"/>
  <c r="G24" i="9" s="1"/>
  <c r="U24" i="9"/>
  <c r="K26" i="9"/>
  <c r="M29" i="9"/>
  <c r="H31" i="9"/>
  <c r="M33" i="9"/>
  <c r="P34" i="9"/>
  <c r="Q34" i="9" s="1"/>
  <c r="M37" i="9"/>
  <c r="P38" i="9"/>
  <c r="Q38" i="9" s="1"/>
  <c r="E40" i="9"/>
  <c r="H41" i="9"/>
  <c r="H44" i="9"/>
  <c r="M45" i="9"/>
  <c r="P46" i="9"/>
  <c r="N32" i="8"/>
  <c r="C10" i="9"/>
  <c r="G10" i="9" s="1"/>
  <c r="C11" i="9"/>
  <c r="G11" i="9" s="1"/>
  <c r="K14" i="9"/>
  <c r="Y14" i="9"/>
  <c r="Z14" i="9" s="1"/>
  <c r="H15" i="9"/>
  <c r="U15" i="9"/>
  <c r="E16" i="9"/>
  <c r="J16" i="9" s="1"/>
  <c r="P16" i="9"/>
  <c r="Q16" i="9" s="1"/>
  <c r="C18" i="9"/>
  <c r="G18" i="9" s="1"/>
  <c r="M18" i="9"/>
  <c r="R18" i="9" s="1"/>
  <c r="H19" i="9"/>
  <c r="W19" i="9"/>
  <c r="W21" i="9"/>
  <c r="H23" i="9"/>
  <c r="E25" i="9"/>
  <c r="M26" i="9"/>
  <c r="N26" i="9" s="1"/>
  <c r="P28" i="9"/>
  <c r="P29" i="9"/>
  <c r="M30" i="9"/>
  <c r="R30" i="9" s="1"/>
  <c r="K31" i="9"/>
  <c r="H32" i="9"/>
  <c r="P33" i="9"/>
  <c r="E35" i="9"/>
  <c r="H36" i="9"/>
  <c r="P37" i="9"/>
  <c r="H40" i="9"/>
  <c r="K41" i="9"/>
  <c r="H42" i="9"/>
  <c r="M44" i="9"/>
  <c r="P45" i="9"/>
  <c r="Z23" i="10"/>
  <c r="C28" i="10"/>
  <c r="K31" i="10"/>
  <c r="O31" i="10" s="1"/>
  <c r="U10" i="9"/>
  <c r="U11" i="9"/>
  <c r="E12" i="9"/>
  <c r="M13" i="9"/>
  <c r="R13" i="9" s="1"/>
  <c r="M14" i="9"/>
  <c r="R14" i="9" s="1"/>
  <c r="AB14" i="9"/>
  <c r="AC14" i="9" s="1"/>
  <c r="V15" i="9"/>
  <c r="U16" i="9"/>
  <c r="E17" i="9"/>
  <c r="P17" i="9"/>
  <c r="Q17" i="9" s="1"/>
  <c r="H21" i="9"/>
  <c r="K22" i="9"/>
  <c r="O22" i="9" s="1"/>
  <c r="M23" i="9"/>
  <c r="H25" i="9"/>
  <c r="P26" i="9"/>
  <c r="Q26" i="9" s="1"/>
  <c r="M27" i="9"/>
  <c r="R27" i="9" s="1"/>
  <c r="AB27" i="9"/>
  <c r="U28" i="9"/>
  <c r="U29" i="9"/>
  <c r="P30" i="9"/>
  <c r="Q30" i="9" s="1"/>
  <c r="M31" i="9"/>
  <c r="R31" i="9" s="1"/>
  <c r="C34" i="9"/>
  <c r="G34" i="9" s="1"/>
  <c r="H35" i="9"/>
  <c r="K36" i="9"/>
  <c r="C38" i="9"/>
  <c r="G38" i="9" s="1"/>
  <c r="M40" i="9"/>
  <c r="H43" i="9"/>
  <c r="P44" i="9"/>
  <c r="AC10" i="10"/>
  <c r="X10" i="10"/>
  <c r="AI8" i="11" s="1"/>
  <c r="G28" i="10"/>
  <c r="U7" i="10"/>
  <c r="G26" i="10"/>
  <c r="R28" i="10"/>
  <c r="O12" i="9"/>
  <c r="F13" i="9"/>
  <c r="N13" i="9"/>
  <c r="N24" i="9"/>
  <c r="Q28" i="9"/>
  <c r="F30" i="9"/>
  <c r="N30" i="9"/>
  <c r="I34" i="9"/>
  <c r="I39" i="9"/>
  <c r="Q39" i="9"/>
  <c r="I45" i="9"/>
  <c r="Q45" i="9"/>
  <c r="Q46" i="9"/>
  <c r="F16" i="9"/>
  <c r="F20" i="9"/>
  <c r="AA10" i="9"/>
  <c r="Z11" i="9"/>
  <c r="U7" i="9"/>
  <c r="X7" i="9" s="1"/>
  <c r="AH9" i="9"/>
  <c r="J10" i="9"/>
  <c r="R10" i="9"/>
  <c r="F14" i="9"/>
  <c r="N14" i="9"/>
  <c r="Q21" i="9"/>
  <c r="J26" i="9"/>
  <c r="R26" i="9"/>
  <c r="Q27" i="9"/>
  <c r="N31" i="9"/>
  <c r="F32" i="9"/>
  <c r="N32" i="9"/>
  <c r="J38" i="9"/>
  <c r="R38" i="9"/>
  <c r="J39" i="9"/>
  <c r="R39" i="9"/>
  <c r="J45" i="9"/>
  <c r="R45" i="9"/>
  <c r="J46" i="9"/>
  <c r="R46" i="9"/>
  <c r="F18" i="9"/>
  <c r="L34" i="9"/>
  <c r="L38" i="9"/>
  <c r="L39" i="9"/>
  <c r="L46" i="9"/>
  <c r="G20" i="9"/>
  <c r="O20" i="9"/>
  <c r="AB30" i="9"/>
  <c r="Q31" i="9"/>
  <c r="Q32" i="9"/>
  <c r="I36" i="9"/>
  <c r="Q36" i="9"/>
  <c r="I41" i="9"/>
  <c r="Q41" i="9"/>
  <c r="Q42" i="9"/>
  <c r="L22" i="9"/>
  <c r="F28" i="9"/>
  <c r="N28" i="9"/>
  <c r="L10" i="9"/>
  <c r="N20" i="9"/>
  <c r="F11" i="9"/>
  <c r="Z10" i="9"/>
  <c r="L42" i="9"/>
  <c r="AC19" i="8"/>
  <c r="Y21" i="8"/>
  <c r="D28" i="8"/>
  <c r="D30" i="8"/>
  <c r="D39" i="8"/>
  <c r="D42" i="8"/>
  <c r="D45" i="8"/>
  <c r="U7" i="8"/>
  <c r="X7" i="8" s="1"/>
  <c r="F10" i="8"/>
  <c r="Z11" i="8"/>
  <c r="F13" i="8"/>
  <c r="Z17" i="8"/>
  <c r="D20" i="8"/>
  <c r="D27" i="8"/>
  <c r="N28" i="8"/>
  <c r="F30" i="8"/>
  <c r="D31" i="8"/>
  <c r="C34" i="8"/>
  <c r="L34" i="8"/>
  <c r="F39" i="8"/>
  <c r="F42" i="8"/>
  <c r="F45" i="8"/>
  <c r="F27" i="8"/>
  <c r="F28" i="8"/>
  <c r="F31" i="8"/>
  <c r="M34" i="8"/>
  <c r="Z13" i="8"/>
  <c r="D17" i="8"/>
  <c r="AC17" i="8"/>
  <c r="X19" i="8"/>
  <c r="X19" i="9" s="1"/>
  <c r="AA19" i="9" s="1"/>
  <c r="F20" i="8"/>
  <c r="O20" i="8"/>
  <c r="K24" i="8"/>
  <c r="K27" i="9" s="1"/>
  <c r="O27" i="9" s="1"/>
  <c r="L32" i="8"/>
  <c r="E34" i="8"/>
  <c r="E34" i="9" s="1"/>
  <c r="F34" i="9" s="1"/>
  <c r="L38" i="8"/>
  <c r="F46" i="8"/>
  <c r="O28" i="8"/>
  <c r="AA13" i="8"/>
  <c r="D16" i="8"/>
  <c r="D18" i="8"/>
  <c r="G20" i="8"/>
  <c r="L22" i="8"/>
  <c r="C24" i="8"/>
  <c r="C27" i="9" s="1"/>
  <c r="L26" i="8"/>
  <c r="Z27" i="8"/>
  <c r="D32" i="8"/>
  <c r="N38" i="8"/>
  <c r="D12" i="8"/>
  <c r="R20" i="8"/>
  <c r="N22" i="8"/>
  <c r="D24" i="8"/>
  <c r="M24" i="8"/>
  <c r="M24" i="9" s="1"/>
  <c r="R24" i="9" s="1"/>
  <c r="N26" i="8"/>
  <c r="L30" i="8"/>
  <c r="D38" i="8"/>
  <c r="L39" i="8"/>
  <c r="L42" i="8"/>
  <c r="N46" i="8"/>
  <c r="D11" i="8"/>
  <c r="F12" i="8"/>
  <c r="D15" i="8"/>
  <c r="J20" i="8"/>
  <c r="D22" i="8"/>
  <c r="E24" i="8"/>
  <c r="E24" i="9" s="1"/>
  <c r="J24" i="9" s="1"/>
  <c r="L27" i="8"/>
  <c r="N30" i="8"/>
  <c r="L31" i="8"/>
  <c r="F38" i="8"/>
  <c r="N39" i="8"/>
  <c r="N42" i="8"/>
  <c r="F11" i="8"/>
  <c r="D14" i="8"/>
  <c r="F15" i="8"/>
  <c r="D19" i="8"/>
  <c r="N27" i="8"/>
  <c r="L28" i="8"/>
  <c r="N31" i="8"/>
  <c r="C20" i="7"/>
  <c r="G10" i="7"/>
  <c r="M28" i="7"/>
  <c r="K32" i="7"/>
  <c r="O30" i="7"/>
  <c r="G42" i="7"/>
  <c r="O13" i="7"/>
  <c r="E20" i="7"/>
  <c r="F10" i="7" s="1"/>
  <c r="M20" i="7"/>
  <c r="N10" i="7" s="1"/>
  <c r="D12" i="7"/>
  <c r="G12" i="7"/>
  <c r="O12" i="7"/>
  <c r="F30" i="7"/>
  <c r="E32" i="7"/>
  <c r="M32" i="7"/>
  <c r="G39" i="7"/>
  <c r="D39" i="7"/>
  <c r="O39" i="7"/>
  <c r="F42" i="7"/>
  <c r="G46" i="7"/>
  <c r="O46" i="7"/>
  <c r="D11" i="7"/>
  <c r="G11" i="7"/>
  <c r="O11" i="7"/>
  <c r="F12" i="7"/>
  <c r="G22" i="7"/>
  <c r="O22" i="7"/>
  <c r="F39" i="7"/>
  <c r="O15" i="7"/>
  <c r="G15" i="7"/>
  <c r="F46" i="7"/>
  <c r="G13" i="7"/>
  <c r="D13" i="7"/>
  <c r="F11" i="7"/>
  <c r="F22" i="7"/>
  <c r="D26" i="7"/>
  <c r="C28" i="7"/>
  <c r="G26" i="7"/>
  <c r="K28" i="7"/>
  <c r="O26" i="7"/>
  <c r="G27" i="7"/>
  <c r="O27" i="7"/>
  <c r="G31" i="7"/>
  <c r="O31" i="7"/>
  <c r="G38" i="7"/>
  <c r="D38" i="7"/>
  <c r="O38" i="7"/>
  <c r="K20" i="7"/>
  <c r="O10" i="7"/>
  <c r="E28" i="7"/>
  <c r="F26" i="7"/>
  <c r="F27" i="7"/>
  <c r="C32" i="7"/>
  <c r="G30" i="7"/>
  <c r="D30" i="7"/>
  <c r="O42" i="7"/>
  <c r="AD17" i="7"/>
  <c r="V38" i="7"/>
  <c r="AB30" i="7"/>
  <c r="V7" i="7"/>
  <c r="Y7" i="7" s="1"/>
  <c r="Z19" i="7"/>
  <c r="AA13" i="7"/>
  <c r="AB25" i="7"/>
  <c r="Y17" i="7"/>
  <c r="AA28" i="7"/>
  <c r="P7" i="6"/>
  <c r="AB11" i="6"/>
  <c r="G15" i="6"/>
  <c r="O15" i="6"/>
  <c r="W7" i="6"/>
  <c r="Z7" i="6" s="1"/>
  <c r="AC11" i="6"/>
  <c r="G12" i="6"/>
  <c r="O12" i="6"/>
  <c r="AB15" i="6"/>
  <c r="AI12" i="11" s="1"/>
  <c r="O16" i="6"/>
  <c r="T19" i="6"/>
  <c r="G26" i="6"/>
  <c r="O26" i="6"/>
  <c r="E33" i="6"/>
  <c r="M33" i="6"/>
  <c r="T11" i="6"/>
  <c r="AB16" i="6"/>
  <c r="E28" i="6"/>
  <c r="M28" i="6"/>
  <c r="T29" i="6"/>
  <c r="G38" i="6"/>
  <c r="G39" i="6"/>
  <c r="G46" i="6"/>
  <c r="AB13" i="6"/>
  <c r="AI10" i="11" s="1"/>
  <c r="O42" i="5"/>
  <c r="E28" i="5"/>
  <c r="K20" i="5"/>
  <c r="L42" i="5" s="1"/>
  <c r="E32" i="5"/>
  <c r="C20" i="5"/>
  <c r="D18" i="5" s="1"/>
  <c r="G10" i="5"/>
  <c r="L32" i="5"/>
  <c r="G32" i="5"/>
  <c r="O32" i="5"/>
  <c r="V17" i="4"/>
  <c r="X17" i="6" s="1"/>
  <c r="AA11" i="4"/>
  <c r="G12" i="4"/>
  <c r="O12" i="4"/>
  <c r="G13" i="4"/>
  <c r="O13" i="4"/>
  <c r="U17" i="4"/>
  <c r="W17" i="6" s="1"/>
  <c r="AA23" i="4"/>
  <c r="G31" i="4"/>
  <c r="O31" i="4"/>
  <c r="G38" i="4"/>
  <c r="O38" i="4"/>
  <c r="G39" i="4"/>
  <c r="O39" i="4"/>
  <c r="G42" i="4"/>
  <c r="O42" i="4"/>
  <c r="G46" i="4"/>
  <c r="O46" i="4"/>
  <c r="G14" i="4"/>
  <c r="O14" i="4"/>
  <c r="Z23" i="4"/>
  <c r="AA25" i="4"/>
  <c r="E28" i="4"/>
  <c r="M28" i="4"/>
  <c r="Z27" i="4"/>
  <c r="AA27" i="4"/>
  <c r="AA28" i="4"/>
  <c r="E32" i="4"/>
  <c r="M32" i="4"/>
  <c r="Z25" i="4"/>
  <c r="N46" i="4"/>
  <c r="Y19" i="4"/>
  <c r="Z11" i="4"/>
  <c r="X17" i="4"/>
  <c r="AA13" i="4"/>
  <c r="Z13" i="4"/>
  <c r="G16" i="4"/>
  <c r="G17" i="4"/>
  <c r="O17" i="4"/>
  <c r="O19" i="4"/>
  <c r="O16" i="4"/>
  <c r="L16" i="4"/>
  <c r="K20" i="4"/>
  <c r="L17" i="4" s="1"/>
  <c r="O10" i="4"/>
  <c r="Y17" i="4"/>
  <c r="AA17" i="6" s="1"/>
  <c r="AA14" i="4"/>
  <c r="Z14" i="4"/>
  <c r="G18" i="4"/>
  <c r="O18" i="4"/>
  <c r="G19" i="4"/>
  <c r="O15" i="4"/>
  <c r="C20" i="4"/>
  <c r="D18" i="4" s="1"/>
  <c r="G10" i="4"/>
  <c r="Z16" i="4"/>
  <c r="AA16" i="4"/>
  <c r="G22" i="4"/>
  <c r="O22" i="4"/>
  <c r="G15" i="4"/>
  <c r="D15" i="4"/>
  <c r="Z28" i="4"/>
  <c r="E20" i="4"/>
  <c r="F11" i="4" s="1"/>
  <c r="M20" i="4"/>
  <c r="N12" i="4" s="1"/>
  <c r="N18" i="4"/>
  <c r="Z15" i="4"/>
  <c r="AA15" i="4"/>
  <c r="G11" i="4"/>
  <c r="O11" i="4"/>
  <c r="L11" i="4"/>
  <c r="U19" i="4"/>
  <c r="U21" i="4" s="1"/>
  <c r="U30" i="4" s="1"/>
  <c r="C28" i="4"/>
  <c r="G26" i="4"/>
  <c r="D26" i="4"/>
  <c r="K28" i="4"/>
  <c r="O26" i="4"/>
  <c r="L26" i="4"/>
  <c r="G27" i="4"/>
  <c r="O27" i="4"/>
  <c r="G30" i="4"/>
  <c r="C32" i="4"/>
  <c r="D30" i="4"/>
  <c r="O30" i="4"/>
  <c r="K32" i="4"/>
  <c r="L30" i="4"/>
  <c r="P7" i="4"/>
  <c r="W7" i="4"/>
  <c r="AB7" i="4" s="1"/>
  <c r="L7" i="4"/>
  <c r="E32" i="3"/>
  <c r="M32" i="3"/>
  <c r="O13" i="3"/>
  <c r="G13" i="3"/>
  <c r="G12" i="3"/>
  <c r="O12" i="3"/>
  <c r="G19" i="3"/>
  <c r="O19" i="3"/>
  <c r="G31" i="3"/>
  <c r="O31" i="3"/>
  <c r="G38" i="3"/>
  <c r="O38" i="3"/>
  <c r="G39" i="3"/>
  <c r="O39" i="3"/>
  <c r="L39" i="3"/>
  <c r="G42" i="3"/>
  <c r="O42" i="3"/>
  <c r="G46" i="3"/>
  <c r="O46" i="3"/>
  <c r="G14" i="3"/>
  <c r="O14" i="3"/>
  <c r="G15" i="3"/>
  <c r="O15" i="3"/>
  <c r="G22" i="3"/>
  <c r="O22" i="3"/>
  <c r="C20" i="3"/>
  <c r="D31" i="3" s="1"/>
  <c r="G10" i="3"/>
  <c r="O10" i="3"/>
  <c r="L10" i="3"/>
  <c r="K20" i="3"/>
  <c r="L13" i="3" s="1"/>
  <c r="G16" i="3"/>
  <c r="G17" i="3"/>
  <c r="C28" i="3"/>
  <c r="G26" i="3"/>
  <c r="G27" i="3"/>
  <c r="F14" i="3"/>
  <c r="O17" i="3"/>
  <c r="K28" i="3"/>
  <c r="O26" i="3"/>
  <c r="O27" i="3"/>
  <c r="E20" i="3"/>
  <c r="F19" i="3" s="1"/>
  <c r="G11" i="3"/>
  <c r="O11" i="3"/>
  <c r="G18" i="3"/>
  <c r="O18" i="3"/>
  <c r="L18" i="3"/>
  <c r="E28" i="3"/>
  <c r="M28" i="3"/>
  <c r="G30" i="3"/>
  <c r="C32" i="3"/>
  <c r="O30" i="3"/>
  <c r="K32" i="3"/>
  <c r="W7" i="3"/>
  <c r="AB7" i="3" s="1"/>
  <c r="P7" i="3"/>
  <c r="AC10" i="3"/>
  <c r="AA11" i="3"/>
  <c r="Z10" i="3"/>
  <c r="Y19" i="3"/>
  <c r="Z11" i="3"/>
  <c r="U17" i="3"/>
  <c r="U19" i="3" s="1"/>
  <c r="U21" i="3" s="1"/>
  <c r="Z27" i="3"/>
  <c r="Z28" i="3"/>
  <c r="X17" i="3"/>
  <c r="AA17" i="3" s="1"/>
  <c r="Z13" i="3"/>
  <c r="Z14" i="3"/>
  <c r="U28" i="10" l="1"/>
  <c r="U10" i="10"/>
  <c r="AH8" i="11"/>
  <c r="Y8" i="11"/>
  <c r="Y17" i="10"/>
  <c r="X16" i="10"/>
  <c r="AC16" i="10"/>
  <c r="U16" i="10"/>
  <c r="U17" i="10" s="1"/>
  <c r="V17" i="10"/>
  <c r="I39" i="10"/>
  <c r="C39" i="10"/>
  <c r="G39" i="10" s="1"/>
  <c r="M32" i="10"/>
  <c r="M34" i="10" s="1"/>
  <c r="E32" i="10"/>
  <c r="I31" i="10"/>
  <c r="C31" i="10"/>
  <c r="C31" i="11" s="1"/>
  <c r="X28" i="10"/>
  <c r="AA28" i="10" s="1"/>
  <c r="AC28" i="10"/>
  <c r="C19" i="10"/>
  <c r="C19" i="11" s="1"/>
  <c r="I19" i="10"/>
  <c r="E24" i="10"/>
  <c r="V19" i="10"/>
  <c r="V21" i="10" s="1"/>
  <c r="V30" i="10" s="1"/>
  <c r="U11" i="10"/>
  <c r="U19" i="10" s="1"/>
  <c r="M19" i="11"/>
  <c r="M24" i="10"/>
  <c r="K19" i="10"/>
  <c r="M20" i="10"/>
  <c r="K10" i="10"/>
  <c r="I10" i="10"/>
  <c r="E20" i="10"/>
  <c r="C10" i="10"/>
  <c r="X11" i="10"/>
  <c r="Z11" i="10" s="1"/>
  <c r="Y19" i="10"/>
  <c r="Y21" i="10" s="1"/>
  <c r="AC11" i="10"/>
  <c r="Q46" i="7"/>
  <c r="R46" i="7"/>
  <c r="I46" i="7"/>
  <c r="J46" i="7"/>
  <c r="R39" i="7"/>
  <c r="J39" i="7"/>
  <c r="I39" i="7"/>
  <c r="J13" i="7"/>
  <c r="R12" i="7"/>
  <c r="I12" i="7"/>
  <c r="J12" i="7"/>
  <c r="R15" i="7"/>
  <c r="R13" i="7"/>
  <c r="R42" i="7"/>
  <c r="Q42" i="7"/>
  <c r="I42" i="7"/>
  <c r="J42" i="7"/>
  <c r="R30" i="7"/>
  <c r="P32" i="7"/>
  <c r="J30" i="7"/>
  <c r="I30" i="7"/>
  <c r="H32" i="7"/>
  <c r="R10" i="7"/>
  <c r="P20" i="7"/>
  <c r="Q11" i="7" s="1"/>
  <c r="J10" i="7"/>
  <c r="I10" i="7"/>
  <c r="H20" i="7"/>
  <c r="I22" i="7" s="1"/>
  <c r="R38" i="7"/>
  <c r="J38" i="7"/>
  <c r="R31" i="7"/>
  <c r="J31" i="7"/>
  <c r="I31" i="7"/>
  <c r="R27" i="7"/>
  <c r="J27" i="7"/>
  <c r="P28" i="7"/>
  <c r="R26" i="7"/>
  <c r="J26" i="7"/>
  <c r="H28" i="7"/>
  <c r="R22" i="7"/>
  <c r="J22" i="7"/>
  <c r="J15" i="7"/>
  <c r="R11" i="7"/>
  <c r="J11" i="7"/>
  <c r="J22" i="5"/>
  <c r="I20" i="5"/>
  <c r="H20" i="5"/>
  <c r="J13" i="5"/>
  <c r="Y23" i="6"/>
  <c r="W23" i="3"/>
  <c r="P16" i="3"/>
  <c r="R16" i="4"/>
  <c r="J16" i="4"/>
  <c r="I16" i="4"/>
  <c r="R15" i="4"/>
  <c r="Q15" i="4"/>
  <c r="J15" i="4"/>
  <c r="AB13" i="3"/>
  <c r="AC13" i="3" s="1"/>
  <c r="AD13" i="6"/>
  <c r="AB17" i="4"/>
  <c r="AC13" i="4"/>
  <c r="J13" i="4"/>
  <c r="I13" i="4"/>
  <c r="R14" i="4"/>
  <c r="J14" i="4"/>
  <c r="AB11" i="3"/>
  <c r="AD11" i="6"/>
  <c r="AC11" i="4"/>
  <c r="Q13" i="4"/>
  <c r="R13" i="4"/>
  <c r="J12" i="4"/>
  <c r="J11" i="4"/>
  <c r="I11" i="4"/>
  <c r="R22" i="4"/>
  <c r="Q46" i="4"/>
  <c r="R46" i="4"/>
  <c r="J46" i="4"/>
  <c r="R42" i="4"/>
  <c r="Q42" i="4"/>
  <c r="J42" i="4"/>
  <c r="I42" i="4"/>
  <c r="Q39" i="4"/>
  <c r="R39" i="4"/>
  <c r="J39" i="4"/>
  <c r="R38" i="4"/>
  <c r="Q38" i="4"/>
  <c r="I38" i="4"/>
  <c r="J38" i="4"/>
  <c r="Q31" i="4"/>
  <c r="R31" i="4"/>
  <c r="J31" i="4"/>
  <c r="AB28" i="3"/>
  <c r="AC28" i="3" s="1"/>
  <c r="AD28" i="6"/>
  <c r="AC28" i="4"/>
  <c r="AB25" i="3"/>
  <c r="AD25" i="6"/>
  <c r="AC25" i="4"/>
  <c r="R12" i="4"/>
  <c r="J22" i="4"/>
  <c r="I22" i="4"/>
  <c r="I20" i="4"/>
  <c r="R30" i="4"/>
  <c r="Q30" i="4"/>
  <c r="P32" i="4"/>
  <c r="J30" i="4"/>
  <c r="H32" i="4"/>
  <c r="AB27" i="3"/>
  <c r="AC27" i="3" s="1"/>
  <c r="AD27" i="6"/>
  <c r="AC27" i="4"/>
  <c r="R27" i="4"/>
  <c r="J27" i="4"/>
  <c r="P28" i="4"/>
  <c r="R26" i="4"/>
  <c r="Q26" i="4"/>
  <c r="J26" i="4"/>
  <c r="I26" i="4"/>
  <c r="H28" i="4"/>
  <c r="AB23" i="3"/>
  <c r="AC23" i="3" s="1"/>
  <c r="AD23" i="6"/>
  <c r="AC23" i="4"/>
  <c r="Y16" i="6"/>
  <c r="W16" i="3"/>
  <c r="Y15" i="6"/>
  <c r="W15" i="3"/>
  <c r="R11" i="4"/>
  <c r="Y14" i="6"/>
  <c r="W14" i="3"/>
  <c r="J19" i="4"/>
  <c r="R18" i="4"/>
  <c r="Q18" i="4"/>
  <c r="I18" i="4"/>
  <c r="J18" i="4"/>
  <c r="AB16" i="3"/>
  <c r="AC16" i="3" s="1"/>
  <c r="AD16" i="6"/>
  <c r="AC16" i="4"/>
  <c r="AD15" i="6"/>
  <c r="AB15" i="3"/>
  <c r="AC15" i="3" s="1"/>
  <c r="AC15" i="4"/>
  <c r="Y28" i="6"/>
  <c r="W28" i="3"/>
  <c r="Y25" i="6"/>
  <c r="W25" i="3"/>
  <c r="Q17" i="4"/>
  <c r="R17" i="4"/>
  <c r="J17" i="4"/>
  <c r="AB14" i="3"/>
  <c r="AC14" i="3" s="1"/>
  <c r="AD14" i="6"/>
  <c r="AC14" i="4"/>
  <c r="R10" i="4"/>
  <c r="P20" i="4"/>
  <c r="Q10" i="4" s="1"/>
  <c r="W13" i="3"/>
  <c r="Y13" i="6"/>
  <c r="W17" i="4"/>
  <c r="Y17" i="6" s="1"/>
  <c r="AG14" i="11" s="1"/>
  <c r="W11" i="3"/>
  <c r="Y11" i="6"/>
  <c r="H20" i="4"/>
  <c r="I10" i="4" s="1"/>
  <c r="J10" i="4"/>
  <c r="P13" i="6"/>
  <c r="Q13" i="3"/>
  <c r="R13" i="3"/>
  <c r="H13" i="6"/>
  <c r="J13" i="3"/>
  <c r="H32" i="6"/>
  <c r="J32" i="6" s="1"/>
  <c r="J31" i="3"/>
  <c r="R19" i="3"/>
  <c r="Q19" i="3"/>
  <c r="P46" i="6"/>
  <c r="R46" i="3"/>
  <c r="H46" i="6"/>
  <c r="J46" i="3"/>
  <c r="P42" i="6"/>
  <c r="R42" i="3"/>
  <c r="Q42" i="3"/>
  <c r="H42" i="6"/>
  <c r="J42" i="3"/>
  <c r="P39" i="6"/>
  <c r="R39" i="3"/>
  <c r="Q39" i="3"/>
  <c r="H39" i="6"/>
  <c r="J39" i="3"/>
  <c r="P38" i="6"/>
  <c r="R38" i="3"/>
  <c r="Q38" i="3"/>
  <c r="H38" i="6"/>
  <c r="J38" i="3"/>
  <c r="P32" i="6"/>
  <c r="R32" i="6" s="1"/>
  <c r="R31" i="3"/>
  <c r="H19" i="6"/>
  <c r="J19" i="3"/>
  <c r="P30" i="6"/>
  <c r="R30" i="3"/>
  <c r="P32" i="3"/>
  <c r="H30" i="6"/>
  <c r="H32" i="3"/>
  <c r="J30" i="3"/>
  <c r="P18" i="6"/>
  <c r="Q18" i="3"/>
  <c r="R18" i="3"/>
  <c r="H18" i="6"/>
  <c r="J18" i="3"/>
  <c r="H27" i="6"/>
  <c r="J27" i="3"/>
  <c r="H26" i="6"/>
  <c r="J26" i="3"/>
  <c r="H28" i="3"/>
  <c r="H28" i="6" s="1"/>
  <c r="P11" i="6"/>
  <c r="R11" i="3"/>
  <c r="Q11" i="3"/>
  <c r="H11" i="6"/>
  <c r="J11" i="3"/>
  <c r="P27" i="6"/>
  <c r="R27" i="3"/>
  <c r="P26" i="6"/>
  <c r="R26" i="3"/>
  <c r="P28" i="3"/>
  <c r="Q26" i="3"/>
  <c r="P22" i="6"/>
  <c r="R22" i="3"/>
  <c r="H22" i="6"/>
  <c r="I20" i="3"/>
  <c r="J22" i="3"/>
  <c r="P15" i="6"/>
  <c r="R15" i="3"/>
  <c r="H15" i="6"/>
  <c r="J15" i="3"/>
  <c r="H14" i="6"/>
  <c r="J14" i="3"/>
  <c r="P10" i="6"/>
  <c r="P20" i="3"/>
  <c r="Q46" i="3" s="1"/>
  <c r="R10" i="3"/>
  <c r="Q10" i="3"/>
  <c r="P17" i="6"/>
  <c r="R17" i="3"/>
  <c r="Q17" i="3"/>
  <c r="H17" i="6"/>
  <c r="J17" i="3"/>
  <c r="P12" i="6"/>
  <c r="P12" i="11" s="1"/>
  <c r="Q12" i="3"/>
  <c r="R12" i="3"/>
  <c r="H10" i="6"/>
  <c r="H20" i="3"/>
  <c r="I38" i="3" s="1"/>
  <c r="J10" i="3"/>
  <c r="H12" i="6"/>
  <c r="J12" i="3"/>
  <c r="O13" i="5"/>
  <c r="E20" i="5"/>
  <c r="G13" i="5"/>
  <c r="M20" i="5"/>
  <c r="G42" i="5"/>
  <c r="M16" i="3"/>
  <c r="G46" i="5"/>
  <c r="M28" i="5"/>
  <c r="M32" i="5"/>
  <c r="G26" i="5"/>
  <c r="C28" i="5"/>
  <c r="O46" i="5"/>
  <c r="O27" i="5"/>
  <c r="L27" i="5"/>
  <c r="G27" i="5"/>
  <c r="O26" i="5"/>
  <c r="K28" i="5"/>
  <c r="O22" i="5"/>
  <c r="G22" i="5"/>
  <c r="F13" i="3"/>
  <c r="U30" i="3"/>
  <c r="W21" i="6"/>
  <c r="L26" i="3"/>
  <c r="F15" i="3"/>
  <c r="F38" i="3"/>
  <c r="L46" i="3"/>
  <c r="D27" i="4"/>
  <c r="N22" i="4"/>
  <c r="L18" i="4"/>
  <c r="F12" i="4"/>
  <c r="N46" i="7"/>
  <c r="D10" i="7"/>
  <c r="D46" i="7"/>
  <c r="D22" i="7"/>
  <c r="D42" i="7"/>
  <c r="D15" i="7"/>
  <c r="D27" i="7"/>
  <c r="G12" i="9"/>
  <c r="R11" i="9"/>
  <c r="N11" i="9"/>
  <c r="O38" i="9"/>
  <c r="J27" i="9"/>
  <c r="F27" i="9"/>
  <c r="O11" i="9"/>
  <c r="L11" i="9"/>
  <c r="D14" i="4"/>
  <c r="L31" i="3"/>
  <c r="N15" i="4"/>
  <c r="AA17" i="4"/>
  <c r="Z17" i="6"/>
  <c r="R14" i="11"/>
  <c r="F22" i="3"/>
  <c r="N22" i="7"/>
  <c r="F24" i="9"/>
  <c r="M7" i="8"/>
  <c r="V7" i="8" s="1"/>
  <c r="Y7" i="8" s="1"/>
  <c r="E7" i="9"/>
  <c r="M7" i="9" s="1"/>
  <c r="V7" i="9" s="1"/>
  <c r="Y7" i="9" s="1"/>
  <c r="X38" i="7"/>
  <c r="N27" i="7"/>
  <c r="N31" i="7"/>
  <c r="N42" i="7"/>
  <c r="N11" i="7"/>
  <c r="N38" i="7"/>
  <c r="N39" i="7"/>
  <c r="N30" i="7"/>
  <c r="N13" i="7"/>
  <c r="F12" i="9"/>
  <c r="J12" i="9"/>
  <c r="L31" i="9"/>
  <c r="O31" i="9"/>
  <c r="K31" i="11"/>
  <c r="O26" i="9"/>
  <c r="L26" i="9"/>
  <c r="I43" i="9"/>
  <c r="I19" i="9"/>
  <c r="I22" i="9"/>
  <c r="I20" i="9"/>
  <c r="I18" i="9"/>
  <c r="I10" i="9"/>
  <c r="I17" i="9"/>
  <c r="I16" i="9"/>
  <c r="I12" i="9"/>
  <c r="I24" i="9"/>
  <c r="I11" i="9"/>
  <c r="I26" i="9"/>
  <c r="I27" i="9"/>
  <c r="I31" i="9"/>
  <c r="I42" i="9"/>
  <c r="I38" i="9"/>
  <c r="I28" i="9"/>
  <c r="I32" i="9"/>
  <c r="J31" i="9"/>
  <c r="E31" i="11"/>
  <c r="G31" i="9"/>
  <c r="F31" i="9"/>
  <c r="AD8" i="11"/>
  <c r="AK14" i="11"/>
  <c r="AB14" i="11"/>
  <c r="AH14" i="11"/>
  <c r="N32" i="7"/>
  <c r="O34" i="8"/>
  <c r="M34" i="9"/>
  <c r="G34" i="8"/>
  <c r="C42" i="9"/>
  <c r="G42" i="9" s="1"/>
  <c r="J34" i="9"/>
  <c r="L22" i="3"/>
  <c r="D11" i="4"/>
  <c r="D10" i="4"/>
  <c r="N12" i="7"/>
  <c r="AC27" i="9"/>
  <c r="AK26" i="11"/>
  <c r="J17" i="9"/>
  <c r="F17" i="9"/>
  <c r="F26" i="3"/>
  <c r="F18" i="3"/>
  <c r="D22" i="4"/>
  <c r="N38" i="4"/>
  <c r="N32" i="4"/>
  <c r="V19" i="4"/>
  <c r="V21" i="4" s="1"/>
  <c r="V30" i="4" s="1"/>
  <c r="AA30" i="4" s="1"/>
  <c r="D31" i="7"/>
  <c r="L27" i="9"/>
  <c r="L28" i="9"/>
  <c r="O13" i="9"/>
  <c r="J15" i="9"/>
  <c r="F15" i="9"/>
  <c r="AA17" i="8"/>
  <c r="X17" i="9"/>
  <c r="M14" i="11"/>
  <c r="G32" i="9"/>
  <c r="AK12" i="11"/>
  <c r="AB12" i="11"/>
  <c r="Y13" i="11"/>
  <c r="AH13" i="11"/>
  <c r="AB25" i="6"/>
  <c r="AK20" i="11"/>
  <c r="AB20" i="11"/>
  <c r="AA25" i="3"/>
  <c r="Z19" i="11"/>
  <c r="AD19" i="11" s="1"/>
  <c r="AC23" i="6"/>
  <c r="J26" i="6"/>
  <c r="E26" i="11"/>
  <c r="T13" i="6"/>
  <c r="E20" i="6"/>
  <c r="E10" i="11"/>
  <c r="C26" i="11"/>
  <c r="C28" i="6"/>
  <c r="G32" i="6"/>
  <c r="T22" i="6"/>
  <c r="M13" i="11"/>
  <c r="O38" i="6"/>
  <c r="M11" i="11"/>
  <c r="N27" i="9"/>
  <c r="Z15" i="9"/>
  <c r="N42" i="9"/>
  <c r="G13" i="9"/>
  <c r="K36" i="10"/>
  <c r="N59" i="7" s="1"/>
  <c r="N45" i="9"/>
  <c r="N10" i="9"/>
  <c r="W30" i="9"/>
  <c r="O10" i="9"/>
  <c r="Y19" i="9"/>
  <c r="Y21" i="9" s="1"/>
  <c r="R15" i="9"/>
  <c r="E16" i="11"/>
  <c r="X7" i="7"/>
  <c r="AC7" i="7" s="1"/>
  <c r="P7" i="7"/>
  <c r="G15" i="9"/>
  <c r="N22" i="9"/>
  <c r="W22" i="11"/>
  <c r="AB11" i="11"/>
  <c r="AK11" i="11"/>
  <c r="Z23" i="3"/>
  <c r="V17" i="3"/>
  <c r="V19" i="3" s="1"/>
  <c r="V21" i="3" s="1"/>
  <c r="V30" i="3" s="1"/>
  <c r="O18" i="6"/>
  <c r="K18" i="11"/>
  <c r="K27" i="11"/>
  <c r="E22" i="11"/>
  <c r="O22" i="6"/>
  <c r="K22" i="11"/>
  <c r="E13" i="11"/>
  <c r="M46" i="11"/>
  <c r="T26" i="6"/>
  <c r="C38" i="11"/>
  <c r="O13" i="6"/>
  <c r="K13" i="11"/>
  <c r="G27" i="9"/>
  <c r="F42" i="9"/>
  <c r="I15" i="9"/>
  <c r="O30" i="9"/>
  <c r="F22" i="9"/>
  <c r="J22" i="9"/>
  <c r="AC10" i="9"/>
  <c r="AI9" i="11" s="1"/>
  <c r="W7" i="9"/>
  <c r="AB7" i="9" s="1"/>
  <c r="P7" i="9"/>
  <c r="M31" i="11"/>
  <c r="W19" i="6"/>
  <c r="W9" i="11"/>
  <c r="Y12" i="11"/>
  <c r="AH12" i="11"/>
  <c r="Y11" i="11"/>
  <c r="AH11" i="11"/>
  <c r="AB23" i="6"/>
  <c r="AI19" i="11" s="1"/>
  <c r="AB19" i="11"/>
  <c r="AK19" i="11"/>
  <c r="Y10" i="11"/>
  <c r="AH10" i="11"/>
  <c r="G18" i="6"/>
  <c r="C18" i="11"/>
  <c r="L26" i="6"/>
  <c r="K28" i="6"/>
  <c r="G17" i="6"/>
  <c r="C17" i="11"/>
  <c r="G22" i="6"/>
  <c r="C22" i="11"/>
  <c r="O46" i="6"/>
  <c r="G18" i="11"/>
  <c r="A5" i="10"/>
  <c r="A6" i="5"/>
  <c r="J20" i="9"/>
  <c r="R28" i="9"/>
  <c r="W30" i="6"/>
  <c r="W20" i="11"/>
  <c r="AB28" i="6"/>
  <c r="AK22" i="11"/>
  <c r="AB22" i="11"/>
  <c r="AC13" i="6"/>
  <c r="Z10" i="11"/>
  <c r="AA28" i="3"/>
  <c r="K33" i="6"/>
  <c r="O30" i="6"/>
  <c r="O17" i="6"/>
  <c r="M17" i="11"/>
  <c r="G16" i="6"/>
  <c r="C16" i="11"/>
  <c r="G16" i="11" s="1"/>
  <c r="L16" i="6"/>
  <c r="K16" i="11"/>
  <c r="T32" i="6"/>
  <c r="C46" i="11"/>
  <c r="R12" i="6"/>
  <c r="M12" i="11"/>
  <c r="L41" i="9"/>
  <c r="O41" i="9"/>
  <c r="L14" i="9"/>
  <c r="O14" i="9"/>
  <c r="Q19" i="9"/>
  <c r="I13" i="9"/>
  <c r="I30" i="9"/>
  <c r="Z25" i="9"/>
  <c r="L18" i="9"/>
  <c r="AC8" i="11"/>
  <c r="AC15" i="6"/>
  <c r="AC14" i="6"/>
  <c r="Z11" i="11"/>
  <c r="AB14" i="6"/>
  <c r="AI11" i="11" s="1"/>
  <c r="AA13" i="3"/>
  <c r="Z22" i="11"/>
  <c r="AD22" i="11" s="1"/>
  <c r="AC28" i="6"/>
  <c r="X19" i="6"/>
  <c r="Y9" i="11"/>
  <c r="AH9" i="11"/>
  <c r="G30" i="6"/>
  <c r="C33" i="6"/>
  <c r="C30" i="11"/>
  <c r="E17" i="11"/>
  <c r="K17" i="11"/>
  <c r="E15" i="11"/>
  <c r="L15" i="6"/>
  <c r="K15" i="11"/>
  <c r="E42" i="11"/>
  <c r="O42" i="6"/>
  <c r="L12" i="6"/>
  <c r="K12" i="11"/>
  <c r="M30" i="11"/>
  <c r="J19" i="9"/>
  <c r="E19" i="11"/>
  <c r="N12" i="9"/>
  <c r="R12" i="9"/>
  <c r="G43" i="9"/>
  <c r="C64" i="7"/>
  <c r="Y22" i="11"/>
  <c r="AH22" i="11"/>
  <c r="Z15" i="3"/>
  <c r="AA15" i="3"/>
  <c r="Y19" i="11"/>
  <c r="AH19" i="11"/>
  <c r="AA19" i="6"/>
  <c r="AB9" i="11"/>
  <c r="AK9" i="11"/>
  <c r="W12" i="11"/>
  <c r="W14" i="11" s="1"/>
  <c r="O27" i="6"/>
  <c r="M27" i="11"/>
  <c r="O11" i="6"/>
  <c r="K11" i="11"/>
  <c r="K20" i="6"/>
  <c r="K10" i="11"/>
  <c r="O10" i="6"/>
  <c r="M39" i="11"/>
  <c r="G42" i="6"/>
  <c r="C42" i="11"/>
  <c r="C12" i="11"/>
  <c r="E30" i="11"/>
  <c r="T21" i="6"/>
  <c r="L36" i="9"/>
  <c r="O36" i="9"/>
  <c r="R58" i="7" s="1"/>
  <c r="N58" i="7"/>
  <c r="N39" i="9"/>
  <c r="U30" i="8"/>
  <c r="U21" i="9"/>
  <c r="B6" i="9"/>
  <c r="T6" i="8"/>
  <c r="AA16" i="3"/>
  <c r="Z16" i="3"/>
  <c r="AK10" i="11"/>
  <c r="AB10" i="11"/>
  <c r="AB21" i="11"/>
  <c r="AC21" i="11" s="1"/>
  <c r="AB27" i="6"/>
  <c r="AI21" i="11" s="1"/>
  <c r="AK21" i="11"/>
  <c r="AH21" i="11"/>
  <c r="Y21" i="11"/>
  <c r="G27" i="6"/>
  <c r="E27" i="11"/>
  <c r="G11" i="6"/>
  <c r="C11" i="11"/>
  <c r="E14" i="11"/>
  <c r="C20" i="6"/>
  <c r="C10" i="11"/>
  <c r="G10" i="6"/>
  <c r="O14" i="6"/>
  <c r="K14" i="11"/>
  <c r="E39" i="11"/>
  <c r="O39" i="6"/>
  <c r="G13" i="6"/>
  <c r="C13" i="11"/>
  <c r="J12" i="6"/>
  <c r="E12" i="11"/>
  <c r="AA13" i="9"/>
  <c r="Z13" i="9"/>
  <c r="Z12" i="11" s="1"/>
  <c r="W13" i="11"/>
  <c r="AK13" i="11"/>
  <c r="AB13" i="11"/>
  <c r="AC16" i="6"/>
  <c r="Z13" i="11"/>
  <c r="AC13" i="11" s="1"/>
  <c r="AC25" i="3"/>
  <c r="Z25" i="3"/>
  <c r="AC25" i="6"/>
  <c r="Z19" i="6"/>
  <c r="AC19" i="6" s="1"/>
  <c r="Z9" i="11"/>
  <c r="R26" i="6"/>
  <c r="M26" i="11"/>
  <c r="M10" i="11"/>
  <c r="C27" i="11"/>
  <c r="G14" i="6"/>
  <c r="C14" i="11"/>
  <c r="M38" i="11"/>
  <c r="T27" i="6"/>
  <c r="C39" i="11"/>
  <c r="M18" i="11"/>
  <c r="C20" i="10"/>
  <c r="G10" i="10"/>
  <c r="K41" i="10"/>
  <c r="O36" i="10"/>
  <c r="C24" i="10"/>
  <c r="G19" i="10"/>
  <c r="F42" i="10"/>
  <c r="F22" i="10"/>
  <c r="F20" i="10"/>
  <c r="F15" i="10"/>
  <c r="F46" i="10"/>
  <c r="F39" i="10"/>
  <c r="F38" i="10"/>
  <c r="F32" i="10"/>
  <c r="F31" i="10"/>
  <c r="F11" i="10"/>
  <c r="F36" i="10"/>
  <c r="F17" i="10"/>
  <c r="F43" i="10"/>
  <c r="F24" i="10"/>
  <c r="F16" i="10"/>
  <c r="F26" i="10"/>
  <c r="F13" i="10"/>
  <c r="F19" i="10"/>
  <c r="F30" i="10"/>
  <c r="F28" i="10"/>
  <c r="F41" i="10"/>
  <c r="F34" i="10"/>
  <c r="I20" i="10"/>
  <c r="F18" i="10"/>
  <c r="F14" i="10"/>
  <c r="F10" i="10"/>
  <c r="F45" i="10"/>
  <c r="F27" i="10"/>
  <c r="F12" i="10"/>
  <c r="Y30" i="10"/>
  <c r="AC21" i="10"/>
  <c r="G31" i="10"/>
  <c r="C32" i="10"/>
  <c r="AC19" i="10"/>
  <c r="Z16" i="10"/>
  <c r="AI13" i="11" s="1"/>
  <c r="X17" i="10"/>
  <c r="AA17" i="10" s="1"/>
  <c r="AA16" i="10"/>
  <c r="M36" i="10"/>
  <c r="R59" i="7" s="1"/>
  <c r="AC17" i="10"/>
  <c r="I32" i="10"/>
  <c r="E34" i="10"/>
  <c r="I34" i="10" s="1"/>
  <c r="AA10" i="10"/>
  <c r="X19" i="10"/>
  <c r="AA19" i="10" s="1"/>
  <c r="AA11" i="10"/>
  <c r="K20" i="10"/>
  <c r="O10" i="10"/>
  <c r="I24" i="10"/>
  <c r="Z10" i="10"/>
  <c r="N17" i="10"/>
  <c r="N14" i="10"/>
  <c r="N26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41" i="10"/>
  <c r="N34" i="10"/>
  <c r="N28" i="10"/>
  <c r="N19" i="10"/>
  <c r="N16" i="10"/>
  <c r="N13" i="10"/>
  <c r="N10" i="10"/>
  <c r="N23" i="10"/>
  <c r="N45" i="10"/>
  <c r="N30" i="10"/>
  <c r="N36" i="10"/>
  <c r="N11" i="10"/>
  <c r="J34" i="8"/>
  <c r="F34" i="8"/>
  <c r="O24" i="8"/>
  <c r="K36" i="8"/>
  <c r="K45" i="9" s="1"/>
  <c r="N24" i="8"/>
  <c r="R24" i="8"/>
  <c r="M36" i="8"/>
  <c r="M36" i="9" s="1"/>
  <c r="D34" i="8"/>
  <c r="L24" i="8"/>
  <c r="Y30" i="8"/>
  <c r="AC21" i="8"/>
  <c r="C36" i="8"/>
  <c r="C45" i="9" s="1"/>
  <c r="G45" i="9" s="1"/>
  <c r="G24" i="8"/>
  <c r="AA19" i="8"/>
  <c r="X21" i="8"/>
  <c r="X21" i="9" s="1"/>
  <c r="Z19" i="8"/>
  <c r="R34" i="8"/>
  <c r="N34" i="8"/>
  <c r="F24" i="8"/>
  <c r="J24" i="8"/>
  <c r="E36" i="8"/>
  <c r="E36" i="9" s="1"/>
  <c r="L20" i="7"/>
  <c r="K24" i="7"/>
  <c r="O20" i="7"/>
  <c r="L26" i="7"/>
  <c r="L31" i="7"/>
  <c r="H34" i="7"/>
  <c r="J28" i="7"/>
  <c r="I28" i="7"/>
  <c r="F31" i="7"/>
  <c r="O32" i="7"/>
  <c r="L32" i="7"/>
  <c r="AD19" i="7"/>
  <c r="Z21" i="7"/>
  <c r="D32" i="7"/>
  <c r="G32" i="7"/>
  <c r="C34" i="7"/>
  <c r="G28" i="7"/>
  <c r="D28" i="7"/>
  <c r="R32" i="7"/>
  <c r="Q32" i="7"/>
  <c r="P24" i="7"/>
  <c r="R20" i="7"/>
  <c r="Q20" i="7"/>
  <c r="L11" i="7"/>
  <c r="Q27" i="7"/>
  <c r="I26" i="7"/>
  <c r="Q22" i="7"/>
  <c r="L27" i="7"/>
  <c r="Q30" i="7"/>
  <c r="Q10" i="7"/>
  <c r="Q38" i="7"/>
  <c r="M24" i="7"/>
  <c r="N20" i="7"/>
  <c r="I11" i="7"/>
  <c r="N26" i="7"/>
  <c r="L22" i="7"/>
  <c r="I27" i="7"/>
  <c r="F32" i="7"/>
  <c r="N28" i="7"/>
  <c r="M34" i="7"/>
  <c r="N34" i="7" s="1"/>
  <c r="F28" i="7"/>
  <c r="E34" i="7"/>
  <c r="F34" i="7" s="1"/>
  <c r="L38" i="7"/>
  <c r="J32" i="7"/>
  <c r="I32" i="7"/>
  <c r="H24" i="7"/>
  <c r="J20" i="7"/>
  <c r="I20" i="7"/>
  <c r="I38" i="7"/>
  <c r="E24" i="7"/>
  <c r="F20" i="7"/>
  <c r="L42" i="7"/>
  <c r="L10" i="7"/>
  <c r="L46" i="7"/>
  <c r="P34" i="7"/>
  <c r="R28" i="7"/>
  <c r="Q28" i="7"/>
  <c r="L39" i="7"/>
  <c r="Y19" i="7"/>
  <c r="AA19" i="7" s="1"/>
  <c r="AB17" i="7"/>
  <c r="AA17" i="7"/>
  <c r="K34" i="7"/>
  <c r="O28" i="7"/>
  <c r="L28" i="7"/>
  <c r="Q31" i="7"/>
  <c r="Q26" i="7"/>
  <c r="L12" i="7"/>
  <c r="F38" i="7"/>
  <c r="L13" i="7"/>
  <c r="L30" i="7"/>
  <c r="D20" i="7"/>
  <c r="C24" i="7"/>
  <c r="G20" i="7"/>
  <c r="O33" i="6"/>
  <c r="F33" i="6"/>
  <c r="T23" i="6"/>
  <c r="O28" i="6"/>
  <c r="M34" i="6"/>
  <c r="G28" i="6"/>
  <c r="F28" i="6"/>
  <c r="T20" i="6"/>
  <c r="E34" i="6"/>
  <c r="J28" i="6"/>
  <c r="G33" i="6"/>
  <c r="L22" i="5"/>
  <c r="I22" i="5"/>
  <c r="I13" i="5"/>
  <c r="D27" i="5"/>
  <c r="D46" i="5"/>
  <c r="D22" i="5"/>
  <c r="L17" i="5"/>
  <c r="L31" i="5"/>
  <c r="L20" i="5"/>
  <c r="L12" i="5"/>
  <c r="L10" i="5"/>
  <c r="L39" i="5"/>
  <c r="L16" i="5"/>
  <c r="K24" i="5"/>
  <c r="L14" i="5"/>
  <c r="L15" i="5"/>
  <c r="L30" i="5"/>
  <c r="L19" i="5"/>
  <c r="O20" i="5"/>
  <c r="L11" i="5"/>
  <c r="L38" i="5"/>
  <c r="L46" i="5"/>
  <c r="O28" i="5"/>
  <c r="K34" i="5"/>
  <c r="L28" i="5"/>
  <c r="D16" i="5"/>
  <c r="D20" i="5"/>
  <c r="D14" i="5"/>
  <c r="D12" i="5"/>
  <c r="D30" i="5"/>
  <c r="D11" i="5"/>
  <c r="D17" i="5"/>
  <c r="D15" i="5"/>
  <c r="D38" i="5"/>
  <c r="G20" i="5"/>
  <c r="C24" i="5"/>
  <c r="F42" i="5"/>
  <c r="F14" i="5"/>
  <c r="F19" i="5"/>
  <c r="F16" i="5"/>
  <c r="F13" i="5"/>
  <c r="F46" i="5"/>
  <c r="F30" i="5"/>
  <c r="F11" i="5"/>
  <c r="F28" i="5"/>
  <c r="F27" i="5"/>
  <c r="F26" i="5"/>
  <c r="F15" i="5"/>
  <c r="F17" i="5"/>
  <c r="F38" i="5"/>
  <c r="F31" i="5"/>
  <c r="E24" i="5"/>
  <c r="F22" i="5"/>
  <c r="F12" i="5"/>
  <c r="F10" i="5"/>
  <c r="F39" i="5"/>
  <c r="F32" i="5"/>
  <c r="F20" i="5"/>
  <c r="F18" i="5"/>
  <c r="N12" i="5"/>
  <c r="N10" i="5"/>
  <c r="N42" i="5"/>
  <c r="N39" i="5"/>
  <c r="N16" i="5"/>
  <c r="N20" i="5"/>
  <c r="N28" i="5"/>
  <c r="N27" i="5"/>
  <c r="N26" i="5"/>
  <c r="N18" i="5"/>
  <c r="N14" i="5"/>
  <c r="N46" i="5"/>
  <c r="N30" i="5"/>
  <c r="N19" i="5"/>
  <c r="N11" i="5"/>
  <c r="N38" i="5"/>
  <c r="M24" i="5"/>
  <c r="N24" i="5" s="1"/>
  <c r="N22" i="5"/>
  <c r="N15" i="5"/>
  <c r="N13" i="5"/>
  <c r="N17" i="5"/>
  <c r="N32" i="5"/>
  <c r="N31" i="5"/>
  <c r="L13" i="5"/>
  <c r="L26" i="5"/>
  <c r="I11" i="5"/>
  <c r="I15" i="5"/>
  <c r="H24" i="5"/>
  <c r="J20" i="5"/>
  <c r="I12" i="5"/>
  <c r="I10" i="5"/>
  <c r="I16" i="5"/>
  <c r="I14" i="5"/>
  <c r="I46" i="5"/>
  <c r="D32" i="5"/>
  <c r="D10" i="5"/>
  <c r="E34" i="5"/>
  <c r="F34" i="5" s="1"/>
  <c r="G28" i="5"/>
  <c r="C34" i="5"/>
  <c r="D28" i="5"/>
  <c r="D42" i="5"/>
  <c r="D13" i="5"/>
  <c r="D26" i="5"/>
  <c r="L18" i="5"/>
  <c r="L27" i="4"/>
  <c r="F31" i="4"/>
  <c r="AB19" i="4"/>
  <c r="L22" i="4"/>
  <c r="L15" i="4"/>
  <c r="H34" i="4"/>
  <c r="J28" i="4"/>
  <c r="I28" i="4"/>
  <c r="Z17" i="4"/>
  <c r="N14" i="4"/>
  <c r="F46" i="4"/>
  <c r="F30" i="4"/>
  <c r="N26" i="4"/>
  <c r="L46" i="4"/>
  <c r="L39" i="4"/>
  <c r="L31" i="4"/>
  <c r="I17" i="4"/>
  <c r="L12" i="4"/>
  <c r="F13" i="4"/>
  <c r="D28" i="4"/>
  <c r="G28" i="4"/>
  <c r="C34" i="4"/>
  <c r="F19" i="4"/>
  <c r="L19" i="4"/>
  <c r="F14" i="4"/>
  <c r="N42" i="4"/>
  <c r="F32" i="4"/>
  <c r="F26" i="4"/>
  <c r="X19" i="4"/>
  <c r="M34" i="4"/>
  <c r="N34" i="4" s="1"/>
  <c r="N28" i="4"/>
  <c r="N20" i="4"/>
  <c r="M24" i="4"/>
  <c r="G20" i="4"/>
  <c r="C24" i="4"/>
  <c r="D20" i="4"/>
  <c r="N16" i="4"/>
  <c r="F42" i="4"/>
  <c r="E34" i="4"/>
  <c r="F34" i="4" s="1"/>
  <c r="F28" i="4"/>
  <c r="D46" i="4"/>
  <c r="D39" i="4"/>
  <c r="D31" i="4"/>
  <c r="D12" i="4"/>
  <c r="O32" i="4"/>
  <c r="L32" i="4"/>
  <c r="F22" i="4"/>
  <c r="N17" i="4"/>
  <c r="F18" i="4"/>
  <c r="N10" i="4"/>
  <c r="N19" i="4"/>
  <c r="R32" i="4"/>
  <c r="Q32" i="4"/>
  <c r="F16" i="4"/>
  <c r="N39" i="4"/>
  <c r="P24" i="4"/>
  <c r="Q20" i="4"/>
  <c r="R20" i="4"/>
  <c r="J20" i="4"/>
  <c r="H24" i="4"/>
  <c r="F17" i="4"/>
  <c r="O20" i="4"/>
  <c r="K24" i="4"/>
  <c r="L20" i="4"/>
  <c r="N31" i="4"/>
  <c r="L42" i="4"/>
  <c r="L38" i="4"/>
  <c r="L13" i="4"/>
  <c r="F10" i="4"/>
  <c r="P34" i="4"/>
  <c r="R28" i="4"/>
  <c r="Q28" i="4"/>
  <c r="D19" i="4"/>
  <c r="F15" i="4"/>
  <c r="L10" i="4"/>
  <c r="D17" i="4"/>
  <c r="N27" i="4"/>
  <c r="L14" i="4"/>
  <c r="F39" i="4"/>
  <c r="F20" i="4"/>
  <c r="E24" i="4"/>
  <c r="G32" i="4"/>
  <c r="D32" i="4"/>
  <c r="L28" i="4"/>
  <c r="K34" i="4"/>
  <c r="O28" i="4"/>
  <c r="J32" i="4"/>
  <c r="I32" i="4"/>
  <c r="F38" i="4"/>
  <c r="Y21" i="4"/>
  <c r="N30" i="4"/>
  <c r="F27" i="4"/>
  <c r="D42" i="4"/>
  <c r="D38" i="4"/>
  <c r="D13" i="4"/>
  <c r="N13" i="4"/>
  <c r="N11" i="4"/>
  <c r="E34" i="3"/>
  <c r="F34" i="3" s="1"/>
  <c r="F28" i="3"/>
  <c r="D13" i="3"/>
  <c r="D18" i="3"/>
  <c r="Y21" i="3"/>
  <c r="AA21" i="6" s="1"/>
  <c r="L30" i="3"/>
  <c r="D10" i="3"/>
  <c r="H34" i="3"/>
  <c r="J28" i="3"/>
  <c r="I28" i="3"/>
  <c r="L42" i="3"/>
  <c r="L38" i="3"/>
  <c r="AA30" i="3"/>
  <c r="O32" i="3"/>
  <c r="L32" i="3"/>
  <c r="M34" i="3"/>
  <c r="F17" i="3"/>
  <c r="D11" i="3"/>
  <c r="L27" i="3"/>
  <c r="L17" i="3"/>
  <c r="D26" i="3"/>
  <c r="D16" i="3"/>
  <c r="L15" i="3"/>
  <c r="F42" i="3"/>
  <c r="P34" i="3"/>
  <c r="R28" i="3"/>
  <c r="Q28" i="3"/>
  <c r="D12" i="3"/>
  <c r="D15" i="3"/>
  <c r="F39" i="3"/>
  <c r="D28" i="3"/>
  <c r="G28" i="3"/>
  <c r="C34" i="3"/>
  <c r="L28" i="3"/>
  <c r="O28" i="3"/>
  <c r="K34" i="3"/>
  <c r="F32" i="3"/>
  <c r="D38" i="3"/>
  <c r="F16" i="3"/>
  <c r="E24" i="3"/>
  <c r="F20" i="3"/>
  <c r="F31" i="3"/>
  <c r="X19" i="3"/>
  <c r="F10" i="3"/>
  <c r="K24" i="3"/>
  <c r="L20" i="3"/>
  <c r="D22" i="3"/>
  <c r="L14" i="3"/>
  <c r="L19" i="3"/>
  <c r="F30" i="3"/>
  <c r="D42" i="3"/>
  <c r="D30" i="3"/>
  <c r="G32" i="3"/>
  <c r="D32" i="3"/>
  <c r="D46" i="3"/>
  <c r="D39" i="3"/>
  <c r="F12" i="3"/>
  <c r="G20" i="3"/>
  <c r="C24" i="3"/>
  <c r="D20" i="3"/>
  <c r="Z17" i="3"/>
  <c r="R32" i="3"/>
  <c r="Q32" i="3"/>
  <c r="F27" i="3"/>
  <c r="L11" i="3"/>
  <c r="D27" i="3"/>
  <c r="D17" i="3"/>
  <c r="J32" i="3"/>
  <c r="I32" i="3"/>
  <c r="L16" i="3"/>
  <c r="D14" i="3"/>
  <c r="F46" i="3"/>
  <c r="D19" i="3"/>
  <c r="L12" i="3"/>
  <c r="Q20" i="3"/>
  <c r="Q14" i="3"/>
  <c r="P24" i="3"/>
  <c r="Q16" i="3"/>
  <c r="J20" i="3"/>
  <c r="H24" i="3"/>
  <c r="H24" i="6" s="1"/>
  <c r="I16" i="3"/>
  <c r="F11" i="3"/>
  <c r="R27" i="5" l="1"/>
  <c r="J27" i="5"/>
  <c r="I27" i="5"/>
  <c r="R26" i="5"/>
  <c r="P28" i="5"/>
  <c r="H28" i="5"/>
  <c r="J26" i="5"/>
  <c r="I26" i="5"/>
  <c r="Q30" i="5"/>
  <c r="P32" i="5"/>
  <c r="R30" i="5"/>
  <c r="J38" i="5"/>
  <c r="R38" i="5"/>
  <c r="J31" i="5"/>
  <c r="R22" i="5"/>
  <c r="R13" i="5"/>
  <c r="P20" i="5"/>
  <c r="Q26" i="5" s="1"/>
  <c r="J39" i="5"/>
  <c r="R31" i="5"/>
  <c r="R39" i="5"/>
  <c r="Q31" i="5"/>
  <c r="H32" i="5"/>
  <c r="J30" i="5"/>
  <c r="H24" i="10"/>
  <c r="R10" i="10"/>
  <c r="P20" i="10"/>
  <c r="Q10" i="10" s="1"/>
  <c r="P24" i="10"/>
  <c r="R19" i="10"/>
  <c r="P19" i="11"/>
  <c r="R39" i="10"/>
  <c r="Q39" i="10"/>
  <c r="J39" i="10"/>
  <c r="R38" i="10"/>
  <c r="J38" i="10"/>
  <c r="P32" i="10"/>
  <c r="R31" i="10"/>
  <c r="P31" i="11"/>
  <c r="J31" i="10"/>
  <c r="H32" i="10"/>
  <c r="H31" i="11"/>
  <c r="W40" i="7"/>
  <c r="W41" i="7" s="1"/>
  <c r="W42" i="7" s="1"/>
  <c r="AC30" i="10"/>
  <c r="AC21" i="9"/>
  <c r="Z21" i="9"/>
  <c r="Z20" i="11" s="1"/>
  <c r="AD20" i="11" s="1"/>
  <c r="Y30" i="9"/>
  <c r="Y20" i="11"/>
  <c r="AH20" i="11"/>
  <c r="AC12" i="11"/>
  <c r="AD12" i="11"/>
  <c r="AK18" i="11"/>
  <c r="G11" i="11"/>
  <c r="AA30" i="8"/>
  <c r="U30" i="9"/>
  <c r="AA30" i="9" s="1"/>
  <c r="G42" i="11"/>
  <c r="O11" i="11"/>
  <c r="O16" i="11"/>
  <c r="G22" i="11"/>
  <c r="AD21" i="11"/>
  <c r="O13" i="11"/>
  <c r="H12" i="11"/>
  <c r="I17" i="3"/>
  <c r="Q15" i="3"/>
  <c r="Q22" i="3"/>
  <c r="R27" i="6"/>
  <c r="P27" i="11"/>
  <c r="J18" i="6"/>
  <c r="H18" i="11"/>
  <c r="Q30" i="3"/>
  <c r="I39" i="3"/>
  <c r="J42" i="6"/>
  <c r="H42" i="11"/>
  <c r="I13" i="3"/>
  <c r="Y19" i="6"/>
  <c r="AG15" i="11" s="1"/>
  <c r="X9" i="11"/>
  <c r="AG9" i="11"/>
  <c r="AA11" i="11"/>
  <c r="AE11" i="11" s="1"/>
  <c r="AE14" i="6"/>
  <c r="Q27" i="4"/>
  <c r="Q14" i="4"/>
  <c r="I15" i="4"/>
  <c r="G31" i="11"/>
  <c r="J36" i="9"/>
  <c r="E58" i="7"/>
  <c r="G36" i="9"/>
  <c r="F36" i="9"/>
  <c r="G27" i="11"/>
  <c r="G30" i="11"/>
  <c r="C32" i="11"/>
  <c r="M16" i="6"/>
  <c r="M20" i="3"/>
  <c r="O16" i="3"/>
  <c r="I10" i="3"/>
  <c r="P10" i="11"/>
  <c r="R10" i="6"/>
  <c r="R22" i="6"/>
  <c r="P22" i="11"/>
  <c r="R46" i="6"/>
  <c r="P46" i="11"/>
  <c r="J13" i="6"/>
  <c r="H13" i="11"/>
  <c r="W19" i="3"/>
  <c r="X22" i="11"/>
  <c r="AG22" i="11"/>
  <c r="W17" i="3"/>
  <c r="AE25" i="6"/>
  <c r="AG19" i="11"/>
  <c r="X19" i="11"/>
  <c r="N34" i="3"/>
  <c r="O45" i="9"/>
  <c r="L45" i="9"/>
  <c r="O14" i="11"/>
  <c r="E28" i="11"/>
  <c r="M28" i="11"/>
  <c r="D33" i="6"/>
  <c r="AD10" i="11"/>
  <c r="AC10" i="11"/>
  <c r="G17" i="11"/>
  <c r="Y14" i="11"/>
  <c r="Y15" i="11" s="1"/>
  <c r="Y18" i="11" s="1"/>
  <c r="Y23" i="11" s="1"/>
  <c r="AC23" i="11" s="1"/>
  <c r="O27" i="11"/>
  <c r="N34" i="9"/>
  <c r="R34" i="9"/>
  <c r="J17" i="6"/>
  <c r="H17" i="11"/>
  <c r="I14" i="3"/>
  <c r="P15" i="11"/>
  <c r="R15" i="6"/>
  <c r="I11" i="3"/>
  <c r="H26" i="11"/>
  <c r="J39" i="6"/>
  <c r="H39" i="11"/>
  <c r="I39" i="6"/>
  <c r="X12" i="11"/>
  <c r="AG12" i="11"/>
  <c r="Q22" i="4"/>
  <c r="O18" i="11"/>
  <c r="G12" i="11"/>
  <c r="F12" i="11"/>
  <c r="F19" i="11"/>
  <c r="AD11" i="11"/>
  <c r="AC11" i="11"/>
  <c r="R12" i="11"/>
  <c r="W15" i="11"/>
  <c r="G38" i="11"/>
  <c r="Z19" i="9"/>
  <c r="AC19" i="9"/>
  <c r="C34" i="6"/>
  <c r="D34" i="6" s="1"/>
  <c r="D28" i="6"/>
  <c r="I12" i="3"/>
  <c r="H20" i="6"/>
  <c r="I11" i="6" s="1"/>
  <c r="J11" i="6"/>
  <c r="H11" i="11"/>
  <c r="I27" i="3"/>
  <c r="R18" i="6"/>
  <c r="P18" i="11"/>
  <c r="R30" i="6"/>
  <c r="P30" i="11"/>
  <c r="P33" i="6"/>
  <c r="R42" i="6"/>
  <c r="P42" i="11"/>
  <c r="X10" i="11"/>
  <c r="AG10" i="11"/>
  <c r="AA21" i="11"/>
  <c r="AE21" i="11" s="1"/>
  <c r="AE27" i="6"/>
  <c r="AA9" i="11"/>
  <c r="AE11" i="6"/>
  <c r="I38" i="5"/>
  <c r="Q12" i="7"/>
  <c r="G39" i="11"/>
  <c r="O15" i="11"/>
  <c r="AC22" i="11"/>
  <c r="L28" i="6"/>
  <c r="K34" i="6"/>
  <c r="L34" i="6" s="1"/>
  <c r="G26" i="11"/>
  <c r="C28" i="11"/>
  <c r="O31" i="11"/>
  <c r="Z14" i="11"/>
  <c r="AC14" i="11" s="1"/>
  <c r="AC17" i="6"/>
  <c r="J10" i="6"/>
  <c r="H10" i="11"/>
  <c r="J14" i="6"/>
  <c r="H14" i="11"/>
  <c r="I19" i="3"/>
  <c r="J38" i="6"/>
  <c r="H38" i="11"/>
  <c r="I46" i="3"/>
  <c r="R13" i="6"/>
  <c r="P13" i="11"/>
  <c r="AE15" i="6"/>
  <c r="AA12" i="11"/>
  <c r="AE12" i="11" s="1"/>
  <c r="X13" i="11"/>
  <c r="AG13" i="11"/>
  <c r="AE28" i="6"/>
  <c r="AA22" i="11"/>
  <c r="AE22" i="11" s="1"/>
  <c r="AC11" i="3"/>
  <c r="AB19" i="3"/>
  <c r="AC19" i="3" s="1"/>
  <c r="AC17" i="4"/>
  <c r="AD17" i="6"/>
  <c r="AD19" i="6" s="1"/>
  <c r="AE19" i="6" s="1"/>
  <c r="AB17" i="3"/>
  <c r="AC17" i="3" s="1"/>
  <c r="G19" i="11"/>
  <c r="E36" i="5"/>
  <c r="D13" i="11"/>
  <c r="G10" i="11"/>
  <c r="M32" i="11"/>
  <c r="G46" i="11"/>
  <c r="D46" i="11"/>
  <c r="AE19" i="11"/>
  <c r="AC19" i="11"/>
  <c r="E20" i="11"/>
  <c r="F10" i="11"/>
  <c r="AC20" i="11"/>
  <c r="R17" i="6"/>
  <c r="P17" i="11"/>
  <c r="I22" i="3"/>
  <c r="P28" i="6"/>
  <c r="P26" i="11"/>
  <c r="J27" i="6"/>
  <c r="H27" i="11"/>
  <c r="I30" i="3"/>
  <c r="R39" i="6"/>
  <c r="P39" i="11"/>
  <c r="I31" i="3"/>
  <c r="Q19" i="4"/>
  <c r="I14" i="4"/>
  <c r="AE13" i="6"/>
  <c r="AA10" i="11"/>
  <c r="AE10" i="11" s="1"/>
  <c r="Q16" i="4"/>
  <c r="K24" i="10"/>
  <c r="K19" i="11"/>
  <c r="K20" i="11" s="1"/>
  <c r="AD9" i="11"/>
  <c r="Z15" i="11"/>
  <c r="AD13" i="11"/>
  <c r="G20" i="6"/>
  <c r="D15" i="6"/>
  <c r="D27" i="6"/>
  <c r="D30" i="6"/>
  <c r="D26" i="6"/>
  <c r="D32" i="6"/>
  <c r="D39" i="6"/>
  <c r="D12" i="6"/>
  <c r="D22" i="6"/>
  <c r="D42" i="6"/>
  <c r="D13" i="6"/>
  <c r="D46" i="6"/>
  <c r="D20" i="6"/>
  <c r="D14" i="6"/>
  <c r="D11" i="6"/>
  <c r="D38" i="6"/>
  <c r="D10" i="6"/>
  <c r="C24" i="6"/>
  <c r="AF3" i="9"/>
  <c r="T6" i="9"/>
  <c r="E32" i="11"/>
  <c r="F32" i="11" s="1"/>
  <c r="F30" i="11"/>
  <c r="O10" i="11"/>
  <c r="AB15" i="11"/>
  <c r="AC9" i="11"/>
  <c r="G15" i="11"/>
  <c r="F15" i="11"/>
  <c r="X21" i="6"/>
  <c r="AH15" i="11"/>
  <c r="G13" i="11"/>
  <c r="F13" i="11"/>
  <c r="F14" i="6"/>
  <c r="F39" i="6"/>
  <c r="F22" i="6"/>
  <c r="F16" i="6"/>
  <c r="F12" i="6"/>
  <c r="F18" i="6"/>
  <c r="F38" i="6"/>
  <c r="F20" i="6"/>
  <c r="F17" i="6"/>
  <c r="E24" i="6"/>
  <c r="F27" i="6"/>
  <c r="F10" i="6"/>
  <c r="F15" i="6"/>
  <c r="F11" i="6"/>
  <c r="F26" i="6"/>
  <c r="F46" i="6"/>
  <c r="F30" i="6"/>
  <c r="F42" i="6"/>
  <c r="F13" i="6"/>
  <c r="F32" i="6"/>
  <c r="AA17" i="9"/>
  <c r="Z17" i="9"/>
  <c r="F31" i="11"/>
  <c r="I15" i="3"/>
  <c r="J22" i="6"/>
  <c r="H22" i="11"/>
  <c r="R11" i="6"/>
  <c r="P11" i="11"/>
  <c r="I18" i="3"/>
  <c r="H19" i="11"/>
  <c r="J19" i="11" s="1"/>
  <c r="I42" i="3"/>
  <c r="J46" i="6"/>
  <c r="H46" i="11"/>
  <c r="AE16" i="6"/>
  <c r="AA13" i="11"/>
  <c r="AE13" i="11" s="1"/>
  <c r="X11" i="11"/>
  <c r="AG11" i="11"/>
  <c r="AE23" i="6"/>
  <c r="AA19" i="11"/>
  <c r="Q12" i="4"/>
  <c r="I31" i="4"/>
  <c r="I39" i="4"/>
  <c r="I46" i="4"/>
  <c r="I12" i="4"/>
  <c r="U21" i="10"/>
  <c r="U30" i="10" s="1"/>
  <c r="W8" i="11"/>
  <c r="W18" i="11" s="1"/>
  <c r="W23" i="11" s="1"/>
  <c r="J24" i="6"/>
  <c r="AA21" i="9"/>
  <c r="AA20" i="11" s="1"/>
  <c r="AE20" i="11" s="1"/>
  <c r="X30" i="9"/>
  <c r="R36" i="9"/>
  <c r="N36" i="9"/>
  <c r="X21" i="10"/>
  <c r="X30" i="10" s="1"/>
  <c r="C20" i="11"/>
  <c r="D30" i="11" s="1"/>
  <c r="G14" i="11"/>
  <c r="F14" i="11"/>
  <c r="D12" i="11"/>
  <c r="L14" i="6"/>
  <c r="L42" i="6"/>
  <c r="L11" i="6"/>
  <c r="L18" i="6"/>
  <c r="L27" i="6"/>
  <c r="K24" i="6"/>
  <c r="L39" i="6"/>
  <c r="L17" i="6"/>
  <c r="L22" i="6"/>
  <c r="L32" i="6"/>
  <c r="L13" i="6"/>
  <c r="L46" i="6"/>
  <c r="L30" i="6"/>
  <c r="L20" i="6"/>
  <c r="L38" i="6"/>
  <c r="L10" i="6"/>
  <c r="AK15" i="11"/>
  <c r="AB19" i="6"/>
  <c r="AI15" i="11" s="1"/>
  <c r="O12" i="11"/>
  <c r="O17" i="11"/>
  <c r="L33" i="6"/>
  <c r="D18" i="11"/>
  <c r="O22" i="11"/>
  <c r="AI20" i="11"/>
  <c r="AB17" i="6"/>
  <c r="M34" i="5"/>
  <c r="N34" i="5" s="1"/>
  <c r="H15" i="11"/>
  <c r="J15" i="6"/>
  <c r="Q27" i="3"/>
  <c r="I26" i="3"/>
  <c r="J30" i="6"/>
  <c r="H30" i="11"/>
  <c r="H33" i="6"/>
  <c r="H34" i="6" s="1"/>
  <c r="Q31" i="3"/>
  <c r="R38" i="6"/>
  <c r="P38" i="11"/>
  <c r="W19" i="4"/>
  <c r="W21" i="4" s="1"/>
  <c r="X20" i="11"/>
  <c r="AG20" i="11"/>
  <c r="Q11" i="4"/>
  <c r="I27" i="4"/>
  <c r="I30" i="4"/>
  <c r="R16" i="3"/>
  <c r="P16" i="6"/>
  <c r="Q39" i="7"/>
  <c r="Z28" i="10"/>
  <c r="AI22" i="11" s="1"/>
  <c r="G32" i="10"/>
  <c r="C34" i="10"/>
  <c r="G34" i="10" s="1"/>
  <c r="Z17" i="10"/>
  <c r="M45" i="10"/>
  <c r="M41" i="10"/>
  <c r="M43" i="10" s="1"/>
  <c r="K45" i="10"/>
  <c r="O45" i="10" s="1"/>
  <c r="O41" i="10"/>
  <c r="AA21" i="10"/>
  <c r="L41" i="10"/>
  <c r="L34" i="10"/>
  <c r="L30" i="10"/>
  <c r="O20" i="10"/>
  <c r="L19" i="10"/>
  <c r="L10" i="10"/>
  <c r="L42" i="10"/>
  <c r="L24" i="10"/>
  <c r="L22" i="10"/>
  <c r="L45" i="10"/>
  <c r="L17" i="10"/>
  <c r="L14" i="10"/>
  <c r="L39" i="10"/>
  <c r="L38" i="10"/>
  <c r="L20" i="10"/>
  <c r="L43" i="10"/>
  <c r="L27" i="10"/>
  <c r="L12" i="10"/>
  <c r="L32" i="10"/>
  <c r="L46" i="10"/>
  <c r="L11" i="10"/>
  <c r="L36" i="10"/>
  <c r="L26" i="10"/>
  <c r="L18" i="10"/>
  <c r="L28" i="10"/>
  <c r="K26" i="10"/>
  <c r="K26" i="11" s="1"/>
  <c r="L16" i="10"/>
  <c r="L13" i="10"/>
  <c r="L31" i="10"/>
  <c r="L15" i="10"/>
  <c r="G24" i="10"/>
  <c r="C36" i="10"/>
  <c r="C59" i="7" s="1"/>
  <c r="Z19" i="10"/>
  <c r="E36" i="10"/>
  <c r="E59" i="7" s="1"/>
  <c r="D41" i="10"/>
  <c r="D34" i="10"/>
  <c r="D27" i="10"/>
  <c r="D12" i="10"/>
  <c r="D10" i="10"/>
  <c r="D32" i="10"/>
  <c r="D26" i="10"/>
  <c r="D45" i="10"/>
  <c r="D42" i="10"/>
  <c r="D22" i="10"/>
  <c r="D15" i="10"/>
  <c r="D46" i="10"/>
  <c r="D38" i="10"/>
  <c r="D20" i="10"/>
  <c r="D11" i="10"/>
  <c r="D31" i="10"/>
  <c r="D36" i="10"/>
  <c r="D17" i="10"/>
  <c r="D43" i="10"/>
  <c r="D30" i="10"/>
  <c r="D16" i="10"/>
  <c r="D28" i="10"/>
  <c r="G20" i="10"/>
  <c r="D19" i="10"/>
  <c r="D18" i="10"/>
  <c r="D14" i="10"/>
  <c r="D39" i="10"/>
  <c r="D24" i="10"/>
  <c r="D13" i="10"/>
  <c r="R36" i="8"/>
  <c r="M41" i="8"/>
  <c r="M41" i="9" s="1"/>
  <c r="N36" i="8"/>
  <c r="X30" i="8"/>
  <c r="Z30" i="8" s="1"/>
  <c r="AA21" i="8"/>
  <c r="G36" i="8"/>
  <c r="C41" i="8"/>
  <c r="D36" i="8"/>
  <c r="Z21" i="8"/>
  <c r="O36" i="8"/>
  <c r="K41" i="8"/>
  <c r="L36" i="8"/>
  <c r="F36" i="8"/>
  <c r="J36" i="8"/>
  <c r="E41" i="8"/>
  <c r="E41" i="9" s="1"/>
  <c r="AC30" i="8"/>
  <c r="O34" i="7"/>
  <c r="L34" i="7"/>
  <c r="I24" i="7"/>
  <c r="H36" i="7"/>
  <c r="J24" i="7"/>
  <c r="R24" i="7"/>
  <c r="Q24" i="7"/>
  <c r="P36" i="7"/>
  <c r="AD21" i="7"/>
  <c r="Z30" i="7"/>
  <c r="J34" i="7"/>
  <c r="I34" i="7"/>
  <c r="R34" i="7"/>
  <c r="Q34" i="7"/>
  <c r="Y21" i="7"/>
  <c r="AB19" i="7"/>
  <c r="F24" i="7"/>
  <c r="E36" i="7"/>
  <c r="K36" i="7"/>
  <c r="O24" i="7"/>
  <c r="L24" i="7"/>
  <c r="C36" i="7"/>
  <c r="G24" i="7"/>
  <c r="D24" i="7"/>
  <c r="N24" i="7"/>
  <c r="M36" i="7"/>
  <c r="G34" i="7"/>
  <c r="D34" i="7"/>
  <c r="F34" i="6"/>
  <c r="T24" i="6"/>
  <c r="G34" i="6"/>
  <c r="E36" i="6"/>
  <c r="O34" i="6"/>
  <c r="F24" i="5"/>
  <c r="L34" i="5"/>
  <c r="O34" i="5"/>
  <c r="J24" i="5"/>
  <c r="I24" i="5"/>
  <c r="K36" i="5"/>
  <c r="O24" i="5"/>
  <c r="L24" i="5"/>
  <c r="C36" i="5"/>
  <c r="G24" i="5"/>
  <c r="D24" i="5"/>
  <c r="E41" i="5"/>
  <c r="D34" i="5"/>
  <c r="G34" i="5"/>
  <c r="F36" i="5"/>
  <c r="P36" i="4"/>
  <c r="R24" i="4"/>
  <c r="Q24" i="4"/>
  <c r="L24" i="4"/>
  <c r="O24" i="4"/>
  <c r="K36" i="4"/>
  <c r="R34" i="4"/>
  <c r="Q34" i="4"/>
  <c r="G34" i="4"/>
  <c r="D34" i="4"/>
  <c r="J34" i="4"/>
  <c r="I34" i="4"/>
  <c r="X21" i="4"/>
  <c r="Z21" i="6" s="1"/>
  <c r="AC21" i="6" s="1"/>
  <c r="AA19" i="4"/>
  <c r="D24" i="4"/>
  <c r="G24" i="4"/>
  <c r="C36" i="4"/>
  <c r="AB21" i="4"/>
  <c r="AC19" i="4"/>
  <c r="O34" i="4"/>
  <c r="L34" i="4"/>
  <c r="H36" i="4"/>
  <c r="J24" i="4"/>
  <c r="I24" i="4"/>
  <c r="Y30" i="4"/>
  <c r="Z19" i="4"/>
  <c r="E36" i="4"/>
  <c r="F24" i="4"/>
  <c r="M36" i="4"/>
  <c r="N24" i="4"/>
  <c r="F24" i="3"/>
  <c r="E36" i="3"/>
  <c r="P36" i="3"/>
  <c r="Q24" i="3"/>
  <c r="L24" i="3"/>
  <c r="K36" i="3"/>
  <c r="G34" i="3"/>
  <c r="D34" i="3"/>
  <c r="Y30" i="3"/>
  <c r="AA30" i="6" s="1"/>
  <c r="O34" i="3"/>
  <c r="L34" i="3"/>
  <c r="D24" i="3"/>
  <c r="C36" i="3"/>
  <c r="G24" i="3"/>
  <c r="J34" i="3"/>
  <c r="I34" i="3"/>
  <c r="H36" i="3"/>
  <c r="J24" i="3"/>
  <c r="I24" i="3"/>
  <c r="AA19" i="3"/>
  <c r="X21" i="3"/>
  <c r="R34" i="3"/>
  <c r="Q34" i="3"/>
  <c r="Z19" i="3"/>
  <c r="K24" i="11" l="1"/>
  <c r="L20" i="11"/>
  <c r="L15" i="11"/>
  <c r="L17" i="11"/>
  <c r="L14" i="11"/>
  <c r="L31" i="11"/>
  <c r="L11" i="11"/>
  <c r="L10" i="11"/>
  <c r="L12" i="11"/>
  <c r="L16" i="11"/>
  <c r="L27" i="11"/>
  <c r="L18" i="11"/>
  <c r="L22" i="11"/>
  <c r="L13" i="11"/>
  <c r="I34" i="6"/>
  <c r="H36" i="6"/>
  <c r="J34" i="6"/>
  <c r="AA30" i="10"/>
  <c r="V40" i="7"/>
  <c r="V41" i="7" s="1"/>
  <c r="V42" i="7" s="1"/>
  <c r="X42" i="7" s="1"/>
  <c r="R39" i="11"/>
  <c r="AD21" i="6"/>
  <c r="AB21" i="3"/>
  <c r="J30" i="11"/>
  <c r="H32" i="11"/>
  <c r="L24" i="6"/>
  <c r="K36" i="6"/>
  <c r="I24" i="6"/>
  <c r="J46" i="11"/>
  <c r="I22" i="6"/>
  <c r="D19" i="11"/>
  <c r="H20" i="11"/>
  <c r="I10" i="11" s="1"/>
  <c r="J10" i="11"/>
  <c r="D26" i="11"/>
  <c r="R27" i="11"/>
  <c r="AD14" i="11"/>
  <c r="W24" i="11"/>
  <c r="J31" i="11"/>
  <c r="Q38" i="10"/>
  <c r="Q38" i="5"/>
  <c r="J28" i="5"/>
  <c r="I28" i="5"/>
  <c r="AE17" i="6"/>
  <c r="AA14" i="11"/>
  <c r="AE14" i="11" s="1"/>
  <c r="I32" i="6"/>
  <c r="I16" i="6"/>
  <c r="J20" i="6"/>
  <c r="I20" i="6"/>
  <c r="AB24" i="11"/>
  <c r="AK23" i="11"/>
  <c r="O26" i="11"/>
  <c r="L26" i="11"/>
  <c r="K28" i="11"/>
  <c r="W30" i="4"/>
  <c r="Y21" i="6"/>
  <c r="W21" i="3"/>
  <c r="W30" i="3" s="1"/>
  <c r="AI14" i="11"/>
  <c r="D14" i="11"/>
  <c r="J22" i="11"/>
  <c r="I20" i="11"/>
  <c r="I22" i="11"/>
  <c r="T12" i="6"/>
  <c r="F24" i="6"/>
  <c r="R26" i="11"/>
  <c r="P28" i="11"/>
  <c r="F18" i="11"/>
  <c r="F20" i="11"/>
  <c r="F46" i="11"/>
  <c r="F11" i="11"/>
  <c r="E24" i="11"/>
  <c r="F38" i="11"/>
  <c r="I38" i="6"/>
  <c r="D39" i="11"/>
  <c r="R33" i="6"/>
  <c r="J11" i="11"/>
  <c r="I11" i="11"/>
  <c r="F42" i="11"/>
  <c r="R10" i="11"/>
  <c r="F26" i="11"/>
  <c r="J32" i="10"/>
  <c r="H34" i="10"/>
  <c r="J34" i="10" s="1"/>
  <c r="Q19" i="10"/>
  <c r="Q11" i="10"/>
  <c r="Q30" i="10"/>
  <c r="Q42" i="10"/>
  <c r="Q20" i="10"/>
  <c r="Q22" i="10"/>
  <c r="Q14" i="10"/>
  <c r="Q15" i="10"/>
  <c r="Q27" i="10"/>
  <c r="Q26" i="10"/>
  <c r="Q12" i="10"/>
  <c r="Q28" i="10"/>
  <c r="R20" i="10"/>
  <c r="Q13" i="10"/>
  <c r="Q46" i="10"/>
  <c r="J41" i="9"/>
  <c r="F41" i="9"/>
  <c r="Z21" i="10"/>
  <c r="R16" i="6"/>
  <c r="P16" i="11"/>
  <c r="P20" i="11" s="1"/>
  <c r="C24" i="11"/>
  <c r="G20" i="11"/>
  <c r="D20" i="11"/>
  <c r="D15" i="11"/>
  <c r="AD23" i="11"/>
  <c r="G24" i="6"/>
  <c r="D24" i="6"/>
  <c r="C36" i="6"/>
  <c r="L19" i="11"/>
  <c r="P34" i="6"/>
  <c r="R28" i="6"/>
  <c r="J38" i="11"/>
  <c r="I10" i="6"/>
  <c r="R30" i="11"/>
  <c r="P32" i="11"/>
  <c r="D38" i="11"/>
  <c r="R15" i="11"/>
  <c r="M34" i="11"/>
  <c r="R46" i="11"/>
  <c r="D32" i="11"/>
  <c r="G32" i="11"/>
  <c r="D11" i="11"/>
  <c r="Z30" i="9"/>
  <c r="AC30" i="9"/>
  <c r="Q28" i="5"/>
  <c r="P34" i="5"/>
  <c r="R28" i="5"/>
  <c r="D31" i="11"/>
  <c r="I18" i="6"/>
  <c r="F17" i="11"/>
  <c r="R31" i="11"/>
  <c r="H36" i="10"/>
  <c r="J24" i="10"/>
  <c r="Q14" i="5"/>
  <c r="Q10" i="5"/>
  <c r="P24" i="5"/>
  <c r="Q42" i="5"/>
  <c r="Q11" i="5"/>
  <c r="Q16" i="5"/>
  <c r="Q15" i="5"/>
  <c r="Q20" i="5"/>
  <c r="Q46" i="5"/>
  <c r="Q17" i="5"/>
  <c r="R20" i="5"/>
  <c r="Q12" i="5"/>
  <c r="R38" i="11"/>
  <c r="AC15" i="11"/>
  <c r="AB18" i="11"/>
  <c r="R17" i="11"/>
  <c r="D10" i="11"/>
  <c r="X14" i="11"/>
  <c r="X15" i="11" s="1"/>
  <c r="J39" i="11"/>
  <c r="I17" i="6"/>
  <c r="D17" i="11"/>
  <c r="F27" i="11"/>
  <c r="N31" i="3"/>
  <c r="N46" i="3"/>
  <c r="N18" i="3"/>
  <c r="N26" i="3"/>
  <c r="N15" i="3"/>
  <c r="N12" i="3"/>
  <c r="M24" i="3"/>
  <c r="N17" i="3"/>
  <c r="N27" i="3"/>
  <c r="N30" i="3"/>
  <c r="N22" i="3"/>
  <c r="N14" i="3"/>
  <c r="R20" i="3"/>
  <c r="N38" i="3"/>
  <c r="O20" i="3"/>
  <c r="N32" i="3"/>
  <c r="N20" i="3"/>
  <c r="N39" i="3"/>
  <c r="N19" i="3"/>
  <c r="N16" i="3"/>
  <c r="N42" i="3"/>
  <c r="N28" i="3"/>
  <c r="N13" i="3"/>
  <c r="N10" i="3"/>
  <c r="N11" i="3"/>
  <c r="F39" i="11"/>
  <c r="J18" i="11"/>
  <c r="Q31" i="10"/>
  <c r="Q13" i="5"/>
  <c r="R32" i="5"/>
  <c r="Q32" i="5"/>
  <c r="J15" i="11"/>
  <c r="I15" i="11"/>
  <c r="AD15" i="11"/>
  <c r="Z18" i="11"/>
  <c r="I14" i="6"/>
  <c r="R18" i="11"/>
  <c r="J17" i="11"/>
  <c r="I17" i="11"/>
  <c r="E34" i="11"/>
  <c r="F34" i="11" s="1"/>
  <c r="F28" i="11"/>
  <c r="R22" i="11"/>
  <c r="M16" i="11"/>
  <c r="M20" i="6"/>
  <c r="D27" i="11"/>
  <c r="I12" i="6"/>
  <c r="D22" i="11"/>
  <c r="AB21" i="6"/>
  <c r="J32" i="5"/>
  <c r="I32" i="5"/>
  <c r="H34" i="5"/>
  <c r="Z30" i="10"/>
  <c r="I30" i="6"/>
  <c r="I15" i="6"/>
  <c r="R11" i="11"/>
  <c r="I27" i="6"/>
  <c r="R13" i="11"/>
  <c r="J14" i="11"/>
  <c r="I14" i="11"/>
  <c r="R42" i="11"/>
  <c r="I26" i="6"/>
  <c r="I13" i="6"/>
  <c r="F16" i="11"/>
  <c r="I42" i="6"/>
  <c r="I12" i="11"/>
  <c r="J12" i="11"/>
  <c r="D42" i="11"/>
  <c r="Q32" i="10"/>
  <c r="P34" i="10"/>
  <c r="R32" i="10"/>
  <c r="Q27" i="5"/>
  <c r="K28" i="10"/>
  <c r="O24" i="10"/>
  <c r="R41" i="9"/>
  <c r="N41" i="9"/>
  <c r="I33" i="6"/>
  <c r="J33" i="6"/>
  <c r="I46" i="6"/>
  <c r="X30" i="6"/>
  <c r="AH18" i="11"/>
  <c r="J27" i="11"/>
  <c r="I27" i="11"/>
  <c r="D28" i="11"/>
  <c r="C34" i="11"/>
  <c r="G28" i="11"/>
  <c r="AA15" i="11"/>
  <c r="AE9" i="11"/>
  <c r="M36" i="5"/>
  <c r="J26" i="11"/>
  <c r="I26" i="11"/>
  <c r="H28" i="11"/>
  <c r="J13" i="11"/>
  <c r="I13" i="11"/>
  <c r="P20" i="6"/>
  <c r="F22" i="11"/>
  <c r="J42" i="11"/>
  <c r="I42" i="11"/>
  <c r="I28" i="6"/>
  <c r="R24" i="10"/>
  <c r="Q24" i="10"/>
  <c r="Q39" i="5"/>
  <c r="C41" i="10"/>
  <c r="C45" i="10"/>
  <c r="G45" i="10" s="1"/>
  <c r="G36" i="10"/>
  <c r="E45" i="10"/>
  <c r="I45" i="10" s="1"/>
  <c r="I36" i="10"/>
  <c r="E41" i="10"/>
  <c r="K30" i="10"/>
  <c r="K30" i="11" s="1"/>
  <c r="O26" i="10"/>
  <c r="G41" i="8"/>
  <c r="C43" i="8"/>
  <c r="D41" i="8"/>
  <c r="L41" i="8"/>
  <c r="O41" i="8"/>
  <c r="K43" i="8"/>
  <c r="R41" i="8"/>
  <c r="N41" i="8"/>
  <c r="M43" i="8"/>
  <c r="M43" i="9" s="1"/>
  <c r="F41" i="8"/>
  <c r="E43" i="8"/>
  <c r="E43" i="9" s="1"/>
  <c r="J41" i="8"/>
  <c r="Y30" i="7"/>
  <c r="AA30" i="7" s="1"/>
  <c r="AB21" i="7"/>
  <c r="J36" i="7"/>
  <c r="I36" i="7"/>
  <c r="H41" i="7"/>
  <c r="R36" i="7"/>
  <c r="Q36" i="7"/>
  <c r="P41" i="7"/>
  <c r="R57" i="7"/>
  <c r="R60" i="7" s="1"/>
  <c r="N36" i="7"/>
  <c r="M41" i="7"/>
  <c r="E57" i="7"/>
  <c r="E60" i="7" s="1"/>
  <c r="E61" i="7" s="1"/>
  <c r="F36" i="7"/>
  <c r="E41" i="7"/>
  <c r="AA21" i="7"/>
  <c r="K41" i="7"/>
  <c r="N57" i="7"/>
  <c r="N60" i="7" s="1"/>
  <c r="O36" i="7"/>
  <c r="L36" i="7"/>
  <c r="AD30" i="7"/>
  <c r="C41" i="7"/>
  <c r="C57" i="7"/>
  <c r="C60" i="7" s="1"/>
  <c r="C61" i="7" s="1"/>
  <c r="G36" i="7"/>
  <c r="D36" i="7"/>
  <c r="T25" i="6"/>
  <c r="F36" i="6"/>
  <c r="E41" i="6"/>
  <c r="F45" i="5"/>
  <c r="E43" i="5"/>
  <c r="F43" i="5" s="1"/>
  <c r="F41" i="5"/>
  <c r="K41" i="5"/>
  <c r="O36" i="5"/>
  <c r="L36" i="5"/>
  <c r="C41" i="5"/>
  <c r="G36" i="5"/>
  <c r="D36" i="5"/>
  <c r="X30" i="4"/>
  <c r="Z30" i="6" s="1"/>
  <c r="AB30" i="6" s="1"/>
  <c r="AA21" i="4"/>
  <c r="M41" i="4"/>
  <c r="N36" i="4"/>
  <c r="J36" i="4"/>
  <c r="I36" i="4"/>
  <c r="H41" i="4"/>
  <c r="O36" i="4"/>
  <c r="L36" i="4"/>
  <c r="K41" i="4"/>
  <c r="E41" i="4"/>
  <c r="F36" i="4"/>
  <c r="Z21" i="4"/>
  <c r="AB30" i="4"/>
  <c r="AC30" i="4" s="1"/>
  <c r="AC21" i="4"/>
  <c r="G36" i="4"/>
  <c r="D36" i="4"/>
  <c r="C41" i="4"/>
  <c r="R36" i="4"/>
  <c r="Q36" i="4"/>
  <c r="P41" i="4"/>
  <c r="J36" i="3"/>
  <c r="I36" i="3"/>
  <c r="H41" i="3"/>
  <c r="K41" i="3"/>
  <c r="L36" i="3"/>
  <c r="F36" i="3"/>
  <c r="E41" i="3"/>
  <c r="G36" i="3"/>
  <c r="C41" i="3"/>
  <c r="D36" i="3"/>
  <c r="X30" i="3"/>
  <c r="Z30" i="3" s="1"/>
  <c r="AA21" i="3"/>
  <c r="Z21" i="3"/>
  <c r="Q36" i="3"/>
  <c r="P41" i="3"/>
  <c r="H45" i="6" l="1"/>
  <c r="P45" i="6"/>
  <c r="E45" i="6"/>
  <c r="K45" i="6"/>
  <c r="C45" i="6"/>
  <c r="N45" i="5"/>
  <c r="P24" i="11"/>
  <c r="Q20" i="11"/>
  <c r="Q14" i="11"/>
  <c r="Q12" i="11"/>
  <c r="Q27" i="11"/>
  <c r="Q26" i="11"/>
  <c r="Q31" i="11"/>
  <c r="Q38" i="11"/>
  <c r="Q22" i="11"/>
  <c r="Q19" i="11"/>
  <c r="Q42" i="11"/>
  <c r="Q11" i="11"/>
  <c r="Q10" i="11"/>
  <c r="Q30" i="11"/>
  <c r="Q46" i="11"/>
  <c r="Q17" i="11"/>
  <c r="Q13" i="11"/>
  <c r="Q39" i="11"/>
  <c r="Q15" i="11"/>
  <c r="Q18" i="11"/>
  <c r="AI23" i="11"/>
  <c r="AC24" i="11"/>
  <c r="J43" i="9"/>
  <c r="E64" i="7"/>
  <c r="F43" i="9"/>
  <c r="Q10" i="6"/>
  <c r="Q14" i="6"/>
  <c r="Q15" i="6"/>
  <c r="Q32" i="6"/>
  <c r="Q20" i="6"/>
  <c r="Q27" i="6"/>
  <c r="P24" i="6"/>
  <c r="Q17" i="6"/>
  <c r="Q26" i="6"/>
  <c r="Q12" i="6"/>
  <c r="R20" i="6"/>
  <c r="Q42" i="6"/>
  <c r="Q13" i="6"/>
  <c r="Q11" i="6"/>
  <c r="Q22" i="6"/>
  <c r="Q18" i="6"/>
  <c r="Q39" i="6"/>
  <c r="Q38" i="6"/>
  <c r="Q46" i="6"/>
  <c r="Q30" i="6"/>
  <c r="AE15" i="11"/>
  <c r="AA18" i="11"/>
  <c r="R34" i="10"/>
  <c r="Q34" i="10"/>
  <c r="Z30" i="4"/>
  <c r="O30" i="11"/>
  <c r="L30" i="11"/>
  <c r="K32" i="11"/>
  <c r="J28" i="11"/>
  <c r="I28" i="11"/>
  <c r="H34" i="11"/>
  <c r="AI18" i="11"/>
  <c r="AD18" i="11"/>
  <c r="Z23" i="11"/>
  <c r="I18" i="11"/>
  <c r="I38" i="11"/>
  <c r="AB30" i="3"/>
  <c r="AC30" i="3" s="1"/>
  <c r="AC21" i="3"/>
  <c r="F24" i="11"/>
  <c r="E36" i="11"/>
  <c r="Y30" i="6"/>
  <c r="AG18" i="11"/>
  <c r="X18" i="11"/>
  <c r="X23" i="11" s="1"/>
  <c r="AE23" i="11" s="1"/>
  <c r="AE21" i="6"/>
  <c r="AD30" i="6"/>
  <c r="R24" i="5"/>
  <c r="P36" i="5"/>
  <c r="Q24" i="5"/>
  <c r="K41" i="6"/>
  <c r="L36" i="6"/>
  <c r="N36" i="5"/>
  <c r="M41" i="5"/>
  <c r="K32" i="10"/>
  <c r="O28" i="10"/>
  <c r="Q34" i="6"/>
  <c r="R34" i="6"/>
  <c r="O28" i="11"/>
  <c r="L28" i="11"/>
  <c r="K34" i="11"/>
  <c r="I31" i="11"/>
  <c r="AH23" i="11"/>
  <c r="Y24" i="11"/>
  <c r="AC30" i="6"/>
  <c r="H36" i="5"/>
  <c r="J34" i="5"/>
  <c r="I34" i="5"/>
  <c r="N32" i="6"/>
  <c r="N14" i="6"/>
  <c r="N22" i="6"/>
  <c r="N18" i="6"/>
  <c r="N42" i="6"/>
  <c r="N38" i="6"/>
  <c r="N12" i="6"/>
  <c r="N15" i="6"/>
  <c r="N46" i="6"/>
  <c r="N27" i="6"/>
  <c r="N20" i="6"/>
  <c r="N11" i="6"/>
  <c r="M24" i="6"/>
  <c r="N26" i="6"/>
  <c r="N17" i="6"/>
  <c r="N10" i="6"/>
  <c r="N13" i="6"/>
  <c r="N28" i="6"/>
  <c r="N30" i="6"/>
  <c r="N33" i="6"/>
  <c r="N39" i="6"/>
  <c r="O20" i="6"/>
  <c r="N34" i="6"/>
  <c r="Q32" i="11"/>
  <c r="R32" i="11"/>
  <c r="Q28" i="6"/>
  <c r="Q33" i="6"/>
  <c r="H24" i="11"/>
  <c r="J20" i="11"/>
  <c r="I16" i="11"/>
  <c r="D24" i="11"/>
  <c r="G24" i="11"/>
  <c r="C36" i="11"/>
  <c r="I30" i="11"/>
  <c r="M20" i="11"/>
  <c r="R20" i="11" s="1"/>
  <c r="O24" i="3"/>
  <c r="R24" i="3"/>
  <c r="N24" i="3"/>
  <c r="M36" i="3"/>
  <c r="AB23" i="11"/>
  <c r="AC18" i="11"/>
  <c r="R34" i="5"/>
  <c r="Q34" i="5"/>
  <c r="G36" i="6"/>
  <c r="C41" i="6"/>
  <c r="D36" i="6"/>
  <c r="Q16" i="6"/>
  <c r="R28" i="11"/>
  <c r="Q28" i="11"/>
  <c r="P34" i="11"/>
  <c r="J32" i="11"/>
  <c r="I32" i="11"/>
  <c r="N16" i="6"/>
  <c r="J36" i="10"/>
  <c r="H41" i="10"/>
  <c r="H45" i="10"/>
  <c r="J45" i="10" s="1"/>
  <c r="Z24" i="11"/>
  <c r="R43" i="9"/>
  <c r="N43" i="9"/>
  <c r="P36" i="10"/>
  <c r="G34" i="11"/>
  <c r="D34" i="11"/>
  <c r="I39" i="11"/>
  <c r="R16" i="11"/>
  <c r="Q16" i="11"/>
  <c r="I46" i="11"/>
  <c r="J36" i="6"/>
  <c r="I36" i="6"/>
  <c r="H41" i="6"/>
  <c r="L24" i="11"/>
  <c r="K36" i="11"/>
  <c r="C43" i="10"/>
  <c r="G41" i="10"/>
  <c r="E43" i="10"/>
  <c r="I41" i="10"/>
  <c r="K34" i="10"/>
  <c r="O30" i="10"/>
  <c r="K45" i="8"/>
  <c r="O43" i="8"/>
  <c r="L43" i="8"/>
  <c r="F43" i="8"/>
  <c r="J43" i="8"/>
  <c r="G43" i="8"/>
  <c r="D43" i="8"/>
  <c r="R43" i="8"/>
  <c r="N43" i="8"/>
  <c r="F45" i="7"/>
  <c r="O45" i="7"/>
  <c r="L45" i="7"/>
  <c r="G45" i="7"/>
  <c r="D45" i="7"/>
  <c r="N45" i="7"/>
  <c r="J45" i="7"/>
  <c r="I45" i="7"/>
  <c r="R45" i="7"/>
  <c r="Q45" i="7"/>
  <c r="M43" i="7"/>
  <c r="N43" i="7" s="1"/>
  <c r="N41" i="7"/>
  <c r="H43" i="7"/>
  <c r="J41" i="7"/>
  <c r="I41" i="7"/>
  <c r="L41" i="7"/>
  <c r="K43" i="7"/>
  <c r="O41" i="7"/>
  <c r="D41" i="7"/>
  <c r="C43" i="7"/>
  <c r="G41" i="7"/>
  <c r="E43" i="7"/>
  <c r="F41" i="7"/>
  <c r="P43" i="7"/>
  <c r="R41" i="7"/>
  <c r="Q41" i="7"/>
  <c r="F41" i="6"/>
  <c r="E43" i="6"/>
  <c r="T28" i="6"/>
  <c r="G41" i="6"/>
  <c r="L45" i="5"/>
  <c r="O45" i="5"/>
  <c r="D45" i="5"/>
  <c r="G45" i="5"/>
  <c r="L41" i="5"/>
  <c r="K43" i="5"/>
  <c r="O41" i="5"/>
  <c r="D41" i="5"/>
  <c r="C43" i="5"/>
  <c r="G41" i="5"/>
  <c r="F45" i="4"/>
  <c r="G45" i="4"/>
  <c r="D45" i="4"/>
  <c r="N45" i="4"/>
  <c r="O45" i="4"/>
  <c r="L45" i="4"/>
  <c r="R45" i="4"/>
  <c r="Q45" i="4"/>
  <c r="J41" i="4"/>
  <c r="I41" i="4"/>
  <c r="H43" i="4"/>
  <c r="G41" i="4"/>
  <c r="D41" i="4"/>
  <c r="C43" i="4"/>
  <c r="F41" i="4"/>
  <c r="E43" i="4"/>
  <c r="F43" i="4" s="1"/>
  <c r="O41" i="4"/>
  <c r="L41" i="4"/>
  <c r="K43" i="4"/>
  <c r="R41" i="4"/>
  <c r="Q41" i="4"/>
  <c r="P43" i="4"/>
  <c r="N41" i="4"/>
  <c r="M43" i="4"/>
  <c r="N43" i="4" s="1"/>
  <c r="J45" i="3"/>
  <c r="I45" i="3"/>
  <c r="Q45" i="3"/>
  <c r="F45" i="3"/>
  <c r="L45" i="3"/>
  <c r="G45" i="3"/>
  <c r="D45" i="3"/>
  <c r="Q41" i="3"/>
  <c r="P43" i="3"/>
  <c r="J41" i="3"/>
  <c r="I41" i="3"/>
  <c r="H43" i="3"/>
  <c r="K43" i="3"/>
  <c r="L41" i="3"/>
  <c r="F41" i="3"/>
  <c r="E43" i="3"/>
  <c r="F43" i="3" s="1"/>
  <c r="G41" i="3"/>
  <c r="C43" i="3"/>
  <c r="D41" i="3"/>
  <c r="R45" i="5" l="1"/>
  <c r="Q45" i="5"/>
  <c r="M45" i="6"/>
  <c r="O45" i="6" s="1"/>
  <c r="N45" i="3"/>
  <c r="O45" i="3"/>
  <c r="R45" i="3"/>
  <c r="R36" i="10"/>
  <c r="P45" i="10"/>
  <c r="P41" i="10"/>
  <c r="Q36" i="10"/>
  <c r="N24" i="6"/>
  <c r="M36" i="6"/>
  <c r="O24" i="6"/>
  <c r="Q36" i="5"/>
  <c r="P41" i="5"/>
  <c r="R36" i="5"/>
  <c r="G43" i="10"/>
  <c r="C65" i="7"/>
  <c r="N15" i="11"/>
  <c r="M24" i="11"/>
  <c r="N20" i="11"/>
  <c r="N22" i="11"/>
  <c r="N42" i="11"/>
  <c r="N38" i="11"/>
  <c r="N14" i="11"/>
  <c r="N39" i="11"/>
  <c r="N18" i="11"/>
  <c r="N12" i="11"/>
  <c r="N17" i="11"/>
  <c r="N31" i="11"/>
  <c r="N13" i="11"/>
  <c r="N30" i="11"/>
  <c r="N11" i="11"/>
  <c r="N10" i="11"/>
  <c r="N27" i="11"/>
  <c r="N46" i="11"/>
  <c r="N26" i="11"/>
  <c r="N19" i="11"/>
  <c r="N28" i="11"/>
  <c r="O20" i="11"/>
  <c r="N32" i="11"/>
  <c r="H36" i="11"/>
  <c r="J24" i="11"/>
  <c r="I24" i="11"/>
  <c r="J34" i="11"/>
  <c r="I34" i="11"/>
  <c r="R24" i="6"/>
  <c r="Q24" i="6"/>
  <c r="P36" i="6"/>
  <c r="P36" i="11"/>
  <c r="R24" i="11"/>
  <c r="Q24" i="11"/>
  <c r="N16" i="11"/>
  <c r="K38" i="10"/>
  <c r="O32" i="10"/>
  <c r="R34" i="11"/>
  <c r="Q34" i="11"/>
  <c r="AE30" i="6"/>
  <c r="AA24" i="11"/>
  <c r="M43" i="5"/>
  <c r="N43" i="5" s="1"/>
  <c r="N41" i="5"/>
  <c r="T31" i="6"/>
  <c r="C45" i="11"/>
  <c r="D45" i="6"/>
  <c r="G45" i="6"/>
  <c r="AA23" i="11"/>
  <c r="AE18" i="11"/>
  <c r="L36" i="11"/>
  <c r="G36" i="11"/>
  <c r="D36" i="11"/>
  <c r="C41" i="11"/>
  <c r="L34" i="11"/>
  <c r="O34" i="11"/>
  <c r="N34" i="11"/>
  <c r="O32" i="11"/>
  <c r="L32" i="11"/>
  <c r="K45" i="11"/>
  <c r="L45" i="6"/>
  <c r="I43" i="10"/>
  <c r="E65" i="7"/>
  <c r="H43" i="10"/>
  <c r="J43" i="10" s="1"/>
  <c r="J41" i="10"/>
  <c r="N36" i="3"/>
  <c r="M41" i="3"/>
  <c r="R36" i="3"/>
  <c r="O36" i="3"/>
  <c r="E45" i="11"/>
  <c r="F45" i="11" s="1"/>
  <c r="F45" i="6"/>
  <c r="K43" i="6"/>
  <c r="L43" i="6" s="1"/>
  <c r="L41" i="6"/>
  <c r="AG23" i="11"/>
  <c r="X24" i="11"/>
  <c r="R45" i="6"/>
  <c r="P45" i="11"/>
  <c r="Q45" i="6"/>
  <c r="J41" i="6"/>
  <c r="H43" i="6"/>
  <c r="I43" i="6" s="1"/>
  <c r="I41" i="6"/>
  <c r="C43" i="6"/>
  <c r="D43" i="6" s="1"/>
  <c r="D41" i="6"/>
  <c r="J36" i="5"/>
  <c r="I36" i="5"/>
  <c r="H41" i="5"/>
  <c r="F36" i="11"/>
  <c r="E41" i="11"/>
  <c r="J45" i="6"/>
  <c r="H45" i="11"/>
  <c r="I45" i="6"/>
  <c r="O34" i="10"/>
  <c r="K39" i="10"/>
  <c r="K39" i="11" s="1"/>
  <c r="O45" i="8"/>
  <c r="L45" i="8"/>
  <c r="E63" i="7"/>
  <c r="F43" i="7"/>
  <c r="G43" i="7"/>
  <c r="C63" i="7"/>
  <c r="D43" i="7"/>
  <c r="R43" i="7"/>
  <c r="Q43" i="7"/>
  <c r="J43" i="7"/>
  <c r="I43" i="7"/>
  <c r="O43" i="7"/>
  <c r="L43" i="7"/>
  <c r="T30" i="6"/>
  <c r="F43" i="6"/>
  <c r="G43" i="6"/>
  <c r="O43" i="5"/>
  <c r="L43" i="5"/>
  <c r="G43" i="5"/>
  <c r="D43" i="5"/>
  <c r="R43" i="4"/>
  <c r="Q43" i="4"/>
  <c r="G43" i="4"/>
  <c r="D43" i="4"/>
  <c r="O43" i="4"/>
  <c r="L43" i="4"/>
  <c r="J43" i="4"/>
  <c r="I43" i="4"/>
  <c r="Q43" i="3"/>
  <c r="L43" i="3"/>
  <c r="J43" i="3"/>
  <c r="I43" i="3"/>
  <c r="G43" i="3"/>
  <c r="D43" i="3"/>
  <c r="Q45" i="11" l="1"/>
  <c r="J45" i="11"/>
  <c r="I45" i="11"/>
  <c r="M43" i="3"/>
  <c r="R41" i="3"/>
  <c r="N41" i="3"/>
  <c r="O41" i="3"/>
  <c r="G45" i="11"/>
  <c r="D45" i="11"/>
  <c r="R45" i="10"/>
  <c r="Q45" i="10"/>
  <c r="E43" i="11"/>
  <c r="F43" i="11" s="1"/>
  <c r="F41" i="11"/>
  <c r="K38" i="11"/>
  <c r="O38" i="10"/>
  <c r="K42" i="10"/>
  <c r="Q41" i="5"/>
  <c r="P43" i="5"/>
  <c r="R41" i="5"/>
  <c r="J41" i="5"/>
  <c r="H43" i="5"/>
  <c r="I41" i="5"/>
  <c r="I42" i="5" s="1"/>
  <c r="J43" i="6"/>
  <c r="M36" i="11"/>
  <c r="N24" i="11"/>
  <c r="O24" i="11"/>
  <c r="N36" i="6"/>
  <c r="O36" i="6"/>
  <c r="M41" i="6"/>
  <c r="M45" i="11"/>
  <c r="N45" i="11" s="1"/>
  <c r="N45" i="6"/>
  <c r="D41" i="11"/>
  <c r="G41" i="11"/>
  <c r="C43" i="11"/>
  <c r="R36" i="11"/>
  <c r="Q36" i="11"/>
  <c r="J36" i="11"/>
  <c r="I36" i="11"/>
  <c r="H41" i="11"/>
  <c r="O39" i="11"/>
  <c r="L39" i="11"/>
  <c r="L45" i="11"/>
  <c r="R36" i="6"/>
  <c r="Q36" i="6"/>
  <c r="P41" i="6"/>
  <c r="R41" i="10"/>
  <c r="P43" i="10"/>
  <c r="Q41" i="10"/>
  <c r="O39" i="10"/>
  <c r="K43" i="10"/>
  <c r="O43" i="10" s="1"/>
  <c r="C68" i="7"/>
  <c r="C66" i="7"/>
  <c r="E68" i="7"/>
  <c r="K63" i="7"/>
  <c r="E66" i="7"/>
  <c r="J45" i="4"/>
  <c r="I45" i="4"/>
  <c r="J45" i="5" l="1"/>
  <c r="I45" i="5"/>
  <c r="P41" i="11"/>
  <c r="Q41" i="6"/>
  <c r="P43" i="6"/>
  <c r="R41" i="6"/>
  <c r="O38" i="11"/>
  <c r="L38" i="11"/>
  <c r="K41" i="11"/>
  <c r="F68" i="7"/>
  <c r="M41" i="11"/>
  <c r="N41" i="6"/>
  <c r="M43" i="6"/>
  <c r="O41" i="6"/>
  <c r="J43" i="5"/>
  <c r="I43" i="5"/>
  <c r="O45" i="11"/>
  <c r="D43" i="11"/>
  <c r="G43" i="11"/>
  <c r="R43" i="5"/>
  <c r="Q43" i="5"/>
  <c r="H43" i="11"/>
  <c r="J41" i="11"/>
  <c r="I41" i="11"/>
  <c r="N43" i="3"/>
  <c r="O43" i="3"/>
  <c r="R43" i="3"/>
  <c r="R43" i="10"/>
  <c r="Q43" i="10"/>
  <c r="N36" i="11"/>
  <c r="O36" i="11"/>
  <c r="K42" i="11"/>
  <c r="O42" i="10"/>
  <c r="K46" i="10"/>
  <c r="R45" i="11"/>
  <c r="N43" i="6" l="1"/>
  <c r="O43" i="6"/>
  <c r="M43" i="11"/>
  <c r="N43" i="11" s="1"/>
  <c r="N41" i="11"/>
  <c r="O42" i="11"/>
  <c r="L42" i="11"/>
  <c r="J43" i="11"/>
  <c r="I43" i="11"/>
  <c r="R43" i="6"/>
  <c r="Q43" i="6"/>
  <c r="R41" i="11"/>
  <c r="P43" i="11"/>
  <c r="Q41" i="11"/>
  <c r="O46" i="10"/>
  <c r="K46" i="11"/>
  <c r="L41" i="11"/>
  <c r="O41" i="11"/>
  <c r="K43" i="11"/>
  <c r="O46" i="11" l="1"/>
  <c r="L46" i="11"/>
  <c r="R43" i="11"/>
  <c r="Q43" i="11"/>
  <c r="O43" i="11"/>
  <c r="L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DDBD6DA4-D3DE-442E-8380-55BEF86274E8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<sst xmlns="http://schemas.openxmlformats.org/spreadsheetml/2006/main" count="1454" uniqueCount="589">
  <si>
    <t>Periodo ant</t>
  </si>
  <si>
    <t>Periodo Actual</t>
  </si>
  <si>
    <t>MES INIC</t>
  </si>
  <si>
    <t>MES FIN</t>
  </si>
  <si>
    <t>AÑO</t>
  </si>
  <si>
    <t>TRM</t>
  </si>
  <si>
    <t>ENERO</t>
  </si>
  <si>
    <t>SEPTIEMBRE</t>
  </si>
  <si>
    <t>PPTO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</si>
  <si>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</si>
  <si>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</si>
  <si>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</si>
  <si>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</si>
  <si>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</si>
  <si>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</si>
  <si>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</si>
  <si>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</si>
  <si>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</si>
  <si>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</si>
  <si>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</si>
  <si>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</si>
  <si>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</si>
  <si>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</si>
  <si>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</si>
  <si>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</si>
  <si>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</si>
  <si>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</si>
  <si>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</si>
  <si>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</si>
  <si>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</si>
  <si>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</si>
  <si>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</si>
  <si>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</si>
  <si>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</si>
  <si>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</si>
  <si>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</si>
  <si>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</si>
  <si>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</si>
  <si>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</si>
  <si>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</si>
  <si>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</si>
  <si>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</si>
  <si>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</si>
  <si>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</si>
  <si>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</si>
  <si>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</si>
  <si>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</si>
  <si>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</si>
  <si>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</si>
  <si>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</si>
  <si>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</si>
  <si>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</si>
  <si>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</si>
  <si>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</si>
  <si>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</si>
  <si>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</si>
  <si>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</si>
  <si>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</si>
  <si>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</si>
  <si>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</si>
  <si>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</si>
  <si>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</si>
  <si>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</si>
  <si>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</si>
  <si>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</si>
  <si>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</si>
  <si>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</si>
  <si>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</si>
  <si>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</si>
  <si>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</si>
  <si>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</si>
  <si>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</si>
  <si>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</si>
  <si>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</si>
  <si>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</si>
  <si>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</si>
  <si>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</si>
  <si>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</si>
  <si>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</si>
  <si>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</si>
  <si>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</si>
  <si>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>OK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</si>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</sst>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166" fontId="2" fillId="0" borderId="0" xfId="4" applyNumberFormat="1" applyFont="1" applyFill="1" applyBorder="1" applyAlignment="1">
      <alignment horizontal="left" vertical="center" wrapText="1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7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7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7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7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5" applyFont="1" applyFill="1" applyBorder="1" applyAlignment="1">
      <alignment horizontal="right"/>
    </xf>
    <xf numFmtId="9" fontId="3" fillId="0" borderId="0" xfId="5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9" fontId="6" fillId="0" borderId="0" xfId="5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8" fontId="3" fillId="0" borderId="0" xfId="5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5" applyFont="1" applyFill="1" applyBorder="1" applyAlignment="1">
      <alignment horizontal="right"/>
    </xf>
    <xf numFmtId="9" fontId="9" fillId="0" borderId="0" xfId="5" applyFont="1" applyFill="1" applyBorder="1" applyAlignment="1">
      <alignment horizontal="right"/>
    </xf>
    <xf numFmtId="168" fontId="6" fillId="0" borderId="0" xfId="1" applyNumberFormat="1" applyFont="1" applyAlignment="1">
      <alignment horizontal="left"/>
    </xf>
    <xf numFmtId="167" fontId="13" fillId="0" borderId="0" xfId="3" applyNumberFormat="1" applyFont="1" applyFill="1" applyBorder="1" applyAlignment="1">
      <alignment horizontal="right"/>
    </xf>
    <xf numFmtId="9" fontId="13" fillId="0" borderId="0" xfId="5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7" fontId="3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9" fontId="3" fillId="0" borderId="0" xfId="1" applyNumberFormat="1" applyFont="1" applyAlignment="1">
      <alignment horizontal="centerContinuous"/>
    </xf>
    <xf numFmtId="169" fontId="3" fillId="0" borderId="0" xfId="1" applyNumberFormat="1" applyFont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0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7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7" fontId="3" fillId="0" borderId="0" xfId="3" applyNumberFormat="1" applyFont="1" applyFill="1" applyBorder="1" applyAlignment="1"/>
    <xf numFmtId="9" fontId="3" fillId="0" borderId="0" xfId="5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6" applyNumberFormat="1" applyFont="1"/>
    <xf numFmtId="167" fontId="9" fillId="0" borderId="0" xfId="3" applyNumberFormat="1" applyFont="1" applyFill="1" applyBorder="1" applyAlignment="1">
      <alignment horizontal="right"/>
    </xf>
    <xf numFmtId="9" fontId="9" fillId="0" borderId="0" xfId="5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7" fontId="9" fillId="0" borderId="0" xfId="1" applyNumberFormat="1" applyFont="1"/>
    <xf numFmtId="3" fontId="11" fillId="0" borderId="0" xfId="1" applyNumberFormat="1" applyFont="1"/>
    <xf numFmtId="167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7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1" fontId="6" fillId="0" borderId="0" xfId="5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2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7" fontId="3" fillId="0" borderId="0" xfId="1" applyNumberFormat="1" applyFont="1" applyAlignment="1">
      <alignment horizontal="right"/>
    </xf>
    <xf numFmtId="9" fontId="3" fillId="0" borderId="0" xfId="5" applyFont="1" applyFill="1" applyBorder="1" applyAlignment="1"/>
    <xf numFmtId="171" fontId="3" fillId="0" borderId="0" xfId="5" applyNumberFormat="1" applyFont="1" applyFill="1" applyBorder="1" applyAlignment="1"/>
    <xf numFmtId="3" fontId="9" fillId="0" borderId="0" xfId="1" applyNumberFormat="1" applyFont="1"/>
    <xf numFmtId="167" fontId="3" fillId="0" borderId="0" xfId="3" applyNumberFormat="1" applyFont="1" applyFill="1" applyBorder="1" applyAlignment="1">
      <alignment horizontal="left"/>
    </xf>
    <xf numFmtId="168" fontId="3" fillId="0" borderId="0" xfId="1" applyNumberFormat="1" applyFont="1"/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3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4" fontId="19" fillId="0" borderId="0" xfId="3" applyNumberFormat="1" applyFont="1"/>
    <xf numFmtId="175" fontId="1" fillId="0" borderId="0" xfId="1" applyNumberFormat="1"/>
    <xf numFmtId="167" fontId="0" fillId="0" borderId="0" xfId="3" applyNumberFormat="1" applyFont="1"/>
    <xf numFmtId="43" fontId="19" fillId="0" borderId="0" xfId="3" applyFont="1"/>
    <xf numFmtId="167" fontId="18" fillId="0" borderId="0" xfId="3" applyNumberFormat="1" applyFont="1"/>
    <xf numFmtId="176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6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7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3" applyNumberFormat="1" applyFont="1"/>
    <xf numFmtId="167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6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8">
    <cellStyle name="Millares [0] 2" xfId="7" xr:uid="{FA99B62F-800D-467D-8596-07380B7DCB57}"/>
    <cellStyle name="Millares 2" xfId="3" xr:uid="{A600794E-3735-4E2C-BA36-163B0ED400B1}"/>
    <cellStyle name="Moneda [0] 2" xfId="4" xr:uid="{40A191F7-8DD2-4DD4-85CE-A39DA93C3CE4}"/>
    <cellStyle name="Normal" xfId="0" builtinId="0"/>
    <cellStyle name="Normal 2" xfId="1" xr:uid="{2011E69E-54A5-4297-8702-7FFF074FA819}"/>
    <cellStyle name="Normal 2 2" xfId="6" xr:uid="{408A792D-6A58-4429-BBE9-4239B06AF81F}"/>
    <cellStyle name="Normal 3" xfId="2" xr:uid="{AE97D73B-7FD8-4F63-8883-2D3C2166C0B8}"/>
    <cellStyle name="Porcentaje 2" xfId="5" xr:uid="{C73E03DB-66ED-4598-967D-B909D5C0CC63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4601E5-285C-4031-9E1D-CADB4070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7957A8-4DC9-426F-B678-A68AD66E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FBA372-C3A0-45C0-AEE6-E73079024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EBB4C8-569D-402D-BE2A-2A84A243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B498F59-2551-40C0-96E5-2E10F232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98BDFF8-6EDB-4A39-94C9-9D85C593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589B829-AF17-40A0-94E2-3F700073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CF128DC-3632-405A-9F0C-7C143F76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9C85FFD-3500-4A2B-BFCA-8B097D60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BB1A531-BB62-4ABB-B861-11D2D1CCB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21665E0-3B33-4D88-9294-2F6A7139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4831DEF-6C77-4BF6-8D16-03F53BB98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6855AA0-462E-4136-B771-1C2D7457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C40B19-10C6-45CC-83A3-7B6A387D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6A8BA34-002D-402F-A8A4-C315E791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257969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62DAFBD-15D3-45E9-AEFC-FDD36CFD3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29575" y="13087963"/>
          <a:ext cx="2876494" cy="1791800"/>
        </a:xfrm>
        <a:prstGeom prst="rect">
          <a:avLst/>
        </a:prstGeom>
      </xdr:spPr>
    </xdr:pic>
    <xdr:clientData/>
  </xdr:twoCellAnchor>
  <xdr:twoCellAnchor editAs="oneCell">
    <xdr:from>
      <xdr:col>55</xdr:col>
      <xdr:colOff>714376</xdr:colOff>
      <xdr:row>74</xdr:row>
      <xdr:rowOff>61987</xdr:rowOff>
    </xdr:from>
    <xdr:to>
      <xdr:col>60</xdr:col>
      <xdr:colOff>118628</xdr:colOff>
      <xdr:row>82</xdr:row>
      <xdr:rowOff>59114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30AF62C-2E81-42F7-A18D-F417261C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86476" y="13406512"/>
          <a:ext cx="3214252" cy="1625902"/>
        </a:xfrm>
        <a:prstGeom prst="rect">
          <a:avLst/>
        </a:prstGeom>
      </xdr:spPr>
    </xdr:pic>
    <xdr:clientData/>
  </xdr:twoCellAnchor>
  <xdr:twoCellAnchor editAs="oneCell">
    <xdr:from>
      <xdr:col>45</xdr:col>
      <xdr:colOff>128986</xdr:colOff>
      <xdr:row>84</xdr:row>
      <xdr:rowOff>49609</xdr:rowOff>
    </xdr:from>
    <xdr:to>
      <xdr:col>49</xdr:col>
      <xdr:colOff>119391</xdr:colOff>
      <xdr:row>95</xdr:row>
      <xdr:rowOff>64996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A495705-0F57-45CE-B48B-4E7C1DEBF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981086" y="15346759"/>
          <a:ext cx="3038405" cy="1796562"/>
        </a:xfrm>
        <a:prstGeom prst="rect">
          <a:avLst/>
        </a:prstGeom>
      </xdr:spPr>
    </xdr:pic>
    <xdr:clientData/>
  </xdr:twoCellAnchor>
  <xdr:twoCellAnchor editAs="oneCell">
    <xdr:from>
      <xdr:col>49</xdr:col>
      <xdr:colOff>549187</xdr:colOff>
      <xdr:row>85</xdr:row>
      <xdr:rowOff>39687</xdr:rowOff>
    </xdr:from>
    <xdr:to>
      <xdr:col>53</xdr:col>
      <xdr:colOff>292583</xdr:colOff>
      <xdr:row>95</xdr:row>
      <xdr:rowOff>39688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D855B45-0A8D-4FBA-8F25-17307CF86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49287" y="15498762"/>
          <a:ext cx="2791396" cy="1619251"/>
        </a:xfrm>
        <a:prstGeom prst="rect">
          <a:avLst/>
        </a:prstGeom>
      </xdr:spPr>
    </xdr:pic>
    <xdr:clientData/>
  </xdr:twoCellAnchor>
  <xdr:twoCellAnchor editAs="oneCell">
    <xdr:from>
      <xdr:col>55</xdr:col>
      <xdr:colOff>148828</xdr:colOff>
      <xdr:row>85</xdr:row>
      <xdr:rowOff>125782</xdr:rowOff>
    </xdr:from>
    <xdr:to>
      <xdr:col>59</xdr:col>
      <xdr:colOff>9921</xdr:colOff>
      <xdr:row>96</xdr:row>
      <xdr:rowOff>64190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AC6954-1FD9-4914-9FD4-350A9FC3D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620928" y="15584857"/>
          <a:ext cx="2909093" cy="171958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6D1E0E87-F22F-4CB6-A0F8-337C38C29416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0ED99D23-A5BB-4739-9005-9543897BB1A7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1D70C3B0-FBA3-445F-9A92-49491D831360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9CB936-3A12-485B-A5D8-E3AAE9BD2378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CF44DC-4BD5-427D-AF3C-1F5C2BD7ED99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8ED53B-6BCF-4394-9261-7A045AA22F83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A6DA-B908-4AAA-800D-97F1C53E7D1E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4164.21</v>
      </c>
    </row>
    <row r="4" spans="1:7" x14ac:dyDescent="0.2">
      <c r="A4" s="2" t="str">
        <f>VLOOKUP(E4,B22:E33,4,0)</f>
        <v>202309</v>
      </c>
      <c r="B4" s="3" t="str">
        <f>VLOOKUP(E3,B22:D33,3,0)</f>
        <v>202409</v>
      </c>
      <c r="C4" s="3"/>
      <c r="D4" s="7" t="str">
        <f>+D3</f>
        <v>ENERO</v>
      </c>
      <c r="E4" s="7" t="str">
        <f>+E3</f>
        <v>SEPTIEMBRE</v>
      </c>
      <c r="F4" s="5">
        <v>2023</v>
      </c>
      <c r="G4" s="8">
        <v>4053.76</v>
      </c>
    </row>
    <row r="5" spans="1:7" x14ac:dyDescent="0.2">
      <c r="A5" s="2"/>
      <c r="B5" s="3">
        <f>+B4-1</f>
        <v>202408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12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13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14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15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7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57F109EC-8551-48C3-991B-11E51657AEE6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4547C-A94D-483E-9F04-7E1A0371D1F0}">
  <dimension ref="A1:AK46"/>
  <sheetViews>
    <sheetView showGridLines="0" topLeftCell="S1" workbookViewId="0">
      <selection activeCell="AM34" sqref="AM34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150</v>
      </c>
      <c r="T3" s="118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SEPTIEMBRE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151</v>
      </c>
      <c r="E7" s="61"/>
      <c r="F7" s="61" t="s">
        <v>152</v>
      </c>
      <c r="G7" s="62" t="s">
        <v>24</v>
      </c>
      <c r="H7" s="61"/>
      <c r="I7" s="61" t="s">
        <v>153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154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13702.414775498168</v>
      </c>
      <c r="X8" s="32">
        <f>'COLOMBIA USD'!Y10+'EL SALVADOR USD'!X10+'VENEZUELA USD'!X9+'PANAMA USD'!W10</f>
        <v>55438.441089359017</v>
      </c>
      <c r="Y8" s="32">
        <f>'COLOMBIA USD'!X10+'EL SALVADOR USD'!W10+'VENEZUELA USD'!Y9+'PANAMA USD'!V10</f>
        <v>33293.224814814814</v>
      </c>
      <c r="Z8" s="32">
        <f>'COLOMBIA USD'!Z10+'EL SALVADOR USD'!Y10+'VENEZUELA USD'!Z9+'PANAMA USD'!X10</f>
        <v>32668.653219239452</v>
      </c>
      <c r="AA8" s="32">
        <f>'COLOMBIA USD'!AD10+'EL SALVADOR USD'!AC10+'VENEZUELA USD'!AA9+'PANAMA USD'!AB10</f>
        <v>29054.337837069783</v>
      </c>
      <c r="AB8" s="32">
        <f>'COLOMBIA USD'!AA10+'EL SALVADOR USD'!Z10+'VENEZUELA USD'!AB9+'PANAMA USD'!Y10</f>
        <v>33277.817768796485</v>
      </c>
      <c r="AC8" s="63">
        <f>+AB8-Z8</f>
        <v>609.16454955703375</v>
      </c>
      <c r="AD8" s="68">
        <f>IF(Z8=0,"",(AB8-Z8)/ABS(Z8)+1)</f>
        <v>1.0186467604118519</v>
      </c>
      <c r="AE8" s="68">
        <f>IF(X8=0,"",(AB8-AA8)/ABS(AA8))</f>
        <v>0.14536486618318517</v>
      </c>
      <c r="AF8" s="55"/>
      <c r="AG8" s="55">
        <f>+'COLOMBIA USD'!Y10+'EL SALVADOR USD'!X10+'VENEZUELA USD'!X9+'PANAMA USD'!W10</f>
        <v>55438.441089359017</v>
      </c>
      <c r="AH8" s="55">
        <f>+'COLOMBIA USD'!X10+'EL SALVADOR USD'!W10+'VENEZUELA USD'!Y9+'PANAMA USD'!V10</f>
        <v>33293.224814814814</v>
      </c>
      <c r="AI8" s="55">
        <f>+'COLOMBIA USD'!Z10+'EL SALVADOR USD'!Y10+'VENEZUELA USD'!Z9+'PANAMA USD'!X10</f>
        <v>32668.653219239452</v>
      </c>
      <c r="AJ8" s="55">
        <f>+'COLOMBIA USD'!AD10+'EL SALVADOR USD'!AC10+'VENEZUELA USD'!AA9+'PANAMA USD'!AB10</f>
        <v>29054.337837069783</v>
      </c>
      <c r="AK8" s="55">
        <f>+'COLOMBIA USD'!AA10+'EL SALVADOR USD'!Z10+'VENEZUELA USD'!AB9+'PANAMA USD'!Y10</f>
        <v>33277.817768796485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299172.08630853036</v>
      </c>
      <c r="X9" s="32">
        <f>'COLOMBIA USD'!Y11+'EL SALVADOR USD'!X11+'VENEZUELA USD'!X10+'PANAMA USD'!W11</f>
        <v>298230.39284737146</v>
      </c>
      <c r="Y9" s="32">
        <f>'COLOMBIA USD'!X11+'EL SALVADOR USD'!W11+'VENEZUELA USD'!Y10+'PANAMA USD'!V11</f>
        <v>282805.91695331573</v>
      </c>
      <c r="Z9" s="32">
        <f>'COLOMBIA USD'!Z11+'EL SALVADOR USD'!Y11+'VENEZUELA USD'!Z10+'PANAMA USD'!X11</f>
        <v>2527890.5453326334</v>
      </c>
      <c r="AA9" s="32">
        <f>'COLOMBIA USD'!AD11+'EL SALVADOR USD'!AC11+'VENEZUELA USD'!AA10+'PANAMA USD'!AB11</f>
        <v>2623159.9823366492</v>
      </c>
      <c r="AB9" s="32">
        <f>'COLOMBIA USD'!AA11+'EL SALVADOR USD'!Z11+'VENEZUELA USD'!AB10+'PANAMA USD'!Y11</f>
        <v>2497715.6123495079</v>
      </c>
      <c r="AC9" s="63">
        <f>+AB9-Z9</f>
        <v>-30174.93298312556</v>
      </c>
      <c r="AD9" s="68">
        <f>IF(Z9=0,"",(AB9-Z9)/ABS(Z9)+1)</f>
        <v>0.98806319639161633</v>
      </c>
      <c r="AE9" s="68">
        <f>IF(AA9=0,"",(AB9-AA9)/ABS(AA9))</f>
        <v>-4.7821852586893476E-2</v>
      </c>
      <c r="AF9" s="55"/>
      <c r="AG9" s="55">
        <f>+'COLOMBIA USD'!Y11+'EL SALVADOR USD'!X11+'VENEZUELA USD'!X10+'PANAMA USD'!W11</f>
        <v>298230.39284737146</v>
      </c>
      <c r="AH9" s="55">
        <f>+'COLOMBIA USD'!X11+'EL SALVADOR USD'!W11+'VENEZUELA USD'!Y10+'PANAMA USD'!V11</f>
        <v>282805.91695331573</v>
      </c>
      <c r="AI9" s="55">
        <f>+'COLOMBIA USD'!AB11+'EL SALVADOR USD'!AA11+'VENEZUELA USD'!AC10+'PANAMA USD'!Z11</f>
        <v>-30626.126870270797</v>
      </c>
      <c r="AK9" s="55">
        <f>+'COLOMBIA USD'!AA11+'EL SALVADOR USD'!Z11+'VENEZUELA USD'!AB10+'PANAMA USD'!Y11</f>
        <v>2497715.6123495079</v>
      </c>
    </row>
    <row r="10" spans="1:37" x14ac:dyDescent="0.2">
      <c r="B10" s="3" t="s">
        <v>65</v>
      </c>
      <c r="C10" s="32">
        <f>+'COLOMBIA USD'!C10+'EL SALVADOR USD'!C10+'VENEZUELA USD'!C10+'PANAMA USD'!C10</f>
        <v>108792.09584977204</v>
      </c>
      <c r="D10" s="34">
        <f t="shared" ref="D10:D15" si="0">+C10/$C$20</f>
        <v>0.45193246801922099</v>
      </c>
      <c r="E10" s="32">
        <f>+'COLOMBIA USD'!E10+'EL SALVADOR USD'!E10+'VENEZUELA USD'!E10+'PANAMA USD'!E10</f>
        <v>96055.797080777527</v>
      </c>
      <c r="F10" s="34">
        <f t="shared" ref="F10:F20" si="1">+E10/$E$20</f>
        <v>0.43560670857545364</v>
      </c>
      <c r="G10" s="34">
        <f t="shared" ref="G10:G20" si="2">IF(C10=0,"",(E10-C10)/ABS(C10)+1)</f>
        <v>0.88292992547379812</v>
      </c>
      <c r="H10" s="32">
        <f>+'COLOMBIA USD'!H10+'EL SALVADOR USD'!H10+'VENEZUELA USD'!H10+'PANAMA USD'!H10</f>
        <v>105343.23084387039</v>
      </c>
      <c r="I10" s="34">
        <f t="shared" ref="I10:I18" si="3">+H10/$H$20</f>
        <v>0.45825255653406499</v>
      </c>
      <c r="J10" s="34">
        <f t="shared" ref="J10:J20" si="4">IF(H10=0,"",(E10-H10)/ABS(H10))</f>
        <v>-8.8163555348495098E-2</v>
      </c>
      <c r="K10" s="32">
        <f>+'COLOMBIA USD'!K10+'EL SALVADOR USD'!K10+'VENEZUELA USD'!K10+'PANAMA USD'!K10</f>
        <v>961174.07882910431</v>
      </c>
      <c r="L10" s="34">
        <f t="shared" ref="L10:L46" si="5">+K10/$K$20</f>
        <v>0.44775348726386272</v>
      </c>
      <c r="M10" s="32">
        <f>+'COLOMBIA USD'!M10+'EL SALVADOR USD'!M10+'VENEZUELA USD'!M10+'PANAMA USD'!M10</f>
        <v>912680.67199086701</v>
      </c>
      <c r="N10" s="34">
        <f t="shared" ref="N10:N20" si="6">+M10/$M$20</f>
        <v>0.42746599371097427</v>
      </c>
      <c r="O10" s="34">
        <f t="shared" ref="O10:O18" si="7">IF(K10=0,"",(M10-K10)/ABS(K10)+1)</f>
        <v>0.94954773759888356</v>
      </c>
      <c r="P10" s="32">
        <f>+'COLOMBIA USD'!P10+'EL SALVADOR USD'!P10+'VENEZUELA USD'!P10+'PANAMA USD'!P10</f>
        <v>968638.90890387644</v>
      </c>
      <c r="Q10" s="34">
        <f t="shared" ref="Q10:Q46" si="8">+P10/$P$20</f>
        <v>0.46121368830265713</v>
      </c>
      <c r="R10" s="34">
        <f t="shared" ref="R10:R18" si="9">IF(P10=0,"",(M10-P10)/ABS(P10))</f>
        <v>-5.776996608192464E-2</v>
      </c>
      <c r="V10" s="3" t="s">
        <v>33</v>
      </c>
      <c r="W10" s="32">
        <f>'COLOMBIA USD'!W13+'EL SALVADOR USD'!V13+'VENEZUELA USD'!W11+'PANAMA USD'!U13</f>
        <v>32391.880623062185</v>
      </c>
      <c r="X10" s="32">
        <f>'COLOMBIA USD'!Y13+'EL SALVADOR USD'!X13+'VENEZUELA USD'!X11+'PANAMA USD'!W13</f>
        <v>24939.01587661825</v>
      </c>
      <c r="Y10" s="32">
        <f>'COLOMBIA USD'!X13+'EL SALVADOR USD'!W13+'VENEZUELA USD'!Y11+'PANAMA USD'!V13</f>
        <v>84714.527660079155</v>
      </c>
      <c r="Z10" s="32">
        <f>'COLOMBIA USD'!Z13+'EL SALVADOR USD'!Y13+'VENEZUELA USD'!Z11+'PANAMA USD'!X13</f>
        <v>381751.07183026057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423672.23057448032</v>
      </c>
      <c r="AC10" s="63">
        <f>+Z10-AB10</f>
        <v>-41921.158744219749</v>
      </c>
      <c r="AD10" s="68">
        <f>IF(Z10=0,"",(AB10-Z10)/ABS(Z10)+1)</f>
        <v>1.1098128121637842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24939.01587661825</v>
      </c>
      <c r="AH10" s="55">
        <f>+'COLOMBIA USD'!X13+'EL SALVADOR USD'!W13+'VENEZUELA USD'!Y11+'PANAMA USD'!V13</f>
        <v>84714.527660079155</v>
      </c>
      <c r="AI10" s="55">
        <f>+'COLOMBIA USD'!AB13+'EL SALVADOR USD'!AA13+'VENEZUELA USD'!AC11+'PANAMA USD'!Z13</f>
        <v>-55004.450633069639</v>
      </c>
      <c r="AK10" s="55">
        <f>+'COLOMBIA USD'!AA13+'EL SALVADOR USD'!Z13+'VENEZUELA USD'!AB11+'PANAMA USD'!Y13</f>
        <v>423672.23057448032</v>
      </c>
    </row>
    <row r="11" spans="1:37" x14ac:dyDescent="0.2">
      <c r="B11" s="3" t="s">
        <v>67</v>
      </c>
      <c r="C11" s="32">
        <f>+'COLOMBIA USD'!C11+'EL SALVADOR USD'!C11+'VENEZUELA USD'!C11+'PANAMA USD'!C11</f>
        <v>10731.200337540391</v>
      </c>
      <c r="D11" s="34">
        <f t="shared" si="0"/>
        <v>4.45784026447128E-2</v>
      </c>
      <c r="E11" s="32">
        <f>+'COLOMBIA USD'!E11+'EL SALVADOR USD'!E11+'VENEZUELA USD'!E11+'PANAMA USD'!E11</f>
        <v>4379.0663508832649</v>
      </c>
      <c r="F11" s="34">
        <f t="shared" si="1"/>
        <v>1.9858777270232202E-2</v>
      </c>
      <c r="G11" s="34">
        <f t="shared" si="2"/>
        <v>0.40806864219692263</v>
      </c>
      <c r="H11" s="32">
        <f>+'COLOMBIA USD'!H11+'EL SALVADOR USD'!H11+'VENEZUELA USD'!H11+'PANAMA USD'!H11</f>
        <v>8956.0318566047463</v>
      </c>
      <c r="I11" s="34">
        <f t="shared" si="3"/>
        <v>3.8959546444634799E-2</v>
      </c>
      <c r="J11" s="34">
        <f t="shared" si="4"/>
        <v>-0.51104837265023084</v>
      </c>
      <c r="K11" s="32">
        <f>+'COLOMBIA USD'!K11+'EL SALVADOR USD'!K11+'VENEZUELA USD'!K11+'PANAMA USD'!K11</f>
        <v>102965.84850320456</v>
      </c>
      <c r="L11" s="34">
        <f t="shared" si="5"/>
        <v>4.7965627404928733E-2</v>
      </c>
      <c r="M11" s="32">
        <f>+'COLOMBIA USD'!M11+'EL SALVADOR USD'!M11+'VENEZUELA USD'!M11+'PANAMA USD'!M11</f>
        <v>121248.10183075143</v>
      </c>
      <c r="N11" s="34">
        <f t="shared" si="6"/>
        <v>5.6788142803105408E-2</v>
      </c>
      <c r="O11" s="34">
        <f t="shared" si="7"/>
        <v>1.1775564771554121</v>
      </c>
      <c r="P11" s="32">
        <f>+'COLOMBIA USD'!P11+'EL SALVADOR USD'!P11+'VENEZUELA USD'!P11+'PANAMA USD'!P11</f>
        <v>93132.280348474029</v>
      </c>
      <c r="Q11" s="34">
        <f t="shared" si="8"/>
        <v>4.4344576833243173E-2</v>
      </c>
      <c r="R11" s="34">
        <f t="shared" si="9"/>
        <v>0.30189126022766904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2689.3851634038519</v>
      </c>
      <c r="Y11" s="32">
        <f>'COLOMBIA USD'!X14+'EL SALVADOR USD'!W14+'VENEZUELA USD'!Y12+'PANAMA USD'!V14</f>
        <v>2833.3885658984536</v>
      </c>
      <c r="Z11" s="32">
        <f>'COLOMBIA USD'!Z14+'EL SALVADOR USD'!Y14+'VENEZUELA USD'!Z12+'PANAMA USD'!X14</f>
        <v>24669.45663638529</v>
      </c>
      <c r="AA11" s="32">
        <f>'COLOMBIA USD'!AD14+'EL SALVADOR USD'!AC14+'VENEZUELA USD'!AA12+'PANAMA USD'!AB14</f>
        <v>22008.087799968423</v>
      </c>
      <c r="AB11" s="32">
        <f>'COLOMBIA USD'!AA14+'EL SALVADOR USD'!Z14+'VENEZUELA USD'!AB12+'PANAMA USD'!Y14</f>
        <v>26877.499213536303</v>
      </c>
      <c r="AC11" s="63">
        <f>+Z11-AB11</f>
        <v>-2208.0425771510127</v>
      </c>
      <c r="AD11" s="68">
        <f t="shared" ref="AD11:AD22" si="11">IF(Z11=0,"",(AB11-Z11)/ABS(Z11)+1)</f>
        <v>1.0895051159697755</v>
      </c>
      <c r="AE11" s="68">
        <f t="shared" si="10"/>
        <v>0.2212555428634225</v>
      </c>
      <c r="AF11" s="55"/>
      <c r="AG11" s="55">
        <f>+'COLOMBIA USD'!Y14+'EL SALVADOR USD'!X14+'VENEZUELA USD'!X12+'PANAMA USD'!W14</f>
        <v>2689.3851634038519</v>
      </c>
      <c r="AH11" s="55">
        <f>+'COLOMBIA USD'!X14+'EL SALVADOR USD'!W14+'VENEZUELA USD'!Y12+'PANAMA USD'!V14</f>
        <v>2833.3885658984536</v>
      </c>
      <c r="AI11" s="55">
        <f>+'COLOMBIA USD'!AB14+'EL SALVADOR USD'!AA14+'VENEZUELA USD'!AC12+'PANAMA USD'!Z14</f>
        <v>-2208.0425771510127</v>
      </c>
      <c r="AK11" s="55">
        <f>+'COLOMBIA USD'!AA14+'EL SALVADOR USD'!Z14+'VENEZUELA USD'!AB12+'PANAMA USD'!Y14</f>
        <v>26877.499213536303</v>
      </c>
    </row>
    <row r="12" spans="1:37" x14ac:dyDescent="0.2">
      <c r="B12" s="3" t="s">
        <v>69</v>
      </c>
      <c r="C12" s="32">
        <f>+'COLOMBIA USD'!C12+'EL SALVADOR USD'!C12+'VENEZUELA USD'!C12+'PANAMA USD'!C12</f>
        <v>19716.269175681649</v>
      </c>
      <c r="D12" s="34">
        <f t="shared" si="0"/>
        <v>8.1903212904375453E-2</v>
      </c>
      <c r="E12" s="32">
        <f>+'COLOMBIA USD'!E12+'EL SALVADOR USD'!E12+'VENEZUELA USD'!E12+'PANAMA USD'!E12</f>
        <v>16684.128925712568</v>
      </c>
      <c r="F12" s="34">
        <f t="shared" si="1"/>
        <v>7.5661425001412763E-2</v>
      </c>
      <c r="G12" s="34">
        <f t="shared" si="2"/>
        <v>0.84621125716274104</v>
      </c>
      <c r="H12" s="32">
        <f>+'COLOMBIA USD'!H12+'EL SALVADOR USD'!H12+'VENEZUELA USD'!H12+'PANAMA USD'!H12</f>
        <v>22107.35888280666</v>
      </c>
      <c r="I12" s="34">
        <f t="shared" si="3"/>
        <v>9.6169005308723174E-2</v>
      </c>
      <c r="J12" s="34">
        <f t="shared" si="4"/>
        <v>-0.24531333597302063</v>
      </c>
      <c r="K12" s="32">
        <f>+'COLOMBIA USD'!K12+'EL SALVADOR USD'!K12+'VENEZUELA USD'!K12+'PANAMA USD'!K12</f>
        <v>175761.35664034437</v>
      </c>
      <c r="L12" s="34">
        <f t="shared" si="5"/>
        <v>8.1876698607822151E-2</v>
      </c>
      <c r="M12" s="32">
        <f>+'COLOMBIA USD'!M12+'EL SALVADOR USD'!M12+'VENEZUELA USD'!M12+'PANAMA USD'!M12</f>
        <v>161768.2454806829</v>
      </c>
      <c r="N12" s="34">
        <f t="shared" si="6"/>
        <v>7.5766284887396979E-2</v>
      </c>
      <c r="O12" s="34">
        <f t="shared" si="7"/>
        <v>0.92038573536789903</v>
      </c>
      <c r="P12" s="32">
        <f>+'COLOMBIA USD'!P12+'EL SALVADOR USD'!P12+'VENEZUELA USD'!P12+'PANAMA USD'!P12</f>
        <v>212438.08070406364</v>
      </c>
      <c r="Q12" s="34">
        <f t="shared" si="8"/>
        <v>0.1011515744792178</v>
      </c>
      <c r="R12" s="34">
        <f t="shared" si="9"/>
        <v>-0.2385157833070721</v>
      </c>
      <c r="V12" s="3" t="s">
        <v>35</v>
      </c>
      <c r="W12" s="32">
        <f>'COLOMBIA USD'!W15+'EL SALVADOR USD'!V15+'VENEZUELA USD'!W13+'PANAMA USD'!U15</f>
        <v>98088.070758622256</v>
      </c>
      <c r="X12" s="32">
        <f>'COLOMBIA USD'!Y15+'EL SALVADOR USD'!X15+'VENEZUELA USD'!X13+'PANAMA USD'!W15</f>
        <v>103159.94511959267</v>
      </c>
      <c r="Y12" s="32">
        <f>'COLOMBIA USD'!X15+'EL SALVADOR USD'!W15+'VENEZUELA USD'!Y13+'PANAMA USD'!V15</f>
        <v>103645.7138902697</v>
      </c>
      <c r="Z12" s="32">
        <f>'COLOMBIA USD'!Z15+'EL SALVADOR USD'!Y15+'VENEZUELA USD'!Z13+'PANAMA USD'!X15</f>
        <v>957572.71779796551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1011817.6644355112</v>
      </c>
      <c r="AC12" s="63">
        <f>+Z12-AB12</f>
        <v>-54244.946637545712</v>
      </c>
      <c r="AD12" s="68">
        <f t="shared" si="11"/>
        <v>1.056648383594603</v>
      </c>
      <c r="AE12" s="68" t="e">
        <f t="shared" si="10"/>
        <v>#VALUE!</v>
      </c>
      <c r="AF12" s="55"/>
      <c r="AG12" s="55">
        <f>+'COLOMBIA USD'!Y15+'EL SALVADOR USD'!X15+'VENEZUELA USD'!X13+'PANAMA USD'!W15</f>
        <v>103159.94511959267</v>
      </c>
      <c r="AH12" s="55">
        <f>+'COLOMBIA USD'!X15+'EL SALVADOR USD'!W15+'VENEZUELA USD'!Y13+'PANAMA USD'!V15</f>
        <v>103645.7138902697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1011817.6644355112</v>
      </c>
    </row>
    <row r="13" spans="1:37" x14ac:dyDescent="0.2">
      <c r="B13" s="3" t="s">
        <v>71</v>
      </c>
      <c r="C13" s="32">
        <f>+'COLOMBIA USD'!C13+'EL SALVADOR USD'!C13+'VENEZUELA USD'!C13+'PANAMA USD'!C13</f>
        <v>22164.043724971922</v>
      </c>
      <c r="D13" s="34">
        <f t="shared" si="0"/>
        <v>9.2071495669540204E-2</v>
      </c>
      <c r="E13" s="32">
        <f>+'COLOMBIA USD'!E13+'EL SALVADOR USD'!E13+'VENEZUELA USD'!E13+'PANAMA USD'!E13</f>
        <v>16636.012035896365</v>
      </c>
      <c r="F13" s="34">
        <f t="shared" si="1"/>
        <v>7.5443218077554761E-2</v>
      </c>
      <c r="G13" s="34">
        <f t="shared" si="2"/>
        <v>0.75058559901471411</v>
      </c>
      <c r="H13" s="32">
        <f>+'COLOMBIA USD'!H13+'EL SALVADOR USD'!H13+'VENEZUELA USD'!H13+'PANAMA USD'!H13</f>
        <v>11877.715961386777</v>
      </c>
      <c r="I13" s="34">
        <f t="shared" si="3"/>
        <v>5.1669135847542423E-2</v>
      </c>
      <c r="J13" s="34">
        <f t="shared" si="4"/>
        <v>0.40060699295877383</v>
      </c>
      <c r="K13" s="32">
        <f>+'COLOMBIA USD'!K13+'EL SALVADOR USD'!K13+'VENEZUELA USD'!K13+'PANAMA USD'!K13</f>
        <v>215199.07575076996</v>
      </c>
      <c r="L13" s="34">
        <f t="shared" si="5"/>
        <v>0.10024837201264082</v>
      </c>
      <c r="M13" s="32">
        <f>+'COLOMBIA USD'!M13+'EL SALVADOR USD'!M13+'VENEZUELA USD'!M13+'PANAMA USD'!M13</f>
        <v>219139.32721007333</v>
      </c>
      <c r="N13" s="34">
        <f t="shared" si="6"/>
        <v>0.10263678539688165</v>
      </c>
      <c r="O13" s="34">
        <f t="shared" si="7"/>
        <v>1.0183097973146815</v>
      </c>
      <c r="P13" s="32">
        <f>+'COLOMBIA USD'!P13+'EL SALVADOR USD'!P13+'VENEZUELA USD'!P13+'PANAMA USD'!P13</f>
        <v>174974.17188910104</v>
      </c>
      <c r="Q13" s="34">
        <f t="shared" si="8"/>
        <v>8.3313278490946691E-2</v>
      </c>
      <c r="R13" s="34">
        <f t="shared" si="9"/>
        <v>0.25240956904750633</v>
      </c>
      <c r="V13" s="3" t="s">
        <v>36</v>
      </c>
      <c r="W13" s="32">
        <f>'COLOMBIA USD'!W16+'EL SALVADOR USD'!V16+'VENEZUELA USD'!W14+'PANAMA USD'!U16</f>
        <v>77301.959329953621</v>
      </c>
      <c r="X13" s="32">
        <f>'COLOMBIA USD'!Y16+'EL SALVADOR USD'!X16+'VENEZUELA USD'!X14+'PANAMA USD'!W16</f>
        <v>77490.545455577056</v>
      </c>
      <c r="Y13" s="32">
        <f>'COLOMBIA USD'!X16+'EL SALVADOR USD'!W16+'VENEZUELA USD'!Y14+'PANAMA USD'!V16</f>
        <v>46836.833682259057</v>
      </c>
      <c r="Z13" s="32">
        <f>'COLOMBIA USD'!Z16+'EL SALVADOR USD'!Y16+'VENEZUELA USD'!Z14+'PANAMA USD'!X16</f>
        <v>646065.72649223695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545877.73792580108</v>
      </c>
      <c r="AC13" s="63">
        <f>+Z13-AB13</f>
        <v>100187.98856643587</v>
      </c>
      <c r="AD13" s="68">
        <f t="shared" si="11"/>
        <v>0.8449260122334632</v>
      </c>
      <c r="AE13" s="68" t="e">
        <f t="shared" si="10"/>
        <v>#VALUE!</v>
      </c>
      <c r="AF13" s="55"/>
      <c r="AG13" s="55">
        <f>+'COLOMBIA USD'!Y16+'EL SALVADOR USD'!X16+'VENEZUELA USD'!X14+'PANAMA USD'!W16</f>
        <v>77490.545455577056</v>
      </c>
      <c r="AH13" s="55">
        <f>+'COLOMBIA USD'!X16+'EL SALVADOR USD'!W16+'VENEZUELA USD'!Y14+'PANAMA USD'!V16</f>
        <v>46836.833682259057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545877.73792580108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210533.54669997917</v>
      </c>
      <c r="X14" s="32">
        <f>SUM(X10:X13)</f>
        <v>208278.89161519182</v>
      </c>
      <c r="Y14" s="32">
        <f>SUM(Y10:Y13)</f>
        <v>238030.46379850636</v>
      </c>
      <c r="Z14" s="32">
        <f>'COLOMBIA USD'!Z17+'EL SALVADOR USD'!Y17+'VENEZUELA USD'!Z15+'PANAMA USD'!X17</f>
        <v>1946642.1978148529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1982888.7516388881</v>
      </c>
      <c r="AC14" s="63">
        <f>+AB14-Z14</f>
        <v>36246.553824035218</v>
      </c>
      <c r="AD14" s="68">
        <f t="shared" si="11"/>
        <v>1.0186200390933284</v>
      </c>
      <c r="AE14" s="68" t="e">
        <f t="shared" si="10"/>
        <v>#VALUE!</v>
      </c>
      <c r="AF14" s="55"/>
      <c r="AG14" s="55">
        <f>+'COLOMBIA USD'!Y17+'EL SALVADOR USD'!X17+'VENEZUELA USD'!X15+'PANAMA USD'!W17</f>
        <v>208278.89161519179</v>
      </c>
      <c r="AH14" s="55">
        <f>+'COLOMBIA USD'!X17+'EL SALVADOR USD'!W17+'VENEZUELA USD'!Y15+'PANAMA USD'!V17</f>
        <v>209401.29906532771</v>
      </c>
      <c r="AI14" s="55">
        <f>+'COLOMBIA USD'!AB17+'EL SALVADOR USD'!AA17+'VENEZUELA USD'!AC15+'PANAMA USD'!Z17</f>
        <v>11271.142307198643</v>
      </c>
      <c r="AK14" s="55">
        <f>+'COLOMBIA USD'!AA17+'EL SALVADOR USD'!Z17+'VENEZUELA USD'!AB15+'PANAMA USD'!Y17</f>
        <v>1982888.7516388881</v>
      </c>
    </row>
    <row r="15" spans="1:37" x14ac:dyDescent="0.2">
      <c r="B15" s="3" t="s">
        <v>74</v>
      </c>
      <c r="C15" s="32">
        <f>+'COLOMBIA USD'!C15+'EL SALVADOR USD'!C15+'VENEZUELA USD'!C15+'PANAMA USD'!C15</f>
        <v>34065.442961944435</v>
      </c>
      <c r="D15" s="34">
        <f t="shared" si="0"/>
        <v>0.14151101320098164</v>
      </c>
      <c r="E15" s="32">
        <f>+'COLOMBIA USD'!E15+'EL SALVADOR USD'!E15+'VENEZUELA USD'!E15+'PANAMA USD'!E15</f>
        <v>31407.286071763971</v>
      </c>
      <c r="F15" s="34">
        <f t="shared" si="1"/>
        <v>0.1424299722327394</v>
      </c>
      <c r="G15" s="34">
        <f t="shared" si="2"/>
        <v>0.92196910830867596</v>
      </c>
      <c r="H15" s="32">
        <f>+'COLOMBIA USD'!H15+'EL SALVADOR USD'!H15+'VENEZUELA USD'!H15+'PANAMA USD'!H15</f>
        <v>33098.768421750348</v>
      </c>
      <c r="I15" s="34">
        <f t="shared" si="3"/>
        <v>0.14398262827040142</v>
      </c>
      <c r="J15" s="34">
        <f t="shared" si="4"/>
        <v>-5.1104087270958581E-2</v>
      </c>
      <c r="K15" s="32">
        <f>+'COLOMBIA USD'!K15+'EL SALVADOR USD'!K15+'VENEZUELA USD'!K15+'PANAMA USD'!K15</f>
        <v>305083.47263729339</v>
      </c>
      <c r="L15" s="34">
        <f t="shared" si="5"/>
        <v>0.14212013389533476</v>
      </c>
      <c r="M15" s="32">
        <f>+'COLOMBIA USD'!M15+'EL SALVADOR USD'!M15+'VENEZUELA USD'!M15+'PANAMA USD'!M15</f>
        <v>300189.7601213904</v>
      </c>
      <c r="N15" s="34">
        <f t="shared" si="6"/>
        <v>0.14059782139599558</v>
      </c>
      <c r="O15" s="34">
        <f t="shared" si="7"/>
        <v>0.98395943092688931</v>
      </c>
      <c r="P15" s="32">
        <f>+'COLOMBIA USD'!P15+'EL SALVADOR USD'!P15+'VENEZUELA USD'!P15+'PANAMA USD'!P15</f>
        <v>311408.32002797438</v>
      </c>
      <c r="Q15" s="34">
        <f t="shared" si="8"/>
        <v>0.1482758730090297</v>
      </c>
      <c r="R15" s="34">
        <f t="shared" si="9"/>
        <v>-3.6025241411585258E-2</v>
      </c>
      <c r="V15" s="3" t="s">
        <v>38</v>
      </c>
      <c r="W15" s="32">
        <f>W9-W14</f>
        <v>88638.539608551189</v>
      </c>
      <c r="X15" s="32">
        <f>X9-X14</f>
        <v>89951.501232179638</v>
      </c>
      <c r="Y15" s="32">
        <f t="shared" ref="Y15:AB15" si="12">Y9-Y14</f>
        <v>44775.453154809366</v>
      </c>
      <c r="Z15" s="32">
        <f t="shared" si="12"/>
        <v>581248.34751778049</v>
      </c>
      <c r="AA15" s="32" t="e">
        <f>AA9-AA14</f>
        <v>#VALUE!</v>
      </c>
      <c r="AB15" s="32">
        <f t="shared" si="12"/>
        <v>514826.86071061972</v>
      </c>
      <c r="AC15" s="63">
        <f>+AB15-Z15</f>
        <v>-66421.486807160778</v>
      </c>
      <c r="AD15" s="68">
        <f t="shared" si="11"/>
        <v>0.88572614943197081</v>
      </c>
      <c r="AE15" s="68" t="e">
        <f t="shared" si="10"/>
        <v>#VALUE!</v>
      </c>
      <c r="AF15" s="55"/>
      <c r="AG15" s="55">
        <f>+'COLOMBIA USD'!Y19+'EL SALVADOR USD'!X19+'VENEZUELA USD'!X16+'PANAMA USD'!W19</f>
        <v>84460.735570926758</v>
      </c>
      <c r="AH15" s="55">
        <f>+'COLOMBIA USD'!X19+'EL SALVADOR USD'!W19+'VENEZUELA USD'!Y16+'PANAMA USD'!V19</f>
        <v>105334.20025457736</v>
      </c>
      <c r="AI15" s="55">
        <f>+'COLOMBIA USD'!AB19+'EL SALVADOR USD'!AA19+'VENEZUELA USD'!AC16+'PANAMA USD'!Z19</f>
        <v>-41901.660112449652</v>
      </c>
      <c r="AK15" s="55">
        <f>+'COLOMBIA USD'!AA19+'EL SALVADOR USD'!Z19+'VENEZUELA USD'!AB16+'PANAMA USD'!Y19</f>
        <v>538940.80502616509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3746.2715343699319</v>
      </c>
      <c r="D17" s="34">
        <f>+C17/$C$20</f>
        <v>1.5562359812755687E-2</v>
      </c>
      <c r="E17" s="32">
        <f>+'COLOMBIA USD'!E17+'EL SALVADOR USD'!E17+'VENEZUELA USD'!E17+'PANAMA USD'!E17</f>
        <v>5611.1022258723751</v>
      </c>
      <c r="F17" s="34">
        <f t="shared" si="1"/>
        <v>2.5445978757921334E-2</v>
      </c>
      <c r="G17" s="34">
        <f t="shared" si="2"/>
        <v>1.4977831089908116</v>
      </c>
      <c r="H17" s="32">
        <f>+'COLOMBIA USD'!H17+'EL SALVADOR USD'!H17+'VENEZUELA USD'!H17+'PANAMA USD'!H17</f>
        <v>358.11098831701923</v>
      </c>
      <c r="I17" s="34">
        <f t="shared" si="3"/>
        <v>1.5578151021629078E-3</v>
      </c>
      <c r="J17" s="34">
        <f t="shared" si="4"/>
        <v>14.668612270855883</v>
      </c>
      <c r="K17" s="32">
        <f>+'COLOMBIA USD'!K17+'EL SALVADOR USD'!K17+'VENEZUELA USD'!K17+'PANAMA USD'!K17</f>
        <v>34721.059734839466</v>
      </c>
      <c r="L17" s="34">
        <f t="shared" si="5"/>
        <v>1.6174464043713983E-2</v>
      </c>
      <c r="M17" s="32">
        <f>+'COLOMBIA USD'!M17+'EL SALVADOR USD'!M17+'VENEZUELA USD'!M17+'PANAMA USD'!M17</f>
        <v>35870.312496247781</v>
      </c>
      <c r="N17" s="34">
        <f t="shared" si="6"/>
        <v>1.6800332522090677E-2</v>
      </c>
      <c r="O17" s="34">
        <f t="shared" si="7"/>
        <v>1.0330995876907278</v>
      </c>
      <c r="P17" s="32">
        <f>+'COLOMBIA USD'!P17+'EL SALVADOR USD'!P17+'VENEZUELA USD'!P17+'PANAMA USD'!P17</f>
        <v>33854.314759630564</v>
      </c>
      <c r="Q17" s="34">
        <f t="shared" si="8"/>
        <v>1.6119601671707954E-2</v>
      </c>
      <c r="R17" s="34">
        <f t="shared" si="9"/>
        <v>5.9549211110342282E-2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41511.120184183368</v>
      </c>
      <c r="D18" s="41">
        <f t="shared" ref="D18:D46" si="13">+C18/$C$20</f>
        <v>0.17244104774841323</v>
      </c>
      <c r="E18" s="32">
        <f>+'COLOMBIA USD'!E18+'EL SALVADOR USD'!E18+'VENEZUELA USD'!E18+'PANAMA USD'!E18</f>
        <v>49736.978682631277</v>
      </c>
      <c r="F18" s="34">
        <f t="shared" si="1"/>
        <v>0.22555392008468605</v>
      </c>
      <c r="G18" s="41">
        <f t="shared" si="2"/>
        <v>1.1981603594880135</v>
      </c>
      <c r="H18" s="32">
        <f>+'COLOMBIA USD'!H18+'EL SALVADOR USD'!H18+'VENEZUELA USD'!H18+'PANAMA USD'!H18</f>
        <v>34104.899155352068</v>
      </c>
      <c r="I18" s="34">
        <f t="shared" si="3"/>
        <v>0.14835938771841783</v>
      </c>
      <c r="J18" s="41">
        <f t="shared" si="4"/>
        <v>0.45835290279185809</v>
      </c>
      <c r="K18" s="32">
        <f>+'COLOMBIA USD'!K18+'EL SALVADOR USD'!K18+'VENEZUELA USD'!K18+'PANAMA USD'!K18</f>
        <v>351754.1651072324</v>
      </c>
      <c r="L18" s="34">
        <f t="shared" si="5"/>
        <v>0.16386121677169679</v>
      </c>
      <c r="M18" s="32">
        <f>+'COLOMBIA USD'!M18+'EL SALVADOR USD'!M18+'VENEZUELA USD'!M18+'PANAMA USD'!M18</f>
        <v>384198.96955244814</v>
      </c>
      <c r="N18" s="34">
        <f t="shared" si="6"/>
        <v>0.1799446392835555</v>
      </c>
      <c r="O18" s="34">
        <f t="shared" si="7"/>
        <v>1.092237157832445</v>
      </c>
      <c r="P18" s="32">
        <f>+'COLOMBIA USD'!P18+'EL SALVADOR USD'!P18+'VENEZUELA USD'!P18+'PANAMA USD'!P18</f>
        <v>305749.41511090938</v>
      </c>
      <c r="Q18" s="34">
        <f t="shared" si="8"/>
        <v>0.14558140721319762</v>
      </c>
      <c r="R18" s="41">
        <f t="shared" si="9"/>
        <v>0.2565812085464873</v>
      </c>
      <c r="V18" s="3" t="s">
        <v>40</v>
      </c>
      <c r="W18" s="32">
        <f>W8+W15</f>
        <v>102340.95438404936</v>
      </c>
      <c r="X18" s="32">
        <f>'COLOMBIA USD'!Y21+'EL SALVADOR USD'!X21+'VENEZUELA USD'!X19+'PANAMA USD'!W21</f>
        <v>139899.17666028577</v>
      </c>
      <c r="Y18" s="32">
        <f t="shared" ref="Y18" si="14">Y8+Y15</f>
        <v>78068.677969624172</v>
      </c>
      <c r="Z18" s="32">
        <f>Z8+Z15</f>
        <v>613917.00073701993</v>
      </c>
      <c r="AA18" s="32" t="e">
        <f>AA8+AA15</f>
        <v>#VALUE!</v>
      </c>
      <c r="AB18" s="32">
        <f>AB8+AB15</f>
        <v>548104.67847941618</v>
      </c>
      <c r="AC18" s="63">
        <f>+AB18-Z18</f>
        <v>-65812.322257603751</v>
      </c>
      <c r="AD18" s="68">
        <f t="shared" si="11"/>
        <v>0.89279931622907538</v>
      </c>
      <c r="AE18" s="68" t="e">
        <f t="shared" si="10"/>
        <v>#VALUE!</v>
      </c>
      <c r="AF18" s="55"/>
      <c r="AG18" s="55">
        <f>+'COLOMBIA USD'!Y21+'EL SALVADOR USD'!X21+'VENEZUELA USD'!X19+'PANAMA USD'!W21</f>
        <v>139899.17666028577</v>
      </c>
      <c r="AH18" s="55">
        <f>+'COLOMBIA USD'!X21+'EL SALVADOR USD'!W21+'VENEZUELA USD'!Y19+'PANAMA USD'!V21</f>
        <v>126399.46683273325</v>
      </c>
      <c r="AI18" s="55">
        <f>+'COLOMBIA USD'!AB21+'EL SALVADOR USD'!AA21+'VENEZUELA USD'!AC19+'PANAMA USD'!Z21</f>
        <v>-41292.640869055889</v>
      </c>
      <c r="AK18" s="55">
        <f>+'COLOMBIA USD'!AA21+'EL SALVADOR USD'!Z21+'VENEZUELA USD'!AB19+'PANAMA USD'!Y21</f>
        <v>562794.77128684102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14034.174445453111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25562.365253493052</v>
      </c>
      <c r="Y19" s="32">
        <f>'COLOMBIA USD'!X23+'EL SALVADOR USD'!W23+'VENEZUELA USD'!Y20+'PANAMA USD'!V23</f>
        <v>18828.360961622973</v>
      </c>
      <c r="Z19" s="32">
        <f>'COLOMBIA USD'!Z23+'EL SALVADOR USD'!Y23+'VENEZUELA USD'!Z20+'PANAMA USD'!X23</f>
        <v>26138.61386138614</v>
      </c>
      <c r="AA19" s="32">
        <f>'COLOMBIA USD'!AD23+'EL SALVADOR USD'!AC23+'VENEZUELA USD'!AA20+'PANAMA USD'!AB23</f>
        <v>48871.644137788127</v>
      </c>
      <c r="AB19" s="32">
        <f>'COLOMBIA USD'!AA23+'EL SALVADOR USD'!Z23+'VENEZUELA USD'!AB20+'PANAMA USD'!Y23</f>
        <v>77910.255114415442</v>
      </c>
      <c r="AC19" s="63">
        <f t="shared" ref="AC19:AC22" si="15">+AB19-Z19</f>
        <v>51771.641253029302</v>
      </c>
      <c r="AD19" s="68">
        <f t="shared" si="11"/>
        <v>2.9806574873318028</v>
      </c>
      <c r="AE19" s="68">
        <f t="shared" si="10"/>
        <v>0.59418117579093932</v>
      </c>
      <c r="AF19" s="55"/>
      <c r="AG19" s="55">
        <f>+'COLOMBIA USD'!Y23+'EL SALVADOR USD'!X23+'VENEZUELA USD'!X20+'PANAMA USD'!W23</f>
        <v>25562.365253493052</v>
      </c>
      <c r="AH19" s="55">
        <f>+'COLOMBIA USD'!X23+'EL SALVADOR USD'!W23+'VENEZUELA USD'!Y20+'PANAMA USD'!V23</f>
        <v>18828.360961622973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77910.255114415442</v>
      </c>
    </row>
    <row r="20" spans="2:37" x14ac:dyDescent="0.2">
      <c r="B20" s="20" t="s">
        <v>39</v>
      </c>
      <c r="C20" s="69">
        <f>SUM(C10:C19)</f>
        <v>240726.44376846374</v>
      </c>
      <c r="D20" s="45">
        <f t="shared" si="13"/>
        <v>1</v>
      </c>
      <c r="E20" s="69">
        <f>SUM(E10:E19)</f>
        <v>220510.37137353732</v>
      </c>
      <c r="F20" s="45">
        <f t="shared" si="1"/>
        <v>1</v>
      </c>
      <c r="G20" s="45">
        <f t="shared" si="2"/>
        <v>0.91602055811379535</v>
      </c>
      <c r="H20" s="69">
        <f>SUM(H10:H19)</f>
        <v>229880.29055554111</v>
      </c>
      <c r="I20" s="45">
        <f>+H22/$H$22</f>
        <v>1</v>
      </c>
      <c r="J20" s="45">
        <f t="shared" si="4"/>
        <v>-4.0759993644343948E-2</v>
      </c>
      <c r="K20" s="69">
        <f>SUM(K10:K19)</f>
        <v>2146659.0572027885</v>
      </c>
      <c r="L20" s="45">
        <f t="shared" si="5"/>
        <v>1</v>
      </c>
      <c r="M20" s="69">
        <f>SUM(M10:M19)</f>
        <v>2135095.3886824609</v>
      </c>
      <c r="N20" s="45">
        <f t="shared" si="6"/>
        <v>1</v>
      </c>
      <c r="O20" s="45">
        <f>IF(K20=0,"",(M20-K20)/ABS(K20)+1)</f>
        <v>0.99461317879915423</v>
      </c>
      <c r="P20" s="69">
        <f>SUM(P10:P19)</f>
        <v>2100195.4917440293</v>
      </c>
      <c r="Q20" s="45">
        <f t="shared" si="8"/>
        <v>1</v>
      </c>
      <c r="R20" s="45">
        <f>IF(P20=0,"",(M20-P20)/ABS(P20))</f>
        <v>1.6617451601826941E-2</v>
      </c>
      <c r="V20" s="3" t="s">
        <v>44</v>
      </c>
      <c r="W20" s="32">
        <f>'COLOMBIA USD'!W25+'EL SALVADOR USD'!V25+'VENEZUELA USD'!W21+'PANAMA USD'!U25</f>
        <v>82541.206629316381</v>
      </c>
      <c r="X20" s="32">
        <f>'COLOMBIA USD'!Y25+'EL SALVADOR USD'!X25+'VENEZUELA USD'!X21+'PANAMA USD'!W25</f>
        <v>87185.392439848554</v>
      </c>
      <c r="Y20" s="32">
        <f>'COLOMBIA USD'!X25+'EL SALVADOR USD'!W25+'VENEZUELA USD'!Y21+'PANAMA USD'!V25</f>
        <v>85450.787083409174</v>
      </c>
      <c r="Z20" s="32">
        <f>'COLOMBIA USD'!Z25+'EL SALVADOR USD'!Y25+'VENEZUELA USD'!Z21+'PANAMA USD'!X25</f>
        <v>445406.84777505184</v>
      </c>
      <c r="AA20" s="32">
        <f>'COLOMBIA USD'!AD25+'EL SALVADOR USD'!AC25+'VENEZUELA USD'!AA21+'PANAMA USD'!AB25</f>
        <v>450599.39750415063</v>
      </c>
      <c r="AB20" s="32">
        <f>'COLOMBIA USD'!AA25+'EL SALVADOR USD'!Z25+'VENEZUELA USD'!AB21+'PANAMA USD'!Y25</f>
        <v>445467.68115016294</v>
      </c>
      <c r="AC20" s="63">
        <f t="shared" si="15"/>
        <v>60.833375111105852</v>
      </c>
      <c r="AD20" s="68">
        <f t="shared" si="11"/>
        <v>1.0001365793440649</v>
      </c>
      <c r="AE20" s="68">
        <f t="shared" si="10"/>
        <v>-1.1388644508652328E-2</v>
      </c>
      <c r="AF20" s="55"/>
      <c r="AG20" s="55">
        <f>+'COLOMBIA USD'!Y25+'EL SALVADOR USD'!X25+'VENEZUELA USD'!X21+'PANAMA USD'!W25</f>
        <v>87185.392439848554</v>
      </c>
      <c r="AH20" s="55">
        <f>+'COLOMBIA USD'!X25+'EL SALVADOR USD'!W25+'VENEZUELA USD'!Y21+'PANAMA USD'!V25</f>
        <v>85450.787083409174</v>
      </c>
      <c r="AI20" s="55">
        <f>+'COLOMBIA USD'!AB25+'EL SALVADOR USD'!AA25+'VENEZUELA USD'!AC21+'PANAMA USD'!Z25</f>
        <v>-161.2843185202079</v>
      </c>
      <c r="AK20" s="55">
        <f>+'COLOMBIA USD'!AA25+'EL SALVADOR USD'!Z25+'VENEZUELA USD'!AB21+'PANAMA USD'!Y25</f>
        <v>445467.68115016294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-6518.3219352863125</v>
      </c>
      <c r="X21" s="32">
        <f>'COLOMBIA USD'!Y27+'EL SALVADOR USD'!X27+'VENEZUELA USD'!X22+'PANAMA USD'!W27</f>
        <v>-14865.704925797283</v>
      </c>
      <c r="Y21" s="32">
        <f>'COLOMBIA USD'!X27+'EL SALVADOR USD'!W27+'VENEZUELA USD'!Y22+'PANAMA USD'!V27</f>
        <v>-48537.581063394973</v>
      </c>
      <c r="Z21" s="32">
        <f>'COLOMBIA USD'!Z27+'EL SALVADOR USD'!Y27+'VENEZUELA USD'!Z22+'PANAMA USD'!X27</f>
        <v>1573.2707291347692</v>
      </c>
      <c r="AA21" s="32">
        <f>'COLOMBIA USD'!AD27+'EL SALVADOR USD'!AC27+'VENEZUELA USD'!AA22+'PANAMA USD'!AB27</f>
        <v>144028.2601831386</v>
      </c>
      <c r="AB21" s="32">
        <f>'COLOMBIA USD'!AA27+'EL SALVADOR USD'!Z27+'VENEZUELA USD'!AB22+'PANAMA USD'!Y27</f>
        <v>-138471.40273905496</v>
      </c>
      <c r="AC21" s="63">
        <f t="shared" si="15"/>
        <v>-140044.67346818972</v>
      </c>
      <c r="AD21" s="68">
        <f t="shared" si="11"/>
        <v>-88.0149869788833</v>
      </c>
      <c r="AE21" s="68">
        <f t="shared" si="10"/>
        <v>-1.9614182839047152</v>
      </c>
      <c r="AF21" s="55"/>
      <c r="AG21" s="55">
        <f>+'COLOMBIA USD'!Y27+'EL SALVADOR USD'!X27+'VENEZUELA USD'!X22+'PANAMA USD'!W27</f>
        <v>-14865.704925797283</v>
      </c>
      <c r="AH21" s="55">
        <f>+'COLOMBIA USD'!X27+'EL SALVADOR USD'!W27+'VENEZUELA USD'!Y22+'PANAMA USD'!V27</f>
        <v>-48537.581063394973</v>
      </c>
      <c r="AI21" s="55">
        <f>+'COLOMBIA USD'!AB27+'EL SALVADOR USD'!AA27+'VENEZUELA USD'!AC22+'PANAMA USD'!Z27</f>
        <v>-140044.67346818972</v>
      </c>
      <c r="AK21" s="55">
        <f>+'COLOMBIA USD'!AA27+'EL SALVADOR USD'!Z27+'VENEZUELA USD'!AB22+'PANAMA USD'!Y27</f>
        <v>-138471.40273905496</v>
      </c>
    </row>
    <row r="22" spans="2:37" x14ac:dyDescent="0.2">
      <c r="B22" s="3" t="s">
        <v>41</v>
      </c>
      <c r="C22" s="32">
        <f>+'COLOMBIA USD'!C22+'EL SALVADOR USD'!C22+'VENEZUELA USD'!C22+'PANAMA USD'!C22</f>
        <v>23831.772039059579</v>
      </c>
      <c r="D22" s="34">
        <f t="shared" si="13"/>
        <v>9.8999393942700908E-2</v>
      </c>
      <c r="E22" s="32">
        <f>+'COLOMBIA USD'!E22+'EL SALVADOR USD'!E22+'VENEZUELA USD'!E22+'PANAMA USD'!E22</f>
        <v>25086.19197158645</v>
      </c>
      <c r="F22" s="34">
        <f>+E22/$E$20</f>
        <v>0.1137642271215047</v>
      </c>
      <c r="G22" s="34">
        <f>IF(C22=0,"",(E22-C22)/ABS(C22)+1)</f>
        <v>1.0526364523154599</v>
      </c>
      <c r="H22" s="32">
        <f>+'COLOMBIA USD'!H22+'EL SALVADOR USD'!H22+'VENEZUELA USD'!H22+'PANAMA USD'!H22</f>
        <v>18132.256103370695</v>
      </c>
      <c r="I22" s="34">
        <f t="shared" ref="I22:I46" si="16">+H22/$H$20</f>
        <v>7.8876949648668468E-2</v>
      </c>
      <c r="J22" s="34">
        <f>IF(H22=0,"",(E22-H22)/ABS(H22))</f>
        <v>0.38351189331166863</v>
      </c>
      <c r="K22" s="32">
        <f>+'COLOMBIA USD'!K22+'EL SALVADOR USD'!K22+'VENEZUELA USD'!K22+'PANAMA USD'!K22</f>
        <v>211322.21728873919</v>
      </c>
      <c r="L22" s="34">
        <f t="shared" si="5"/>
        <v>9.8442375643994134E-2</v>
      </c>
      <c r="M22" s="32">
        <f>+'COLOMBIA USD'!M22+'EL SALVADOR USD'!M22+'VENEZUELA USD'!M22+'PANAMA USD'!M22</f>
        <v>254971.93017609583</v>
      </c>
      <c r="N22" s="34">
        <f>+M22/$M$20</f>
        <v>0.11941945616464267</v>
      </c>
      <c r="O22" s="34">
        <f>IF(K22=0,"",(M22-K22)/ABS(K22)+1)</f>
        <v>1.2065552474670282</v>
      </c>
      <c r="P22" s="32">
        <f>+'COLOMBIA USD'!P22+'EL SALVADOR USD'!P22+'VENEZUELA USD'!P22+'PANAMA USD'!P22</f>
        <v>169436.11696025418</v>
      </c>
      <c r="Q22" s="34">
        <f t="shared" si="8"/>
        <v>8.0676354951867951E-2</v>
      </c>
      <c r="R22" s="34">
        <f>IF(P22=0,"",(M22-P22)/ABS(P22))</f>
        <v>0.50482633071617422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16419.398040337855</v>
      </c>
      <c r="Y22" s="32">
        <f>'COLOMBIA USD'!X28+'EL SALVADOR USD'!W28+'VENEZUELA USD'!Y23+'PANAMA USD'!V28</f>
        <v>19565.482528498804</v>
      </c>
      <c r="Z22" s="32">
        <f>'COLOMBIA USD'!Z28+'EL SALVADOR USD'!Y28+'VENEZUELA USD'!Z23+'PANAMA USD'!X28</f>
        <v>110578.06811608997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114638.50522668166</v>
      </c>
      <c r="AC22" s="63">
        <f t="shared" si="15"/>
        <v>4060.4371105916944</v>
      </c>
      <c r="AD22" s="68">
        <f t="shared" si="11"/>
        <v>1.0367200944976618</v>
      </c>
      <c r="AE22" s="68" t="e">
        <f t="shared" si="10"/>
        <v>#VALUE!</v>
      </c>
      <c r="AF22" s="55"/>
      <c r="AG22" s="55">
        <f>+'COLOMBIA USD'!Y28+'EL SALVADOR USD'!X28+'VENEZUELA USD'!X23+'PANAMA USD'!W28</f>
        <v>16419.398040337855</v>
      </c>
      <c r="AH22" s="55">
        <f>+'COLOMBIA USD'!X28+'EL SALVADOR USD'!W28+'VENEZUELA USD'!Y23+'PANAMA USD'!V28</f>
        <v>19565.482528498804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114638.50522668166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7888.3916706709606</v>
      </c>
      <c r="X23" s="32">
        <f t="shared" ref="X23:AB23" si="17">X18-X19-X20-X21-X22</f>
        <v>25597.725852403597</v>
      </c>
      <c r="Y23" s="32">
        <f t="shared" si="17"/>
        <v>2761.6284594881945</v>
      </c>
      <c r="Z23" s="32">
        <f t="shared" si="17"/>
        <v>30220.200255357282</v>
      </c>
      <c r="AA23" s="32" t="e">
        <f t="shared" si="17"/>
        <v>#VALUE!</v>
      </c>
      <c r="AB23" s="32">
        <f t="shared" si="17"/>
        <v>48559.639727211106</v>
      </c>
      <c r="AC23" s="63">
        <f t="shared" ref="AC23" si="18">Y23-W23</f>
        <v>-5126.7632111827661</v>
      </c>
      <c r="AD23" s="68">
        <f t="shared" ref="AD23" si="19">IF(W23=0,"",(Y23-W23)/ABS(W23)+1)</f>
        <v>0.35008764457727537</v>
      </c>
      <c r="AE23" s="68">
        <f t="shared" ref="AE23" si="20">IF(X23=0,"",(Y23-X23)/ABS(X23))</f>
        <v>-0.89211430439517425</v>
      </c>
      <c r="AF23" s="55"/>
      <c r="AG23" s="55">
        <f>+'COLOMBIA USD'!Y30+'EL SALVADOR USD'!X30+'VENEZUELA USD'!X24+'PANAMA USD'!W30</f>
        <v>31088.4915136565</v>
      </c>
      <c r="AH23" s="55">
        <f>+'COLOMBIA USD'!X30+'EL SALVADOR USD'!W30+'VENEZUELA USD'!Y24+'PANAMA USD'!V30</f>
        <v>56985.201545335076</v>
      </c>
      <c r="AI23" s="55">
        <f>+'COLOMBIA USD'!AB30+'EL SALVADOR USD'!AA30+'VENEZUELA USD'!AC24+'PANAMA USD'!Z30</f>
        <v>43081.806061180687</v>
      </c>
      <c r="AK23" s="55">
        <f>+'COLOMBIA USD'!AA30+'EL SALVADOR USD'!Z30+'VENEZUELA USD'!AB24+'PANAMA USD'!Y30</f>
        <v>64108.804460389962</v>
      </c>
    </row>
    <row r="24" spans="2:37" x14ac:dyDescent="0.2">
      <c r="B24" s="3" t="s">
        <v>43</v>
      </c>
      <c r="C24" s="32">
        <f>+C20-C22</f>
        <v>216894.67172940416</v>
      </c>
      <c r="D24" s="34">
        <f t="shared" si="13"/>
        <v>0.90100060605729915</v>
      </c>
      <c r="E24" s="32">
        <f>+E20-E22</f>
        <v>195424.17940195085</v>
      </c>
      <c r="F24" s="34">
        <f>+E24/$E$20</f>
        <v>0.8862357728784952</v>
      </c>
      <c r="G24" s="34">
        <f>IF(C24=0,"",(E24-C24)/ABS(C24)+1)</f>
        <v>0.90100959070935727</v>
      </c>
      <c r="H24" s="32">
        <f>+H20-H22</f>
        <v>211748.03445217042</v>
      </c>
      <c r="I24" s="34">
        <f t="shared" si="16"/>
        <v>0.92112305035133157</v>
      </c>
      <c r="J24" s="34">
        <f>IF(H24=0,"",(E24-H24)/ABS(H24))</f>
        <v>-7.7090940147105824E-2</v>
      </c>
      <c r="K24" s="32">
        <f>+K20-K22</f>
        <v>1935336.8399140493</v>
      </c>
      <c r="L24" s="34">
        <f t="shared" si="5"/>
        <v>0.90155762435600584</v>
      </c>
      <c r="M24" s="32">
        <f>+M20-M22</f>
        <v>1880123.4585063651</v>
      </c>
      <c r="N24" s="34">
        <f>+M24/$M$20</f>
        <v>0.88058054383535733</v>
      </c>
      <c r="O24" s="34">
        <f>IF(K24=0,"",(M24-K24)/ABS(K24)+1)</f>
        <v>0.9714709190312647</v>
      </c>
      <c r="P24" s="32">
        <f>+P20-P22</f>
        <v>1930759.3747837751</v>
      </c>
      <c r="Q24" s="34">
        <f t="shared" si="8"/>
        <v>0.91932364504813202</v>
      </c>
      <c r="R24" s="34">
        <f>IF(P24=0,"",(M24-P24)/ABS(P24))</f>
        <v>-2.6225907245992625E-2</v>
      </c>
      <c r="W24" s="55">
        <f>+'COLOMBIA USD'!W30+'EL SALVADOR USD'!V30+'VENEZUELA USD'!W24+'PANAMA USD'!U30</f>
        <v>13903.698399209283</v>
      </c>
      <c r="X24" s="55">
        <f>+'COLOMBIA USD'!Y30+'EL SALVADOR USD'!X30+'VENEZUELA USD'!X24+'PANAMA USD'!W30</f>
        <v>31088.4915136565</v>
      </c>
      <c r="Y24" s="55">
        <f>+'COLOMBIA USD'!X30+'EL SALVADOR USD'!W30+'VENEZUELA USD'!Y24+'PANAMA USD'!V30</f>
        <v>56985.201545335076</v>
      </c>
      <c r="Z24" s="55">
        <f>+'COLOMBIA USD'!Z30+'EL SALVADOR USD'!Y30+'VENEZUELA USD'!Z24+'PANAMA USD'!X30</f>
        <v>21026.998399209275</v>
      </c>
      <c r="AA24" s="55">
        <f>+'COLOMBIA USD'!AD30+'EL SALVADOR USD'!AC30+'VENEZUELA USD'!AA24+'PANAMA USD'!AB30</f>
        <v>31088.246785897762</v>
      </c>
      <c r="AB24" s="55">
        <f>+'COLOMBIA USD'!AA30+'EL SALVADOR USD'!Z30+'VENEZUELA USD'!AB24+'PANAMA USD'!Y30</f>
        <v>64108.804460389962</v>
      </c>
      <c r="AC24" s="55">
        <f>+'COLOMBIA USD'!AB30+'EL SALVADOR USD'!AA30+'VENEZUELA USD'!AC24+'PANAMA USD'!Z30</f>
        <v>43081.806061180687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52467.851178932331</v>
      </c>
      <c r="D26" s="34">
        <f t="shared" si="13"/>
        <v>0.21795632568475579</v>
      </c>
      <c r="E26" s="32">
        <f>+'COLOMBIA USD'!E26+'EL SALVADOR USD'!E26+'VENEZUELA USD'!E26+'PANAMA USD'!E26</f>
        <v>47239.158609329701</v>
      </c>
      <c r="F26" s="34">
        <f>+E26/$E$20</f>
        <v>0.21422647068744047</v>
      </c>
      <c r="G26" s="34">
        <f>IF(C26=0,"",(E26-C26)/ABS(C26)+1)</f>
        <v>0.90034483112771102</v>
      </c>
      <c r="H26" s="32">
        <f>+'COLOMBIA USD'!H26+'EL SALVADOR USD'!H26+'VENEZUELA USD'!H26+'PANAMA USD'!H26</f>
        <v>52374.04197926975</v>
      </c>
      <c r="I26" s="34">
        <f t="shared" si="16"/>
        <v>0.2278318069491726</v>
      </c>
      <c r="J26" s="34">
        <f>IF(H26=0,"",(E26-H26)/ABS(H26))</f>
        <v>-9.8042525951548581E-2</v>
      </c>
      <c r="K26" s="32">
        <f>+'COLOMBIA USD'!K26+'EL SALVADOR USD'!K26+'VENEZUELA USD'!K26+'PANAMA USD'!K26</f>
        <v>466918.88300273335</v>
      </c>
      <c r="L26" s="34">
        <f t="shared" si="5"/>
        <v>0.21750956745369412</v>
      </c>
      <c r="M26" s="32">
        <f>+'COLOMBIA USD'!M26+'EL SALVADOR USD'!M26+'VENEZUELA USD'!M26+'PANAMA USD'!M26</f>
        <v>461142.40235884639</v>
      </c>
      <c r="N26" s="34">
        <f>+M26/$M$20</f>
        <v>0.21598210777992979</v>
      </c>
      <c r="O26" s="34">
        <f>IF(K26=0,"",(M26-K26)/ABS(K26)+1)</f>
        <v>0.98762851352950498</v>
      </c>
      <c r="P26" s="32">
        <f>+'COLOMBIA USD'!P26+'EL SALVADOR USD'!P26+'VENEZUELA USD'!P26+'PANAMA USD'!P26</f>
        <v>452457.99771056784</v>
      </c>
      <c r="Q26" s="34">
        <f t="shared" si="8"/>
        <v>0.21543613415474999</v>
      </c>
      <c r="R26" s="34">
        <f>IF(P26=0,"",(M26-P26)/ABS(P26))</f>
        <v>1.9193836095773607E-2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91791.682344898698</v>
      </c>
      <c r="D27" s="34">
        <f t="shared" si="13"/>
        <v>0.3813111717513929</v>
      </c>
      <c r="E27" s="32">
        <f>+'COLOMBIA USD'!E27+'EL SALVADOR USD'!E27+'VENEZUELA USD'!E27+'PANAMA USD'!E27</f>
        <v>80173.075554836905</v>
      </c>
      <c r="F27" s="34">
        <f>+E27/$E$20</f>
        <v>0.36357961331000777</v>
      </c>
      <c r="G27" s="34">
        <f>IF(C27=0,"",(E27-C27)/ABS(C27)+1)</f>
        <v>0.87342418732008897</v>
      </c>
      <c r="H27" s="32">
        <f>+'COLOMBIA USD'!H27+'EL SALVADOR USD'!H27+'VENEZUELA USD'!H27+'PANAMA USD'!H27</f>
        <v>78656.957770463356</v>
      </c>
      <c r="I27" s="34">
        <f t="shared" si="16"/>
        <v>0.34216486146061809</v>
      </c>
      <c r="J27" s="34">
        <f>IF(H27=0,"",(E27-H27)/ABS(H27))</f>
        <v>1.9275062592655601E-2</v>
      </c>
      <c r="K27" s="32">
        <f>+'COLOMBIA USD'!K27+'EL SALVADOR USD'!K27+'VENEZUELA USD'!K27+'PANAMA USD'!K27</f>
        <v>776837.56489788787</v>
      </c>
      <c r="L27" s="34">
        <f t="shared" si="5"/>
        <v>0.36188213600633384</v>
      </c>
      <c r="M27" s="32">
        <f>+'COLOMBIA USD'!M27+'EL SALVADOR USD'!M27+'VENEZUELA USD'!M27+'PANAMA USD'!M27</f>
        <v>756585.78277029586</v>
      </c>
      <c r="N27" s="34">
        <f>+M27/$M$20</f>
        <v>0.354356899827869</v>
      </c>
      <c r="O27" s="34">
        <f>IF(K27=0,"",(M27-K27)/ABS(K27)+1)</f>
        <v>0.97393048039553287</v>
      </c>
      <c r="P27" s="32">
        <f>+'COLOMBIA USD'!P27+'EL SALVADOR USD'!P27+'VENEZUELA USD'!P27+'PANAMA USD'!P27</f>
        <v>690154.94231685787</v>
      </c>
      <c r="Q27" s="34">
        <f t="shared" si="8"/>
        <v>0.32861461946275505</v>
      </c>
      <c r="R27" s="34">
        <f>IF(P27=0,"",(M27-P27)/ABS(P27))</f>
        <v>9.6254965921752186E-2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144259.53352383102</v>
      </c>
      <c r="D28" s="34">
        <f t="shared" si="13"/>
        <v>0.5992674974361486</v>
      </c>
      <c r="E28" s="32">
        <f>SUM(E26:E27)</f>
        <v>127412.23416416661</v>
      </c>
      <c r="F28" s="34">
        <f>+E28/$E$20</f>
        <v>0.57780608399744826</v>
      </c>
      <c r="G28" s="34">
        <f>IF(C28=0,"",(E28-C28)/ABS(C28)+1)</f>
        <v>0.88321534842006599</v>
      </c>
      <c r="H28" s="32">
        <f>SUM(H26:H27)</f>
        <v>131030.99974973311</v>
      </c>
      <c r="I28" s="34">
        <f t="shared" si="16"/>
        <v>0.56999666840979069</v>
      </c>
      <c r="J28" s="34">
        <f>IF(H28=0,"",(E28-H28)/ABS(H28))</f>
        <v>-2.7617629358535543E-2</v>
      </c>
      <c r="K28" s="32">
        <f>SUM(K26:K27)</f>
        <v>1243756.4479006212</v>
      </c>
      <c r="L28" s="34">
        <f t="shared" si="5"/>
        <v>0.579391703460028</v>
      </c>
      <c r="M28" s="32">
        <f>SUM(M26:M27)</f>
        <v>1217728.1851291424</v>
      </c>
      <c r="N28" s="34">
        <f>+M28/$M$20</f>
        <v>0.57033900760779888</v>
      </c>
      <c r="O28" s="34">
        <f>IF(K28=0,"",(M28-K28)/ABS(K28)+1)</f>
        <v>0.97907286204191113</v>
      </c>
      <c r="P28" s="32">
        <f>SUM(P26:P27)</f>
        <v>1142612.9400274258</v>
      </c>
      <c r="Q28" s="34">
        <f t="shared" si="8"/>
        <v>0.5440507536175051</v>
      </c>
      <c r="R28" s="34">
        <f>IF(P28=0,"",(M28-P28)/ABS(P28))</f>
        <v>6.5739886597042774E-2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19228.739307636857</v>
      </c>
      <c r="D30" s="34">
        <f t="shared" si="13"/>
        <v>7.9877968563069474E-2</v>
      </c>
      <c r="E30" s="32">
        <f>+'COLOMBIA USD'!E30+'EL SALVADOR USD'!E30+'VENEZUELA USD'!E30+'PANAMA USD'!E30</f>
        <v>23830.856270069657</v>
      </c>
      <c r="F30" s="34">
        <f>+E30/$E$20</f>
        <v>0.10807136245624008</v>
      </c>
      <c r="G30" s="34">
        <f>IF(C30=0,"",(E30-C30)/ABS(C30)+1)</f>
        <v>1.2393353453289073</v>
      </c>
      <c r="H30" s="32">
        <f>+'COLOMBIA USD'!H30+'EL SALVADOR USD'!H30+'VENEZUELA USD'!H30+'PANAMA USD'!H30</f>
        <v>24707.259237283375</v>
      </c>
      <c r="I30" s="34">
        <f t="shared" si="16"/>
        <v>0.10747880637167492</v>
      </c>
      <c r="J30" s="34">
        <f>IF(H30=0,"",(E30-H30)/ABS(H30))</f>
        <v>-3.5471476572813146E-2</v>
      </c>
      <c r="K30" s="32">
        <f>+'COLOMBIA USD'!K30+'EL SALVADOR USD'!K30+'VENEZUELA USD'!K30+'PANAMA USD'!K30</f>
        <v>179304.25689322394</v>
      </c>
      <c r="L30" s="34">
        <f t="shared" si="5"/>
        <v>8.3527123830678063E-2</v>
      </c>
      <c r="M30" s="32">
        <f>+'COLOMBIA USD'!M30+'EL SALVADOR USD'!M30+'VENEZUELA USD'!M30+'PANAMA USD'!M30</f>
        <v>202037.65920780189</v>
      </c>
      <c r="N30" s="34">
        <f>+M30/$M$20</f>
        <v>9.4626994315451476E-2</v>
      </c>
      <c r="O30" s="34">
        <f>IF(K30=0,"",(M30-K30)/ABS(K30)+1)</f>
        <v>1.1267867406411647</v>
      </c>
      <c r="P30" s="32">
        <f>+'COLOMBIA USD'!P30+'EL SALVADOR USD'!P30+'VENEZUELA USD'!P30+'PANAMA USD'!P30</f>
        <v>204701.73452829025</v>
      </c>
      <c r="Q30" s="34">
        <f t="shared" si="8"/>
        <v>9.7467943023867409E-2</v>
      </c>
      <c r="R30" s="34">
        <f>IF(P30=0,"",(M30-P30)/ABS(P30))</f>
        <v>-1.3014424751345644E-2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1024.9474591373773</v>
      </c>
      <c r="D31" s="34">
        <f t="shared" si="13"/>
        <v>4.2577269164628855E-3</v>
      </c>
      <c r="E31" s="32">
        <f>+'COLOMBIA USD'!E31+'EL SALVADOR USD'!E31+'VENEZUELA USD'!E31+'PANAMA USD'!E31</f>
        <v>975.76566125290014</v>
      </c>
      <c r="F31" s="34">
        <f>+E31/$E$20</f>
        <v>4.4250329595608238E-3</v>
      </c>
      <c r="G31" s="34">
        <f>IF(C31=0,"",(E31-C31)/ABS(C31)+1)</f>
        <v>0.95201529849552491</v>
      </c>
      <c r="H31" s="32">
        <f>+'COLOMBIA USD'!H31+'EL SALVADOR USD'!H31+'VENEZUELA USD'!H31+'PANAMA USD'!H31</f>
        <v>1303.2965931863728</v>
      </c>
      <c r="I31" s="34">
        <f t="shared" si="16"/>
        <v>5.6694577427092857E-3</v>
      </c>
      <c r="J31" s="34">
        <f>IF(H31=0,"",(E31-H31)/ABS(H31))</f>
        <v>-0.25130958957907396</v>
      </c>
      <c r="K31" s="32">
        <f>+'COLOMBIA USD'!K31+'EL SALVADOR USD'!K31+'VENEZUELA USD'!K31+'PANAMA USD'!K31</f>
        <v>6466.9230897814014</v>
      </c>
      <c r="L31" s="34">
        <f t="shared" si="5"/>
        <v>3.0125524908497336E-3</v>
      </c>
      <c r="M31" s="32">
        <f>+'COLOMBIA USD'!M31+'EL SALVADOR USD'!M31+'VENEZUELA USD'!M31+'PANAMA USD'!M31</f>
        <v>10859.087006960557</v>
      </c>
      <c r="N31" s="34">
        <f>+M31/$M$20</f>
        <v>5.0859961875809002E-3</v>
      </c>
      <c r="O31" s="34">
        <f>IF(K31=0,"",(M31-K31)/ABS(K31)+1)</f>
        <v>1.6791736744355843</v>
      </c>
      <c r="P31" s="32">
        <f>+'COLOMBIA USD'!P31+'EL SALVADOR USD'!P31+'VENEZUELA USD'!P31+'PANAMA USD'!P31</f>
        <v>8390.0180360721442</v>
      </c>
      <c r="Q31" s="34">
        <f t="shared" si="8"/>
        <v>3.9948747957291178E-3</v>
      </c>
      <c r="R31" s="34">
        <f>IF(P31=0,"",(M31-P31)/ABS(P31))</f>
        <v>0.29428649143218383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20253.686766774234</v>
      </c>
      <c r="D32" s="34">
        <f t="shared" si="13"/>
        <v>8.4135695479532355E-2</v>
      </c>
      <c r="E32" s="32">
        <f>SUM(E30:E31)</f>
        <v>24806.621931322556</v>
      </c>
      <c r="F32" s="34">
        <f>+E32/$E$20</f>
        <v>0.11249639541580089</v>
      </c>
      <c r="G32" s="34">
        <f>IF(C32=0,"",(E32-C32)/ABS(C32)+1)</f>
        <v>1.2247953776009473</v>
      </c>
      <c r="H32" s="32">
        <f>SUM(H30:H31)</f>
        <v>26010.555830469748</v>
      </c>
      <c r="I32" s="34">
        <f t="shared" si="16"/>
        <v>0.11314826411438421</v>
      </c>
      <c r="J32" s="34">
        <f>IF(H32=0,"",(E32-H32)/ABS(H32))</f>
        <v>-4.6286358007653898E-2</v>
      </c>
      <c r="K32" s="32">
        <f>SUM(K30:K31)</f>
        <v>185771.17998300534</v>
      </c>
      <c r="L32" s="34">
        <f t="shared" si="5"/>
        <v>8.6539676321527786E-2</v>
      </c>
      <c r="M32" s="32">
        <f>SUM(M30:M31)</f>
        <v>212896.74621476245</v>
      </c>
      <c r="N32" s="34">
        <f>+M32/$M$20</f>
        <v>9.9712990503032381E-2</v>
      </c>
      <c r="O32" s="34">
        <f>IF(K32=0,"",(M32-K32)/ABS(K32)+1)</f>
        <v>1.146016008695421</v>
      </c>
      <c r="P32" s="32">
        <f>SUM(P30:P31)</f>
        <v>213091.7525643624</v>
      </c>
      <c r="Q32" s="34">
        <f t="shared" si="8"/>
        <v>0.10146281781959653</v>
      </c>
      <c r="R32" s="34">
        <f>IF(P32=0,"",(M32-P32)/ABS(P32))</f>
        <v>-9.1512856435421849E-4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164513.22029060527</v>
      </c>
      <c r="D34" s="34">
        <f t="shared" si="13"/>
        <v>0.68340319291568108</v>
      </c>
      <c r="E34" s="32">
        <f>E28+E32</f>
        <v>152218.85609548917</v>
      </c>
      <c r="F34" s="34">
        <f>+E34/$E$20</f>
        <v>0.69030247941324918</v>
      </c>
      <c r="G34" s="34">
        <f>IF(C34=0,"",(E34-C34)/ABS(C34)+1)</f>
        <v>0.92526822966933209</v>
      </c>
      <c r="H34" s="32">
        <f>H28+H32</f>
        <v>157041.55558020284</v>
      </c>
      <c r="I34" s="34">
        <f t="shared" si="16"/>
        <v>0.68314493252417485</v>
      </c>
      <c r="J34" s="34">
        <f>IF(H34=0,"",(E34-H34)/ABS(H34))</f>
        <v>-3.0709702708278774E-2</v>
      </c>
      <c r="K34" s="32">
        <f>K28+K32</f>
        <v>1429527.6278836266</v>
      </c>
      <c r="L34" s="34">
        <f t="shared" si="5"/>
        <v>0.66593137978155581</v>
      </c>
      <c r="M34" s="32">
        <f>M28+M32</f>
        <v>1430624.9313439047</v>
      </c>
      <c r="N34" s="34">
        <f>+M34/$M$20</f>
        <v>0.67005199811083116</v>
      </c>
      <c r="O34" s="34">
        <f>IF(K34=0,"",(M34-K34)/ABS(K34)+1)</f>
        <v>1.0007675986380917</v>
      </c>
      <c r="P34" s="32">
        <f>P28+P32</f>
        <v>1355704.6925917882</v>
      </c>
      <c r="Q34" s="34">
        <f t="shared" si="8"/>
        <v>0.64551357143710164</v>
      </c>
      <c r="R34" s="34">
        <f>IF(P34=0,"",(M34-P34)/ABS(P34))</f>
        <v>5.5262948606371341E-2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52381.451438798889</v>
      </c>
      <c r="D36" s="45">
        <f t="shared" si="13"/>
        <v>0.21759741314161804</v>
      </c>
      <c r="E36" s="69">
        <f>E24-E34</f>
        <v>43205.32330646168</v>
      </c>
      <c r="F36" s="45">
        <f>+E36/$E$20</f>
        <v>0.19593329346524604</v>
      </c>
      <c r="G36" s="45">
        <f>IF(C36=0,"",(E36-C36)/ABS(C36)+1)</f>
        <v>0.82482104103093901</v>
      </c>
      <c r="H36" s="69">
        <f>H24-H34</f>
        <v>54706.478871967585</v>
      </c>
      <c r="I36" s="45">
        <f t="shared" si="16"/>
        <v>0.23797811782715672</v>
      </c>
      <c r="J36" s="45">
        <f>IF(H36=0,"",(E36-H36)/ABS(H36))</f>
        <v>-0.21023388459020836</v>
      </c>
      <c r="K36" s="69">
        <f>K24-K34</f>
        <v>505809.21203042264</v>
      </c>
      <c r="L36" s="45">
        <f t="shared" si="5"/>
        <v>0.23562624457445006</v>
      </c>
      <c r="M36" s="69">
        <f>+M24-M34</f>
        <v>449498.52716246038</v>
      </c>
      <c r="N36" s="45">
        <f>+M36/$M$20</f>
        <v>0.21052854572452614</v>
      </c>
      <c r="O36" s="45">
        <f>IF(K36=0,"",(M36-K36)/ABS(K36)+1)</f>
        <v>0.88867208518816898</v>
      </c>
      <c r="P36" s="69">
        <f>P24-P34</f>
        <v>575054.68219198682</v>
      </c>
      <c r="Q36" s="45">
        <f t="shared" si="8"/>
        <v>0.27381007361103038</v>
      </c>
      <c r="R36" s="45">
        <f>IF(P36=0,"",(M36-P36)/ABS(P36))</f>
        <v>-0.21833776668147964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1057.3821705130783</v>
      </c>
      <c r="D38" s="34">
        <f t="shared" si="13"/>
        <v>4.3924637192334923E-3</v>
      </c>
      <c r="E38" s="32">
        <f>+'COLOMBIA USD'!E38+'EL SALVADOR USD'!E38+'VENEZUELA USD'!E38+'PANAMA USD'!E38</f>
        <v>5479.1335868384385</v>
      </c>
      <c r="F38" s="34">
        <f>+E38/$E$20</f>
        <v>2.4847509678159158E-2</v>
      </c>
      <c r="G38" s="34">
        <f>IF(C38=0,"",(E38-C38)/ABS(C38)+1)</f>
        <v>5.1817911627730338</v>
      </c>
      <c r="H38" s="32">
        <f>+'COLOMBIA USD'!H38+'EL SALVADOR USD'!H38+'VENEZUELA USD'!H38+'PANAMA USD'!H38</f>
        <v>1709.4952790655907</v>
      </c>
      <c r="I38" s="34">
        <f t="shared" si="16"/>
        <v>7.4364586669624097E-3</v>
      </c>
      <c r="J38" s="34">
        <f>IF(H38=0,"",(E38-H38)/ABS(H38))</f>
        <v>2.2051177057554265</v>
      </c>
      <c r="K38" s="32">
        <f>+'COLOMBIA USD'!K38+'EL SALVADOR USD'!K38+'VENEZUELA USD'!K38+'PANAMA USD'!K38</f>
        <v>9414.5137805573795</v>
      </c>
      <c r="L38" s="34">
        <f t="shared" si="5"/>
        <v>4.3856586116777178E-3</v>
      </c>
      <c r="M38" s="32">
        <f>+'COLOMBIA USD'!M38+'EL SALVADOR USD'!M38+'VENEZUELA USD'!M38+'PANAMA USD'!M38</f>
        <v>9074.3468164050882</v>
      </c>
      <c r="N38" s="34">
        <f>+M38/$M$20</f>
        <v>4.2500896515001831E-3</v>
      </c>
      <c r="O38" s="34">
        <f>IF(K38=0,"",(M38-K38)/ABS(K38)+1)</f>
        <v>0.96386781387958709</v>
      </c>
      <c r="P38" s="32">
        <f>+'COLOMBIA USD'!P38+'EL SALVADOR USD'!P38+'VENEZUELA USD'!P38+'PANAMA USD'!P38</f>
        <v>12925.898453920589</v>
      </c>
      <c r="Q38" s="34">
        <f t="shared" si="8"/>
        <v>6.1546167986422807E-3</v>
      </c>
      <c r="R38" s="34">
        <f>IF(P38=0,"",(M38-P38)/ABS(P38))</f>
        <v>-0.29797167688156145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15984.440514769636</v>
      </c>
      <c r="D39" s="34">
        <f t="shared" si="13"/>
        <v>6.6400850129052877E-2</v>
      </c>
      <c r="E39" s="32">
        <f>+'COLOMBIA USD'!E39+'EL SALVADOR USD'!E39+'VENEZUELA USD'!E39+'PANAMA USD'!E39</f>
        <v>7873.5368878539512</v>
      </c>
      <c r="F39" s="34">
        <f>+E39/$E$20</f>
        <v>3.5705970829446557E-2</v>
      </c>
      <c r="G39" s="34">
        <f>IF(C39=0,"",(E39-C39)/ABS(C39)+1)</f>
        <v>0.49257506889770686</v>
      </c>
      <c r="H39" s="32">
        <f>+'COLOMBIA USD'!H39+'EL SALVADOR USD'!H39+'VENEZUELA USD'!H39+'PANAMA USD'!H39</f>
        <v>7086.9013048940869</v>
      </c>
      <c r="I39" s="34">
        <f t="shared" si="16"/>
        <v>3.0828659941952826E-2</v>
      </c>
      <c r="J39" s="34">
        <f>IF(H39=0,"",(E39-H39)/ABS(H39))</f>
        <v>0.11099852377182504</v>
      </c>
      <c r="K39" s="32">
        <f>+'COLOMBIA USD'!K39+'EL SALVADOR USD'!K39+'VENEZUELA USD'!K39+'PANAMA USD'!K39</f>
        <v>124965.3230965906</v>
      </c>
      <c r="L39" s="34">
        <f t="shared" si="5"/>
        <v>5.8213866183029123E-2</v>
      </c>
      <c r="M39" s="32">
        <f>+'COLOMBIA USD'!M39+'EL SALVADOR USD'!M39+'VENEZUELA USD'!M39+'PANAMA USD'!M39</f>
        <v>69416.636505449482</v>
      </c>
      <c r="N39" s="34">
        <f>+M39/$M$20</f>
        <v>3.2512194477777208E-2</v>
      </c>
      <c r="O39" s="34">
        <f>IF(K39=0,"",(M39-K39)/ABS(K39)+1)</f>
        <v>0.55548719264939317</v>
      </c>
      <c r="P39" s="32">
        <f>+'COLOMBIA USD'!P39+'EL SALVADOR USD'!P39+'VENEZUELA USD'!P39+'PANAMA USD'!P39</f>
        <v>66700.660997048573</v>
      </c>
      <c r="Q39" s="34">
        <f t="shared" si="8"/>
        <v>3.1759263011111163E-2</v>
      </c>
      <c r="R39" s="34">
        <f>IF(P39=0,"",(M39-P39)/ABS(P39))</f>
        <v>4.0718869465492809E-2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37454.393094542327</v>
      </c>
      <c r="D41" s="34">
        <f t="shared" si="13"/>
        <v>0.15558902673179864</v>
      </c>
      <c r="E41" s="32">
        <f>E36+E38-E39</f>
        <v>40810.920005446169</v>
      </c>
      <c r="F41" s="34">
        <f>+E41/$E$20</f>
        <v>0.18507483231395866</v>
      </c>
      <c r="G41" s="34">
        <f>IF(C41=0,"",(E41-C41)/ABS(C41)+1)</f>
        <v>1.0896163743043787</v>
      </c>
      <c r="H41" s="32">
        <f>H36+H38-H39</f>
        <v>49329.072846139083</v>
      </c>
      <c r="I41" s="34">
        <f t="shared" si="16"/>
        <v>0.21458591655216627</v>
      </c>
      <c r="J41" s="34">
        <f>IF(H41=0,"",(E41-H41)/ABS(H41))</f>
        <v>-0.17268017315593268</v>
      </c>
      <c r="K41" s="32">
        <f>K36+K38-K39</f>
        <v>390258.40271438943</v>
      </c>
      <c r="L41" s="34">
        <f t="shared" si="5"/>
        <v>0.18179803700309866</v>
      </c>
      <c r="M41" s="32">
        <f>+'COLOMBIA USD'!M41+'EL SALVADOR USD'!M41+'VENEZUELA USD'!M41+'PANAMA USD'!M41</f>
        <v>-24885.053001848573</v>
      </c>
      <c r="N41" s="34">
        <f>+M41/$M$20</f>
        <v>-1.1655241790955678E-2</v>
      </c>
      <c r="O41" s="34">
        <f>IF(K41=0,"",(M41-K41)/ABS(K41)+1)</f>
        <v>-6.3765578982448501E-2</v>
      </c>
      <c r="P41" s="32">
        <f>+'COLOMBIA USD'!P41+'EL SALVADOR USD'!P41+'VENEZUELA USD'!P41+'PANAMA USD'!P41</f>
        <v>-191737.33338042724</v>
      </c>
      <c r="Q41" s="34">
        <f t="shared" si="8"/>
        <v>-9.1294993315696571E-2</v>
      </c>
      <c r="R41" s="34">
        <f>IF(P41=0,"",(M41-P41)/ABS(P41))</f>
        <v>0.87021279287078646</v>
      </c>
    </row>
    <row r="42" spans="2:29" x14ac:dyDescent="0.2">
      <c r="B42" s="3" t="s">
        <v>44</v>
      </c>
      <c r="C42" s="32">
        <f>+'COLOMBIA USD'!C42+'EL SALVADOR USD'!C42+'VENEZUELA USD'!C42+'PANAMA USD'!C42</f>
        <v>16760.482038669066</v>
      </c>
      <c r="D42" s="34">
        <f t="shared" si="13"/>
        <v>6.9624598678447169E-2</v>
      </c>
      <c r="E42" s="32">
        <f>+'COLOMBIA USD'!E42+'EL SALVADOR USD'!E42+'VENEZUELA USD'!E42+'PANAMA USD'!E42</f>
        <v>1427.8823594391254</v>
      </c>
      <c r="F42" s="34">
        <f>+E42/$E$20</f>
        <v>6.475352386125819E-3</v>
      </c>
      <c r="G42" s="34">
        <f>IF(C42=0,"",(E42-C42)/ABS(C42)+1)</f>
        <v>8.5193394566145275E-2</v>
      </c>
      <c r="H42" s="32">
        <f>+'COLOMBIA USD'!H42+'EL SALVADOR USD'!H42+'VENEZUELA USD'!H42+'PANAMA USD'!H42</f>
        <v>-572.00968976949798</v>
      </c>
      <c r="I42" s="34">
        <f t="shared" si="16"/>
        <v>-2.488293747963988E-3</v>
      </c>
      <c r="J42" s="34">
        <f>IF(H42=0,"",(E42-H42)/ABS(H42))</f>
        <v>3.4962555442277861</v>
      </c>
      <c r="K42" s="32">
        <f>+'COLOMBIA USD'!K42+'EL SALVADOR USD'!K42+'VENEZUELA USD'!K42+'PANAMA USD'!K42</f>
        <v>136388.24560848798</v>
      </c>
      <c r="L42" s="34">
        <f t="shared" si="5"/>
        <v>6.3535122240701403E-2</v>
      </c>
      <c r="M42" s="32">
        <f>+'COLOMBIA USD'!M42+'EL SALVADOR USD'!M42+'VENEZUELA USD'!M42+'PANAMA USD'!M42</f>
        <v>34073.533949776793</v>
      </c>
      <c r="N42" s="34">
        <f>+M42/$M$20</f>
        <v>1.5958787663722659E-2</v>
      </c>
      <c r="O42" s="34">
        <f>IF(K42=0,"",(M42-K42)/ABS(K42)+1)</f>
        <v>0.24982749648079827</v>
      </c>
      <c r="P42" s="32">
        <f>+'COLOMBIA USD'!P42+'EL SALVADOR USD'!P42+'VENEZUELA USD'!P42+'PANAMA USD'!P42</f>
        <v>77803.455193400689</v>
      </c>
      <c r="Q42" s="34">
        <f t="shared" si="8"/>
        <v>3.7045815734416086E-2</v>
      </c>
      <c r="R42" s="34">
        <f>IF(P42=0,"",(M42-P42)/ABS(P42))</f>
        <v>-0.56205628830907084</v>
      </c>
    </row>
    <row r="43" spans="2:29" x14ac:dyDescent="0.2">
      <c r="B43" s="20" t="s">
        <v>59</v>
      </c>
      <c r="C43" s="69">
        <f>+C41-C42</f>
        <v>20693.911055873261</v>
      </c>
      <c r="D43" s="45">
        <f t="shared" si="13"/>
        <v>8.5964428053351472E-2</v>
      </c>
      <c r="E43" s="69">
        <f>E41-E42</f>
        <v>39383.03764600704</v>
      </c>
      <c r="F43" s="45">
        <f>+E43/$E$20</f>
        <v>0.17859947992783282</v>
      </c>
      <c r="G43" s="45">
        <f>IF(C43=0,"",(E43-C43)/ABS(C43)+1)</f>
        <v>1.9031220120582044</v>
      </c>
      <c r="H43" s="69">
        <f>+H41-H42</f>
        <v>49901.082535908579</v>
      </c>
      <c r="I43" s="45">
        <f t="shared" si="16"/>
        <v>0.21707421030013027</v>
      </c>
      <c r="J43" s="45">
        <f>IF(H43=0,"",(E43-H43)/ABS(H43))</f>
        <v>-0.21077789008550676</v>
      </c>
      <c r="K43" s="69">
        <f>+K41-K42</f>
        <v>253870.15710590145</v>
      </c>
      <c r="L43" s="45">
        <f t="shared" si="5"/>
        <v>0.11826291476239727</v>
      </c>
      <c r="M43" s="69">
        <f>+M41-M42</f>
        <v>-58958.586951625366</v>
      </c>
      <c r="N43" s="45">
        <f>+M43/$M$20</f>
        <v>-2.7614029454678335E-2</v>
      </c>
      <c r="O43" s="45">
        <f>IF(K43=0,"",(M43-K43)/ABS(K43)+1)</f>
        <v>-0.23223913997512868</v>
      </c>
      <c r="P43" s="69">
        <f>P41-P42</f>
        <v>-269540.78857382794</v>
      </c>
      <c r="Q43" s="45">
        <f t="shared" si="8"/>
        <v>-0.12834080905011266</v>
      </c>
      <c r="R43" s="45">
        <f>IF(P43=0,"",(M43-P43)/ABS(P43))</f>
        <v>0.78126283868359148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37876.474505814527</v>
      </c>
      <c r="D45" s="34">
        <f t="shared" si="13"/>
        <v>0.15734239210647333</v>
      </c>
      <c r="E45" s="32">
        <f>+'COLOMBIA USD'!E45+'EL SALVADOR USD'!E45+'VENEZUELA USD'!E45+'PANAMA USD'!E45</f>
        <v>21547.194448280854</v>
      </c>
      <c r="F45" s="34">
        <f>+E45/$E$20</f>
        <v>9.7715106614103944E-2</v>
      </c>
      <c r="G45" s="34">
        <f>IF(C45=0,"",(E45-C45)/ABS(C45)+1)</f>
        <v>0.56888067671063425</v>
      </c>
      <c r="H45" s="32">
        <f>+'COLOMBIA USD'!H45+'EL SALVADOR USD'!H45+'VENEZUELA USD'!H45+'PANAMA USD'!H45</f>
        <v>18283.359788829312</v>
      </c>
      <c r="I45" s="34">
        <f t="shared" si="16"/>
        <v>7.9534264310545097E-2</v>
      </c>
      <c r="J45" s="34">
        <f>IF(H45=0,"",(E45-H45)/ABS(H45))</f>
        <v>0.1785139436705537</v>
      </c>
      <c r="K45" s="32">
        <f>+'COLOMBIA USD'!K45+'EL SALVADOR USD'!K45+'VENEZUELA USD'!K45+'PANAMA USD'!K45</f>
        <v>346570.58286214876</v>
      </c>
      <c r="L45" s="34">
        <f t="shared" si="5"/>
        <v>0.16144649598606906</v>
      </c>
      <c r="M45" s="32">
        <f>+'COLOMBIA USD'!M45+'EL SALVADOR USD'!M45+'VENEZUELA USD'!M45+'PANAMA USD'!M45</f>
        <v>261524.12352626072</v>
      </c>
      <c r="N45" s="34">
        <f>+M45/$M$20</f>
        <v>0.12248826207603015</v>
      </c>
      <c r="O45" s="34">
        <f>IF(K45=0,"",(M45-K45)/ABS(K45)+1)</f>
        <v>0.75460566031446485</v>
      </c>
      <c r="P45" s="32">
        <f>+'COLOMBIA USD'!P45+'EL SALVADOR USD'!P45+'VENEZUELA USD'!P45+'PANAMA USD'!P45</f>
        <v>403610.4297657056</v>
      </c>
      <c r="Q45" s="34">
        <f t="shared" si="8"/>
        <v>0.19217755268607986</v>
      </c>
      <c r="R45" s="34">
        <f>IF(P45=0,"",(M45-P45)/ABS(P45))</f>
        <v>-0.35203824222759916</v>
      </c>
    </row>
    <row r="46" spans="2:29" x14ac:dyDescent="0.2">
      <c r="B46" s="3" t="s">
        <v>35</v>
      </c>
      <c r="C46" s="32">
        <f>+'COLOMBIA USD'!C46+'EL SALVADOR USD'!C46+'VENEZUELA USD'!C46+'PANAMA USD'!C46</f>
        <v>104162.34850804669</v>
      </c>
      <c r="D46" s="34">
        <f t="shared" si="13"/>
        <v>0.43270006766781488</v>
      </c>
      <c r="E46" s="32">
        <f>+'COLOMBIA USD'!E46+'EL SALVADOR USD'!E46+'VENEZUELA USD'!E46+'PANAMA USD'!E46</f>
        <v>103592.66147210648</v>
      </c>
      <c r="F46" s="34">
        <f>+E46/$E$20</f>
        <v>0.46978589182376335</v>
      </c>
      <c r="G46" s="34">
        <f>IF(C46=0,"",(E46-C46)/ABS(C46)+1)</f>
        <v>0.99453077773206888</v>
      </c>
      <c r="H46" s="32">
        <f>+'COLOMBIA USD'!H46+'EL SALVADOR USD'!H46+'VENEZUELA USD'!H46+'PANAMA USD'!H46</f>
        <v>110917.73507997998</v>
      </c>
      <c r="I46" s="34">
        <f t="shared" si="16"/>
        <v>0.48250215280279224</v>
      </c>
      <c r="J46" s="34">
        <f>IF(H46=0,"",(E46-H46)/ABS(H46))</f>
        <v>-6.6040598490327687E-2</v>
      </c>
      <c r="K46" s="32">
        <f>+'COLOMBIA USD'!K46+'EL SALVADOR USD'!K46+'VENEZUELA USD'!K46+'PANAMA USD'!K46</f>
        <v>930510.93639776355</v>
      </c>
      <c r="L46" s="34">
        <f t="shared" si="5"/>
        <v>0.43346936406858622</v>
      </c>
      <c r="M46" s="32">
        <f>+'COLOMBIA USD'!M46+'EL SALVADOR USD'!M46+'VENEZUELA USD'!M46+'PANAMA USD'!M46</f>
        <v>990906.93105905131</v>
      </c>
      <c r="N46" s="34">
        <f>+M46/$M$20</f>
        <v>0.46410429075514364</v>
      </c>
      <c r="O46" s="34">
        <f>IF(K46=0,"",(M46-K46)/ABS(K46)+1)</f>
        <v>1.064906270629226</v>
      </c>
      <c r="P46" s="32">
        <f>+'COLOMBIA USD'!P46+'EL SALVADOR USD'!P46+'VENEZUELA USD'!P46+'PANAMA USD'!P46</f>
        <v>926922.69831450924</v>
      </c>
      <c r="Q46" s="34">
        <f t="shared" si="8"/>
        <v>0.44135067519108934</v>
      </c>
      <c r="R46" s="34">
        <f>IF(P46=0,"",(M46-P46)/ABS(P46))</f>
        <v>6.9028661031701175E-2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E931D-1129-422F-8FC4-F49D492AD0A4}">
  <dimension ref="A6:V594"/>
  <sheetViews>
    <sheetView topLeftCell="A39" workbookViewId="0">
      <selection activeCell="A60" sqref="A60:A87"/>
    </sheetView>
  </sheetViews>
  <sheetFormatPr baseColWidth="10" defaultColWidth="11.42578125" defaultRowHeight="12" x14ac:dyDescent="0.2"/>
  <cols>
    <col min="1" max="1" width="40.85546875" style="121" customWidth="1"/>
    <col min="2" max="2" width="44.42578125" style="121" customWidth="1"/>
    <col min="3" max="3" width="29.140625" style="121" customWidth="1"/>
    <col min="4" max="4" width="8" style="121" customWidth="1"/>
    <col min="5" max="5" width="22.85546875" style="121" bestFit="1" customWidth="1"/>
    <col min="6" max="6" width="36.42578125" style="121" bestFit="1" customWidth="1"/>
    <col min="7" max="7" width="13.42578125" style="123" bestFit="1" customWidth="1"/>
    <col min="8" max="18" width="30.5703125" style="123" bestFit="1" customWidth="1"/>
    <col min="19" max="19" width="14.140625" style="123" bestFit="1" customWidth="1"/>
    <col min="20" max="22" width="11.42578125" style="123"/>
    <col min="23" max="16384" width="11.42578125" style="121"/>
  </cols>
  <sheetData>
    <row r="6" spans="1:2" x14ac:dyDescent="0.2">
      <c r="A6" s="119" t="s">
        <v>64</v>
      </c>
      <c r="B6" s="120" t="s">
        <v>155</v>
      </c>
    </row>
    <row r="7" spans="1:2" x14ac:dyDescent="0.2">
      <c r="A7" s="119" t="s">
        <v>66</v>
      </c>
      <c r="B7" s="120" t="s">
        <v>156</v>
      </c>
    </row>
    <row r="8" spans="1:2" x14ac:dyDescent="0.2">
      <c r="A8" s="119" t="s">
        <v>68</v>
      </c>
      <c r="B8" s="120" t="s">
        <v>157</v>
      </c>
    </row>
    <row r="9" spans="1:2" x14ac:dyDescent="0.2">
      <c r="A9" s="119" t="s">
        <v>77</v>
      </c>
      <c r="B9" s="120" t="s">
        <v>158</v>
      </c>
    </row>
    <row r="10" spans="1:2" x14ac:dyDescent="0.2">
      <c r="A10" s="119" t="s">
        <v>159</v>
      </c>
      <c r="B10" s="120" t="s">
        <v>160</v>
      </c>
    </row>
    <row r="11" spans="1:2" x14ac:dyDescent="0.2">
      <c r="A11" s="119">
        <v>4170250500</v>
      </c>
      <c r="B11" s="120" t="s">
        <v>161</v>
      </c>
    </row>
    <row r="12" spans="1:2" x14ac:dyDescent="0.2">
      <c r="A12" s="119" t="s">
        <v>79</v>
      </c>
      <c r="B12" s="120" t="s">
        <v>162</v>
      </c>
    </row>
    <row r="13" spans="1:2" x14ac:dyDescent="0.2">
      <c r="A13" s="119" t="s">
        <v>163</v>
      </c>
      <c r="B13" s="120" t="s">
        <v>164</v>
      </c>
    </row>
    <row r="14" spans="1:2" x14ac:dyDescent="0.2">
      <c r="A14" s="119" t="s">
        <v>73</v>
      </c>
      <c r="B14" s="120" t="s">
        <v>165</v>
      </c>
    </row>
    <row r="15" spans="1:2" x14ac:dyDescent="0.2">
      <c r="A15" s="119">
        <v>4155951000</v>
      </c>
      <c r="B15" s="120" t="s">
        <v>166</v>
      </c>
    </row>
    <row r="16" spans="1:2" x14ac:dyDescent="0.2">
      <c r="A16" s="119">
        <v>4155951500</v>
      </c>
      <c r="B16" s="120" t="s">
        <v>167</v>
      </c>
    </row>
    <row r="33" spans="1:19" x14ac:dyDescent="0.2">
      <c r="B33" s="122" t="s">
        <v>168</v>
      </c>
      <c r="D33" s="121" t="s">
        <v>169</v>
      </c>
    </row>
    <row r="34" spans="1:19" x14ac:dyDescent="0.2">
      <c r="A34" s="121" t="s">
        <v>170</v>
      </c>
      <c r="B34" s="122" t="s">
        <v>171</v>
      </c>
    </row>
    <row r="35" spans="1:19" x14ac:dyDescent="0.2">
      <c r="A35" s="121" t="s">
        <v>172</v>
      </c>
      <c r="B35" s="122" t="s">
        <v>173</v>
      </c>
    </row>
    <row r="36" spans="1:19" x14ac:dyDescent="0.2">
      <c r="A36" s="121" t="s">
        <v>174</v>
      </c>
      <c r="B36" s="122" t="s">
        <v>175</v>
      </c>
    </row>
    <row r="37" spans="1:19" x14ac:dyDescent="0.2">
      <c r="A37" s="121" t="s">
        <v>176</v>
      </c>
      <c r="B37" s="122" t="s">
        <v>177</v>
      </c>
    </row>
    <row r="38" spans="1:19" x14ac:dyDescent="0.2">
      <c r="B38" s="122"/>
    </row>
    <row r="39" spans="1:19" x14ac:dyDescent="0.2">
      <c r="B39" s="122"/>
    </row>
    <row r="40" spans="1:19" x14ac:dyDescent="0.2">
      <c r="B40" s="122"/>
    </row>
    <row r="41" spans="1:19" x14ac:dyDescent="0.2">
      <c r="B41" s="122" t="s">
        <v>178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</row>
    <row r="42" spans="1:19" x14ac:dyDescent="0.2">
      <c r="A42" s="124"/>
      <c r="B42" s="121" t="s">
        <v>179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</row>
    <row r="43" spans="1:19" x14ac:dyDescent="0.2">
      <c r="A43" s="124" t="s">
        <v>180</v>
      </c>
      <c r="B43" s="120" t="s">
        <v>181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</row>
    <row r="44" spans="1:19" x14ac:dyDescent="0.2">
      <c r="A44" s="121" t="s">
        <v>182</v>
      </c>
      <c r="B44" s="120" t="s">
        <v>183</v>
      </c>
      <c r="G44" s="121"/>
    </row>
    <row r="45" spans="1:19" x14ac:dyDescent="0.2">
      <c r="A45" s="124" t="s">
        <v>184</v>
      </c>
      <c r="B45" s="120" t="s">
        <v>185</v>
      </c>
      <c r="G45" s="121"/>
    </row>
    <row r="46" spans="1:19" x14ac:dyDescent="0.2">
      <c r="A46" s="119">
        <v>5295400000</v>
      </c>
      <c r="B46" s="120" t="s">
        <v>186</v>
      </c>
      <c r="G46" s="121"/>
    </row>
    <row r="47" spans="1:19" x14ac:dyDescent="0.2">
      <c r="A47" s="119">
        <v>5235500000</v>
      </c>
      <c r="B47" s="120" t="s">
        <v>187</v>
      </c>
    </row>
    <row r="48" spans="1:19" x14ac:dyDescent="0.2">
      <c r="A48" s="124" t="s">
        <v>188</v>
      </c>
      <c r="B48" s="120" t="s">
        <v>189</v>
      </c>
    </row>
    <row r="49" spans="1:5" x14ac:dyDescent="0.2">
      <c r="A49" s="124" t="s">
        <v>190</v>
      </c>
      <c r="B49" s="120" t="s">
        <v>191</v>
      </c>
    </row>
    <row r="50" spans="1:5" x14ac:dyDescent="0.2">
      <c r="A50" s="124" t="s">
        <v>192</v>
      </c>
      <c r="B50" s="120" t="s">
        <v>193</v>
      </c>
    </row>
    <row r="51" spans="1:5" x14ac:dyDescent="0.2">
      <c r="A51" s="125">
        <v>5295950300</v>
      </c>
      <c r="B51" s="120" t="s">
        <v>194</v>
      </c>
    </row>
    <row r="52" spans="1:5" x14ac:dyDescent="0.2">
      <c r="A52" s="124" t="s">
        <v>195</v>
      </c>
      <c r="B52" s="120" t="s">
        <v>196</v>
      </c>
    </row>
    <row r="53" spans="1:5" x14ac:dyDescent="0.2">
      <c r="A53" s="119">
        <v>5240200100</v>
      </c>
      <c r="B53" s="120" t="s">
        <v>197</v>
      </c>
    </row>
    <row r="54" spans="1:5" x14ac:dyDescent="0.2">
      <c r="A54" s="119">
        <v>5235150000</v>
      </c>
      <c r="B54" s="120" t="s">
        <v>198</v>
      </c>
    </row>
    <row r="55" spans="1:5" x14ac:dyDescent="0.2">
      <c r="A55" s="119">
        <v>5235100000</v>
      </c>
      <c r="B55" s="120" t="s">
        <v>199</v>
      </c>
    </row>
    <row r="56" spans="1:5" x14ac:dyDescent="0.2">
      <c r="A56" s="124" t="s">
        <v>200</v>
      </c>
      <c r="B56" s="120" t="s">
        <v>201</v>
      </c>
    </row>
    <row r="57" spans="1:5" x14ac:dyDescent="0.2">
      <c r="A57" s="119">
        <v>5299100000</v>
      </c>
      <c r="B57" s="120" t="s">
        <v>202</v>
      </c>
    </row>
    <row r="58" spans="1:5" x14ac:dyDescent="0.2">
      <c r="A58" s="125" t="s">
        <v>203</v>
      </c>
      <c r="B58" s="126" t="s">
        <v>204</v>
      </c>
    </row>
    <row r="59" spans="1:5" x14ac:dyDescent="0.2">
      <c r="A59" s="124"/>
      <c r="B59" s="126" t="s">
        <v>205</v>
      </c>
      <c r="C59" s="121" t="str">
        <f>+Paramet!B4</f>
        <v>202409</v>
      </c>
    </row>
    <row r="60" spans="1:5" x14ac:dyDescent="0.2">
      <c r="A60" s="124" t="s">
        <v>206</v>
      </c>
      <c r="B60" s="120" t="s">
        <v>207</v>
      </c>
      <c r="C60" s="127"/>
      <c r="D60" s="127"/>
      <c r="E60" s="128"/>
    </row>
    <row r="61" spans="1:5" x14ac:dyDescent="0.2">
      <c r="A61" s="121" t="s">
        <v>208</v>
      </c>
      <c r="B61" s="120" t="s">
        <v>209</v>
      </c>
      <c r="C61" s="127"/>
      <c r="D61" s="127"/>
      <c r="E61" s="128"/>
    </row>
    <row r="62" spans="1:5" x14ac:dyDescent="0.2">
      <c r="A62" s="124" t="s">
        <v>210</v>
      </c>
      <c r="B62" s="120" t="s">
        <v>211</v>
      </c>
      <c r="C62" s="127"/>
      <c r="D62" s="127"/>
      <c r="E62" s="128"/>
    </row>
    <row r="63" spans="1:5" x14ac:dyDescent="0.2">
      <c r="A63" s="124" t="s">
        <v>212</v>
      </c>
      <c r="B63" s="120" t="s">
        <v>213</v>
      </c>
      <c r="C63" s="127"/>
      <c r="D63" s="127"/>
      <c r="E63" s="128"/>
    </row>
    <row r="64" spans="1:5" x14ac:dyDescent="0.2">
      <c r="A64" s="124" t="s">
        <v>214</v>
      </c>
      <c r="B64" s="120" t="s">
        <v>215</v>
      </c>
      <c r="C64" s="127"/>
      <c r="D64" s="127"/>
      <c r="E64" s="128"/>
    </row>
    <row r="65" spans="1:5" x14ac:dyDescent="0.2">
      <c r="A65" s="124" t="s">
        <v>216</v>
      </c>
      <c r="B65" s="120" t="s">
        <v>217</v>
      </c>
      <c r="C65" s="127"/>
      <c r="D65" s="127"/>
      <c r="E65" s="128"/>
    </row>
    <row r="66" spans="1:5" x14ac:dyDescent="0.2">
      <c r="A66" s="124" t="s">
        <v>218</v>
      </c>
      <c r="B66" s="120" t="s">
        <v>219</v>
      </c>
      <c r="C66" s="127"/>
      <c r="D66" s="127"/>
      <c r="E66" s="128"/>
    </row>
    <row r="67" spans="1:5" x14ac:dyDescent="0.2">
      <c r="A67" s="124" t="s">
        <v>220</v>
      </c>
      <c r="B67" s="120" t="s">
        <v>221</v>
      </c>
      <c r="C67" s="127"/>
      <c r="D67" s="127"/>
      <c r="E67" s="128"/>
    </row>
    <row r="68" spans="1:5" x14ac:dyDescent="0.2">
      <c r="A68" s="119">
        <v>5265100000</v>
      </c>
      <c r="B68" s="120" t="s">
        <v>222</v>
      </c>
      <c r="C68" s="127"/>
      <c r="D68" s="127"/>
      <c r="E68" s="128"/>
    </row>
    <row r="69" spans="1:5" x14ac:dyDescent="0.2">
      <c r="A69" s="124" t="s">
        <v>223</v>
      </c>
      <c r="B69" s="120" t="s">
        <v>224</v>
      </c>
      <c r="C69" s="127"/>
      <c r="D69" s="127"/>
      <c r="E69" s="128"/>
    </row>
    <row r="70" spans="1:5" x14ac:dyDescent="0.2">
      <c r="A70" s="124" t="s">
        <v>225</v>
      </c>
      <c r="B70" s="120" t="s">
        <v>226</v>
      </c>
      <c r="C70" s="127"/>
      <c r="D70" s="127"/>
      <c r="E70" s="128"/>
    </row>
    <row r="71" spans="1:5" x14ac:dyDescent="0.2">
      <c r="A71" s="124" t="s">
        <v>227</v>
      </c>
      <c r="B71" s="120" t="s">
        <v>228</v>
      </c>
      <c r="C71" s="127"/>
      <c r="D71" s="127"/>
      <c r="E71" s="128"/>
    </row>
    <row r="72" spans="1:5" x14ac:dyDescent="0.2">
      <c r="A72" s="124" t="s">
        <v>229</v>
      </c>
      <c r="B72" s="120" t="s">
        <v>230</v>
      </c>
      <c r="C72" s="127"/>
      <c r="D72" s="127"/>
      <c r="E72" s="128"/>
    </row>
    <row r="73" spans="1:5" x14ac:dyDescent="0.2">
      <c r="A73" s="119" t="s">
        <v>231</v>
      </c>
      <c r="B73" s="120" t="s">
        <v>232</v>
      </c>
      <c r="C73" s="127"/>
      <c r="D73" s="127"/>
      <c r="E73" s="128"/>
    </row>
    <row r="74" spans="1:5" x14ac:dyDescent="0.2">
      <c r="A74" s="124" t="s">
        <v>233</v>
      </c>
      <c r="B74" s="120" t="s">
        <v>234</v>
      </c>
      <c r="C74" s="127"/>
      <c r="D74" s="127"/>
      <c r="E74" s="128"/>
    </row>
    <row r="75" spans="1:5" x14ac:dyDescent="0.2">
      <c r="A75" s="119">
        <v>5265150000</v>
      </c>
      <c r="B75" s="120" t="s">
        <v>235</v>
      </c>
      <c r="C75" s="127"/>
      <c r="D75" s="127"/>
      <c r="E75" s="128"/>
    </row>
    <row r="76" spans="1:5" x14ac:dyDescent="0.2">
      <c r="A76" s="124" t="s">
        <v>236</v>
      </c>
      <c r="B76" s="120" t="s">
        <v>237</v>
      </c>
      <c r="C76" s="127"/>
      <c r="D76" s="127"/>
      <c r="E76" s="128"/>
    </row>
    <row r="77" spans="1:5" x14ac:dyDescent="0.2">
      <c r="A77" s="124" t="s">
        <v>238</v>
      </c>
      <c r="B77" s="120" t="s">
        <v>239</v>
      </c>
      <c r="C77" s="127"/>
      <c r="D77" s="127"/>
      <c r="E77" s="128"/>
    </row>
    <row r="78" spans="1:5" x14ac:dyDescent="0.2">
      <c r="A78" s="124" t="s">
        <v>240</v>
      </c>
      <c r="B78" s="120" t="s">
        <v>241</v>
      </c>
      <c r="C78" s="127"/>
      <c r="D78" s="127"/>
      <c r="E78" s="128"/>
    </row>
    <row r="79" spans="1:5" x14ac:dyDescent="0.2">
      <c r="A79" s="124" t="s">
        <v>242</v>
      </c>
      <c r="B79" s="120" t="s">
        <v>243</v>
      </c>
      <c r="C79" s="127"/>
      <c r="D79" s="127"/>
      <c r="E79" s="128"/>
    </row>
    <row r="80" spans="1:5" x14ac:dyDescent="0.2">
      <c r="A80" s="124" t="s">
        <v>244</v>
      </c>
      <c r="B80" s="120" t="s">
        <v>245</v>
      </c>
      <c r="C80" s="127"/>
      <c r="D80" s="127"/>
      <c r="E80" s="128"/>
    </row>
    <row r="81" spans="1:5" x14ac:dyDescent="0.2">
      <c r="A81" s="124" t="s">
        <v>246</v>
      </c>
      <c r="B81" s="120" t="s">
        <v>247</v>
      </c>
      <c r="C81" s="127"/>
      <c r="D81" s="127"/>
      <c r="E81" s="128"/>
    </row>
    <row r="82" spans="1:5" x14ac:dyDescent="0.2">
      <c r="A82" s="119" t="s">
        <v>248</v>
      </c>
      <c r="B82" s="120" t="s">
        <v>249</v>
      </c>
      <c r="C82" s="127"/>
      <c r="D82" s="127"/>
      <c r="E82" s="128"/>
    </row>
    <row r="83" spans="1:5" x14ac:dyDescent="0.2">
      <c r="A83" s="124" t="s">
        <v>250</v>
      </c>
      <c r="B83" s="120" t="s">
        <v>251</v>
      </c>
      <c r="C83" s="127"/>
      <c r="D83" s="127"/>
      <c r="E83" s="128"/>
    </row>
    <row r="84" spans="1:5" x14ac:dyDescent="0.2">
      <c r="A84" s="124" t="s">
        <v>252</v>
      </c>
      <c r="B84" s="120" t="s">
        <v>253</v>
      </c>
      <c r="C84" s="127"/>
      <c r="D84" s="127"/>
      <c r="E84" s="128"/>
    </row>
    <row r="85" spans="1:5" x14ac:dyDescent="0.2">
      <c r="A85" s="124" t="s">
        <v>254</v>
      </c>
      <c r="B85" s="120" t="s">
        <v>255</v>
      </c>
      <c r="C85" s="127"/>
      <c r="D85" s="127"/>
      <c r="E85" s="128"/>
    </row>
    <row r="86" spans="1:5" x14ac:dyDescent="0.2">
      <c r="A86" s="129" t="s">
        <v>256</v>
      </c>
      <c r="B86" s="120" t="s">
        <v>257</v>
      </c>
      <c r="C86" s="127"/>
      <c r="D86" s="127"/>
      <c r="E86" s="128"/>
    </row>
    <row r="87" spans="1:5" x14ac:dyDescent="0.2">
      <c r="A87" s="124" t="s">
        <v>258</v>
      </c>
      <c r="B87" s="120" t="s">
        <v>259</v>
      </c>
      <c r="C87" s="127"/>
      <c r="D87" s="127"/>
      <c r="E87" s="128"/>
    </row>
    <row r="88" spans="1:5" x14ac:dyDescent="0.2">
      <c r="A88" s="124"/>
      <c r="B88" s="126" t="s">
        <v>260</v>
      </c>
      <c r="C88" s="128"/>
      <c r="D88" s="130"/>
      <c r="E88" s="131"/>
    </row>
    <row r="89" spans="1:5" x14ac:dyDescent="0.2">
      <c r="A89" s="124" t="s">
        <v>261</v>
      </c>
      <c r="B89" s="120" t="s">
        <v>262</v>
      </c>
    </row>
    <row r="90" spans="1:5" x14ac:dyDescent="0.2">
      <c r="A90" s="119">
        <v>5105180100</v>
      </c>
      <c r="B90" s="120" t="s">
        <v>263</v>
      </c>
    </row>
    <row r="91" spans="1:5" x14ac:dyDescent="0.2">
      <c r="A91" s="121" t="s">
        <v>264</v>
      </c>
      <c r="B91" s="120" t="s">
        <v>265</v>
      </c>
    </row>
    <row r="92" spans="1:5" x14ac:dyDescent="0.2">
      <c r="A92" s="119">
        <v>5105480100</v>
      </c>
      <c r="B92" s="120" t="s">
        <v>266</v>
      </c>
    </row>
    <row r="93" spans="1:5" x14ac:dyDescent="0.2">
      <c r="A93" s="124" t="s">
        <v>267</v>
      </c>
      <c r="B93" s="120" t="s">
        <v>268</v>
      </c>
    </row>
    <row r="94" spans="1:5" x14ac:dyDescent="0.2">
      <c r="A94" s="124" t="s">
        <v>269</v>
      </c>
      <c r="B94" s="120" t="s">
        <v>270</v>
      </c>
    </row>
    <row r="95" spans="1:5" x14ac:dyDescent="0.2">
      <c r="A95" s="124"/>
      <c r="B95" s="126" t="s">
        <v>271</v>
      </c>
    </row>
    <row r="96" spans="1:5" x14ac:dyDescent="0.2">
      <c r="A96" s="119">
        <v>5105180000</v>
      </c>
      <c r="B96" s="120" t="s">
        <v>272</v>
      </c>
      <c r="C96" s="127"/>
      <c r="E96" s="128"/>
    </row>
    <row r="97" spans="1:5" x14ac:dyDescent="0.2">
      <c r="A97" s="124" t="s">
        <v>273</v>
      </c>
      <c r="B97" s="120" t="s">
        <v>274</v>
      </c>
      <c r="C97" s="127"/>
      <c r="E97" s="128"/>
    </row>
    <row r="98" spans="1:5" x14ac:dyDescent="0.2">
      <c r="A98" s="124" t="s">
        <v>275</v>
      </c>
      <c r="B98" s="120" t="s">
        <v>276</v>
      </c>
      <c r="C98" s="127"/>
      <c r="E98" s="128"/>
    </row>
    <row r="99" spans="1:5" x14ac:dyDescent="0.2">
      <c r="A99" s="124" t="s">
        <v>277</v>
      </c>
      <c r="B99" s="120" t="s">
        <v>278</v>
      </c>
      <c r="C99" s="127"/>
      <c r="E99" s="128"/>
    </row>
    <row r="100" spans="1:5" x14ac:dyDescent="0.2">
      <c r="A100" s="119" t="s">
        <v>279</v>
      </c>
      <c r="B100" s="120" t="s">
        <v>280</v>
      </c>
      <c r="C100" s="127"/>
      <c r="E100" s="128"/>
    </row>
    <row r="101" spans="1:5" x14ac:dyDescent="0.2">
      <c r="A101" s="124" t="s">
        <v>281</v>
      </c>
      <c r="B101" s="120" t="s">
        <v>282</v>
      </c>
      <c r="C101" s="127"/>
      <c r="E101" s="128"/>
    </row>
    <row r="102" spans="1:5" x14ac:dyDescent="0.2">
      <c r="A102" s="124" t="s">
        <v>283</v>
      </c>
      <c r="B102" s="120" t="s">
        <v>284</v>
      </c>
      <c r="C102" s="127"/>
      <c r="E102" s="128"/>
    </row>
    <row r="103" spans="1:5" x14ac:dyDescent="0.2">
      <c r="A103" s="119" t="s">
        <v>285</v>
      </c>
      <c r="B103" s="120" t="s">
        <v>286</v>
      </c>
      <c r="C103" s="127"/>
      <c r="E103" s="128"/>
    </row>
    <row r="104" spans="1:5" x14ac:dyDescent="0.2">
      <c r="A104" s="119" t="s">
        <v>287</v>
      </c>
      <c r="B104" s="120" t="s">
        <v>288</v>
      </c>
      <c r="C104" s="127"/>
      <c r="E104" s="128"/>
    </row>
    <row r="105" spans="1:5" x14ac:dyDescent="0.2">
      <c r="A105" s="119">
        <v>5120100000</v>
      </c>
      <c r="B105" s="120" t="s">
        <v>289</v>
      </c>
      <c r="C105" s="127"/>
      <c r="E105" s="128"/>
    </row>
    <row r="106" spans="1:5" x14ac:dyDescent="0.2">
      <c r="A106" s="124" t="s">
        <v>290</v>
      </c>
      <c r="B106" s="120" t="s">
        <v>291</v>
      </c>
      <c r="C106" s="127"/>
      <c r="E106" s="128"/>
    </row>
    <row r="107" spans="1:5" x14ac:dyDescent="0.2">
      <c r="A107" s="124" t="s">
        <v>292</v>
      </c>
      <c r="B107" s="120" t="s">
        <v>293</v>
      </c>
      <c r="C107" s="127"/>
      <c r="E107" s="128"/>
    </row>
    <row r="108" spans="1:5" x14ac:dyDescent="0.2">
      <c r="A108" s="124" t="s">
        <v>294</v>
      </c>
      <c r="B108" s="120" t="s">
        <v>295</v>
      </c>
      <c r="C108" s="127"/>
      <c r="E108" s="128"/>
    </row>
    <row r="109" spans="1:5" x14ac:dyDescent="0.2">
      <c r="A109" s="124" t="s">
        <v>296</v>
      </c>
      <c r="B109" s="120" t="s">
        <v>297</v>
      </c>
      <c r="C109" s="127"/>
      <c r="E109" s="128"/>
    </row>
    <row r="110" spans="1:5" x14ac:dyDescent="0.2">
      <c r="A110" s="124" t="s">
        <v>298</v>
      </c>
      <c r="B110" s="120" t="s">
        <v>299</v>
      </c>
      <c r="C110" s="127"/>
      <c r="E110" s="128"/>
    </row>
    <row r="111" spans="1:5" x14ac:dyDescent="0.2">
      <c r="A111" s="124" t="s">
        <v>300</v>
      </c>
      <c r="B111" s="120" t="s">
        <v>301</v>
      </c>
      <c r="C111" s="127"/>
      <c r="E111" s="128"/>
    </row>
    <row r="112" spans="1:5" x14ac:dyDescent="0.2">
      <c r="A112" s="124" t="s">
        <v>302</v>
      </c>
      <c r="B112" s="120" t="s">
        <v>303</v>
      </c>
      <c r="C112" s="127"/>
      <c r="E112" s="128"/>
    </row>
    <row r="113" spans="1:11" x14ac:dyDescent="0.2">
      <c r="A113" s="124" t="s">
        <v>304</v>
      </c>
      <c r="B113" s="120" t="s">
        <v>305</v>
      </c>
      <c r="C113" s="127"/>
      <c r="E113" s="128"/>
    </row>
    <row r="114" spans="1:11" x14ac:dyDescent="0.2">
      <c r="A114" s="124" t="s">
        <v>306</v>
      </c>
      <c r="B114" s="120" t="s">
        <v>307</v>
      </c>
      <c r="C114" s="127"/>
      <c r="E114" s="128"/>
    </row>
    <row r="115" spans="1:11" x14ac:dyDescent="0.2">
      <c r="A115" s="124" t="s">
        <v>308</v>
      </c>
      <c r="B115" s="120" t="s">
        <v>309</v>
      </c>
      <c r="C115" s="127"/>
      <c r="E115" s="128"/>
    </row>
    <row r="116" spans="1:11" x14ac:dyDescent="0.2">
      <c r="A116" s="119" t="s">
        <v>310</v>
      </c>
      <c r="B116" s="120" t="s">
        <v>311</v>
      </c>
      <c r="C116" s="127"/>
      <c r="E116" s="128"/>
    </row>
    <row r="117" spans="1:11" x14ac:dyDescent="0.2">
      <c r="A117" s="124" t="s">
        <v>312</v>
      </c>
      <c r="B117" s="120" t="s">
        <v>313</v>
      </c>
      <c r="C117" s="127"/>
      <c r="E117" s="128"/>
    </row>
    <row r="118" spans="1:11" x14ac:dyDescent="0.2">
      <c r="A118" s="124" t="s">
        <v>314</v>
      </c>
      <c r="B118" s="120" t="s">
        <v>315</v>
      </c>
      <c r="C118" s="127"/>
      <c r="E118" s="128"/>
    </row>
    <row r="119" spans="1:11" x14ac:dyDescent="0.2">
      <c r="A119" s="124" t="s">
        <v>316</v>
      </c>
      <c r="B119" s="120" t="s">
        <v>317</v>
      </c>
      <c r="C119" s="127"/>
      <c r="E119" s="128"/>
    </row>
    <row r="120" spans="1:11" x14ac:dyDescent="0.2">
      <c r="A120" s="124" t="s">
        <v>318</v>
      </c>
      <c r="B120" s="120" t="s">
        <v>319</v>
      </c>
      <c r="C120" s="127"/>
      <c r="E120" s="128"/>
    </row>
    <row r="121" spans="1:11" x14ac:dyDescent="0.2">
      <c r="A121" s="119" t="s">
        <v>320</v>
      </c>
      <c r="B121" s="120" t="s">
        <v>321</v>
      </c>
      <c r="C121" s="127"/>
      <c r="E121" s="128"/>
    </row>
    <row r="122" spans="1:11" x14ac:dyDescent="0.2">
      <c r="A122" s="124" t="s">
        <v>322</v>
      </c>
      <c r="B122" s="120" t="s">
        <v>323</v>
      </c>
      <c r="C122" s="127"/>
      <c r="E122" s="128"/>
    </row>
    <row r="123" spans="1:11" x14ac:dyDescent="0.2">
      <c r="A123" s="124" t="s">
        <v>324</v>
      </c>
      <c r="B123" s="120" t="s">
        <v>325</v>
      </c>
      <c r="C123" s="127"/>
      <c r="E123" s="128"/>
    </row>
    <row r="124" spans="1:11" x14ac:dyDescent="0.2">
      <c r="A124" s="124" t="s">
        <v>326</v>
      </c>
      <c r="B124" s="120" t="s">
        <v>327</v>
      </c>
      <c r="C124" s="127"/>
      <c r="E124" s="128"/>
    </row>
    <row r="125" spans="1:11" x14ac:dyDescent="0.2">
      <c r="A125" s="124" t="s">
        <v>328</v>
      </c>
      <c r="B125" s="120" t="s">
        <v>329</v>
      </c>
      <c r="C125" s="127"/>
      <c r="E125" s="128"/>
    </row>
    <row r="126" spans="1:11" x14ac:dyDescent="0.2">
      <c r="A126" s="124" t="s">
        <v>330</v>
      </c>
      <c r="B126" s="120" t="s">
        <v>331</v>
      </c>
      <c r="C126" s="127"/>
      <c r="E126" s="121" t="s">
        <v>332</v>
      </c>
      <c r="G126" s="121"/>
      <c r="H126" s="121"/>
      <c r="I126" s="121"/>
      <c r="J126" s="121"/>
      <c r="K126" s="121"/>
    </row>
    <row r="127" spans="1:11" x14ac:dyDescent="0.2">
      <c r="A127" s="124"/>
      <c r="B127" s="126" t="s">
        <v>333</v>
      </c>
      <c r="C127" s="128"/>
      <c r="D127" s="128"/>
      <c r="E127" s="121" t="s">
        <v>334</v>
      </c>
      <c r="F127" s="121" t="s">
        <v>335</v>
      </c>
      <c r="G127" s="121" t="s">
        <v>113</v>
      </c>
      <c r="H127" s="121"/>
      <c r="I127" s="121"/>
      <c r="J127" s="121"/>
      <c r="K127" s="121"/>
    </row>
    <row r="128" spans="1:11" x14ac:dyDescent="0.2">
      <c r="A128" s="124" t="s">
        <v>336</v>
      </c>
      <c r="B128" s="120" t="s">
        <v>337</v>
      </c>
      <c r="E128" s="121" t="s">
        <v>338</v>
      </c>
      <c r="F128" s="121" t="s">
        <v>339</v>
      </c>
      <c r="G128" s="132">
        <v>-2083333</v>
      </c>
      <c r="H128" s="121"/>
      <c r="I128" s="121"/>
      <c r="J128" s="121"/>
      <c r="K128" s="121"/>
    </row>
    <row r="129" spans="1:11" x14ac:dyDescent="0.2">
      <c r="A129" s="124" t="s">
        <v>340</v>
      </c>
      <c r="B129" s="120" t="s">
        <v>341</v>
      </c>
      <c r="E129" s="121" t="s">
        <v>342</v>
      </c>
      <c r="G129" s="132">
        <v>-2083333</v>
      </c>
      <c r="H129" s="121"/>
      <c r="I129" s="121"/>
      <c r="J129" s="121"/>
      <c r="K129" s="121"/>
    </row>
    <row r="130" spans="1:11" x14ac:dyDescent="0.2">
      <c r="A130" s="119">
        <v>5110358000</v>
      </c>
      <c r="B130" s="120" t="s">
        <v>343</v>
      </c>
      <c r="G130" s="121"/>
      <c r="H130" s="121"/>
      <c r="I130" s="121"/>
      <c r="J130" s="121"/>
      <c r="K130" s="121"/>
    </row>
    <row r="131" spans="1:11" x14ac:dyDescent="0.2">
      <c r="A131" s="124"/>
      <c r="B131" s="126" t="s">
        <v>344</v>
      </c>
      <c r="G131" s="121"/>
      <c r="H131" s="121"/>
      <c r="I131" s="121"/>
      <c r="J131" s="121"/>
      <c r="K131" s="121"/>
    </row>
    <row r="132" spans="1:11" x14ac:dyDescent="0.2">
      <c r="A132" s="124" t="s">
        <v>345</v>
      </c>
      <c r="B132" s="120" t="s">
        <v>346</v>
      </c>
      <c r="G132" s="121"/>
      <c r="H132" s="121"/>
      <c r="I132" s="121"/>
      <c r="J132" s="121"/>
      <c r="K132" s="121"/>
    </row>
    <row r="133" spans="1:11" x14ac:dyDescent="0.2">
      <c r="A133" s="124" t="s">
        <v>347</v>
      </c>
      <c r="B133" s="120" t="s">
        <v>348</v>
      </c>
      <c r="G133" s="121"/>
      <c r="H133" s="121"/>
      <c r="I133" s="121"/>
      <c r="J133" s="121"/>
      <c r="K133" s="121"/>
    </row>
    <row r="134" spans="1:11" x14ac:dyDescent="0.2">
      <c r="A134" s="124" t="s">
        <v>349</v>
      </c>
      <c r="B134" s="120" t="s">
        <v>350</v>
      </c>
      <c r="G134" s="121"/>
      <c r="H134" s="121"/>
      <c r="I134" s="121"/>
      <c r="J134" s="121"/>
      <c r="K134" s="121"/>
    </row>
    <row r="135" spans="1:11" x14ac:dyDescent="0.2">
      <c r="A135" s="124" t="s">
        <v>351</v>
      </c>
      <c r="B135" s="120" t="s">
        <v>352</v>
      </c>
      <c r="G135" s="121"/>
      <c r="H135" s="121"/>
      <c r="I135" s="121"/>
      <c r="J135" s="121"/>
      <c r="K135" s="121"/>
    </row>
    <row r="136" spans="1:11" x14ac:dyDescent="0.2">
      <c r="G136" s="121"/>
      <c r="H136" s="121"/>
      <c r="I136" s="121"/>
      <c r="J136" s="121"/>
      <c r="K136" s="121"/>
    </row>
    <row r="137" spans="1:11" x14ac:dyDescent="0.2">
      <c r="A137" s="124"/>
      <c r="B137" s="126" t="s">
        <v>353</v>
      </c>
      <c r="G137" s="121"/>
      <c r="H137" s="121"/>
      <c r="I137" s="121"/>
      <c r="J137" s="121"/>
      <c r="K137" s="121"/>
    </row>
    <row r="138" spans="1:11" x14ac:dyDescent="0.2">
      <c r="A138" s="124" t="s">
        <v>354</v>
      </c>
      <c r="B138" s="120" t="s">
        <v>355</v>
      </c>
      <c r="G138" s="121"/>
      <c r="H138" s="121"/>
      <c r="I138" s="121"/>
      <c r="J138" s="121"/>
      <c r="K138" s="121"/>
    </row>
    <row r="139" spans="1:11" x14ac:dyDescent="0.2">
      <c r="A139" s="124" t="s">
        <v>356</v>
      </c>
      <c r="B139" s="120" t="s">
        <v>357</v>
      </c>
      <c r="G139" s="121"/>
      <c r="H139" s="121"/>
      <c r="I139" s="121"/>
      <c r="J139" s="121"/>
      <c r="K139" s="121"/>
    </row>
    <row r="140" spans="1:11" x14ac:dyDescent="0.2">
      <c r="A140" s="124" t="s">
        <v>358</v>
      </c>
      <c r="B140" s="120" t="s">
        <v>359</v>
      </c>
      <c r="G140" s="121"/>
      <c r="H140" s="121"/>
      <c r="I140" s="121"/>
      <c r="J140" s="121"/>
      <c r="K140" s="121"/>
    </row>
    <row r="141" spans="1:11" x14ac:dyDescent="0.2">
      <c r="A141" s="133" t="s">
        <v>360</v>
      </c>
      <c r="B141" s="120" t="s">
        <v>361</v>
      </c>
      <c r="G141" s="121"/>
    </row>
    <row r="142" spans="1:11" x14ac:dyDescent="0.2">
      <c r="A142" s="133"/>
      <c r="B142" s="126" t="s">
        <v>362</v>
      </c>
      <c r="G142" s="121"/>
    </row>
    <row r="143" spans="1:11" x14ac:dyDescent="0.2">
      <c r="A143" s="124" t="s">
        <v>363</v>
      </c>
      <c r="B143" s="120" t="s">
        <v>364</v>
      </c>
      <c r="G143" s="121"/>
    </row>
    <row r="144" spans="1:11" x14ac:dyDescent="0.2">
      <c r="A144" s="124"/>
      <c r="B144" s="126" t="s">
        <v>365</v>
      </c>
      <c r="G144" s="121"/>
    </row>
    <row r="145" spans="1:7" x14ac:dyDescent="0.2">
      <c r="A145" s="124"/>
      <c r="B145" s="126" t="s">
        <v>366</v>
      </c>
      <c r="G145" s="121"/>
    </row>
    <row r="146" spans="1:7" x14ac:dyDescent="0.2">
      <c r="A146" s="124"/>
      <c r="B146" s="126" t="s">
        <v>367</v>
      </c>
      <c r="G146" s="121"/>
    </row>
    <row r="147" spans="1:7" x14ac:dyDescent="0.2">
      <c r="A147" s="124" t="s">
        <v>368</v>
      </c>
      <c r="B147" s="120" t="s">
        <v>369</v>
      </c>
      <c r="G147" s="121"/>
    </row>
    <row r="148" spans="1:7" x14ac:dyDescent="0.2">
      <c r="G148" s="121"/>
    </row>
    <row r="149" spans="1:7" x14ac:dyDescent="0.2">
      <c r="G149" s="121"/>
    </row>
    <row r="150" spans="1:7" x14ac:dyDescent="0.2">
      <c r="B150" s="121" t="s">
        <v>370</v>
      </c>
    </row>
    <row r="151" spans="1:7" x14ac:dyDescent="0.2">
      <c r="A151" s="124" t="s">
        <v>180</v>
      </c>
      <c r="B151" s="120" t="s">
        <v>181</v>
      </c>
    </row>
    <row r="152" spans="1:7" x14ac:dyDescent="0.2">
      <c r="A152" s="121" t="s">
        <v>182</v>
      </c>
      <c r="B152" s="120" t="s">
        <v>183</v>
      </c>
    </row>
    <row r="153" spans="1:7" x14ac:dyDescent="0.2">
      <c r="A153" s="124" t="s">
        <v>206</v>
      </c>
      <c r="B153" s="120" t="s">
        <v>207</v>
      </c>
    </row>
    <row r="154" spans="1:7" x14ac:dyDescent="0.2">
      <c r="A154" s="121" t="s">
        <v>208</v>
      </c>
      <c r="B154" s="120" t="s">
        <v>209</v>
      </c>
    </row>
    <row r="155" spans="1:7" x14ac:dyDescent="0.2">
      <c r="A155" s="124" t="s">
        <v>261</v>
      </c>
      <c r="B155" s="120" t="s">
        <v>262</v>
      </c>
    </row>
    <row r="156" spans="1:7" x14ac:dyDescent="0.2">
      <c r="A156" s="119">
        <v>5105180100</v>
      </c>
      <c r="B156" s="120" t="s">
        <v>263</v>
      </c>
    </row>
    <row r="157" spans="1:7" x14ac:dyDescent="0.2">
      <c r="A157" s="121" t="s">
        <v>264</v>
      </c>
      <c r="B157" s="120" t="s">
        <v>265</v>
      </c>
    </row>
    <row r="158" spans="1:7" x14ac:dyDescent="0.2">
      <c r="A158" s="119">
        <v>5105180000</v>
      </c>
      <c r="B158" s="120" t="s">
        <v>272</v>
      </c>
    </row>
    <row r="159" spans="1:7" x14ac:dyDescent="0.2">
      <c r="A159" s="124" t="s">
        <v>273</v>
      </c>
      <c r="B159" s="120" t="s">
        <v>274</v>
      </c>
    </row>
    <row r="160" spans="1:7" x14ac:dyDescent="0.2">
      <c r="A160" s="124" t="s">
        <v>275</v>
      </c>
      <c r="B160" s="120" t="s">
        <v>276</v>
      </c>
    </row>
    <row r="161" spans="1:5" x14ac:dyDescent="0.2">
      <c r="A161" s="124" t="s">
        <v>277</v>
      </c>
      <c r="B161" s="120" t="s">
        <v>278</v>
      </c>
    </row>
    <row r="164" spans="1:5" x14ac:dyDescent="0.2">
      <c r="B164" s="121" t="s">
        <v>371</v>
      </c>
    </row>
    <row r="165" spans="1:5" x14ac:dyDescent="0.2">
      <c r="A165" s="121" t="s">
        <v>188</v>
      </c>
      <c r="B165" s="121" t="s">
        <v>189</v>
      </c>
    </row>
    <row r="166" spans="1:5" x14ac:dyDescent="0.2">
      <c r="A166" s="121" t="s">
        <v>267</v>
      </c>
      <c r="B166" s="121" t="s">
        <v>268</v>
      </c>
    </row>
    <row r="167" spans="1:5" x14ac:dyDescent="0.2">
      <c r="A167" s="121" t="s">
        <v>269</v>
      </c>
      <c r="B167" s="121" t="s">
        <v>270</v>
      </c>
    </row>
    <row r="173" spans="1:5" x14ac:dyDescent="0.2">
      <c r="A173" s="134" t="s">
        <v>372</v>
      </c>
    </row>
    <row r="174" spans="1:5" x14ac:dyDescent="0.2">
      <c r="A174" s="122" t="s">
        <v>373</v>
      </c>
      <c r="E174" s="121" t="s">
        <v>374</v>
      </c>
    </row>
    <row r="175" spans="1:5" x14ac:dyDescent="0.2">
      <c r="A175" s="121" t="s">
        <v>375</v>
      </c>
      <c r="B175" s="121" t="s">
        <v>376</v>
      </c>
    </row>
    <row r="176" spans="1:5" x14ac:dyDescent="0.2">
      <c r="A176" s="121">
        <v>4155950000</v>
      </c>
      <c r="B176" s="121" t="s">
        <v>377</v>
      </c>
    </row>
    <row r="177" spans="1:5" x14ac:dyDescent="0.2">
      <c r="A177" s="121">
        <v>4155950100</v>
      </c>
      <c r="B177" s="121" t="s">
        <v>378</v>
      </c>
    </row>
    <row r="178" spans="1:5" x14ac:dyDescent="0.2">
      <c r="A178" s="121">
        <v>4155951500</v>
      </c>
      <c r="B178" s="121" t="s">
        <v>379</v>
      </c>
    </row>
    <row r="179" spans="1:5" x14ac:dyDescent="0.2">
      <c r="A179" s="121">
        <v>4135950900</v>
      </c>
      <c r="B179" s="121" t="s">
        <v>380</v>
      </c>
    </row>
    <row r="180" spans="1:5" x14ac:dyDescent="0.2">
      <c r="A180" s="121">
        <v>4135950000</v>
      </c>
      <c r="B180" s="121" t="s">
        <v>381</v>
      </c>
      <c r="E180" s="121">
        <v>4135950000</v>
      </c>
    </row>
    <row r="181" spans="1:5" x14ac:dyDescent="0.2">
      <c r="A181" s="121">
        <v>4155950500</v>
      </c>
      <c r="B181" s="121" t="s">
        <v>381</v>
      </c>
    </row>
    <row r="182" spans="1:5" x14ac:dyDescent="0.2">
      <c r="A182" s="121">
        <v>4170250300</v>
      </c>
      <c r="B182" s="121" t="s">
        <v>381</v>
      </c>
    </row>
    <row r="183" spans="1:5" x14ac:dyDescent="0.2">
      <c r="A183" s="121" t="s">
        <v>382</v>
      </c>
      <c r="B183" s="121" t="s">
        <v>383</v>
      </c>
    </row>
    <row r="184" spans="1:5" x14ac:dyDescent="0.2">
      <c r="A184" s="121">
        <v>6135950000</v>
      </c>
      <c r="B184" s="121" t="s">
        <v>384</v>
      </c>
    </row>
    <row r="186" spans="1:5" x14ac:dyDescent="0.2">
      <c r="B186" s="121" t="s">
        <v>385</v>
      </c>
    </row>
    <row r="187" spans="1:5" x14ac:dyDescent="0.2">
      <c r="A187" s="121">
        <v>5205180100</v>
      </c>
      <c r="B187" s="121" t="s">
        <v>386</v>
      </c>
      <c r="C187" s="121" t="s">
        <v>387</v>
      </c>
    </row>
    <row r="188" spans="1:5" x14ac:dyDescent="0.2">
      <c r="A188" s="121">
        <v>5205361000</v>
      </c>
      <c r="B188" s="121" t="s">
        <v>388</v>
      </c>
      <c r="C188" s="121" t="s">
        <v>389</v>
      </c>
      <c r="D188" s="121" t="s">
        <v>113</v>
      </c>
    </row>
    <row r="189" spans="1:5" x14ac:dyDescent="0.2">
      <c r="A189" s="121">
        <v>5205391000</v>
      </c>
      <c r="B189" s="121" t="s">
        <v>388</v>
      </c>
      <c r="C189" s="121" t="s">
        <v>390</v>
      </c>
      <c r="D189" s="121">
        <v>4638.9799999999996</v>
      </c>
    </row>
    <row r="190" spans="1:5" x14ac:dyDescent="0.2">
      <c r="A190" s="121">
        <v>5205422000</v>
      </c>
      <c r="B190" s="121" t="s">
        <v>388</v>
      </c>
      <c r="C190" s="121" t="s">
        <v>391</v>
      </c>
      <c r="D190" s="121">
        <v>1230.26</v>
      </c>
    </row>
    <row r="191" spans="1:5" x14ac:dyDescent="0.2">
      <c r="A191" s="121">
        <v>5205691000</v>
      </c>
      <c r="B191" s="121" t="s">
        <v>388</v>
      </c>
      <c r="C191" s="121" t="s">
        <v>392</v>
      </c>
      <c r="D191" s="121">
        <v>307.56</v>
      </c>
    </row>
    <row r="192" spans="1:5" x14ac:dyDescent="0.2">
      <c r="A192" s="121">
        <v>5205701000</v>
      </c>
      <c r="B192" s="121" t="s">
        <v>388</v>
      </c>
      <c r="C192" s="121" t="s">
        <v>393</v>
      </c>
      <c r="D192" s="121">
        <v>896.8</v>
      </c>
    </row>
    <row r="193" spans="1:4" x14ac:dyDescent="0.2">
      <c r="A193" s="121">
        <v>5160200000</v>
      </c>
      <c r="B193" s="121" t="s">
        <v>394</v>
      </c>
      <c r="C193" s="121" t="s">
        <v>395</v>
      </c>
      <c r="D193" s="121">
        <v>604.20000000000005</v>
      </c>
    </row>
    <row r="194" spans="1:4" x14ac:dyDescent="0.2">
      <c r="A194" s="121">
        <v>5260100000</v>
      </c>
      <c r="B194" s="121" t="s">
        <v>394</v>
      </c>
      <c r="C194" s="121" t="s">
        <v>396</v>
      </c>
      <c r="D194" s="121">
        <v>27.16</v>
      </c>
    </row>
    <row r="195" spans="1:4" x14ac:dyDescent="0.2">
      <c r="A195" s="121">
        <v>5260200000</v>
      </c>
      <c r="B195" s="121" t="s">
        <v>394</v>
      </c>
      <c r="C195" s="121" t="s">
        <v>342</v>
      </c>
      <c r="D195" s="121">
        <v>7704.96</v>
      </c>
    </row>
    <row r="196" spans="1:4" x14ac:dyDescent="0.2">
      <c r="A196" s="121">
        <v>5260150000</v>
      </c>
      <c r="B196" s="121" t="s">
        <v>394</v>
      </c>
    </row>
    <row r="197" spans="1:4" x14ac:dyDescent="0.2">
      <c r="A197" s="121">
        <v>5260350000</v>
      </c>
      <c r="B197" s="121" t="s">
        <v>394</v>
      </c>
    </row>
    <row r="198" spans="1:4" x14ac:dyDescent="0.2">
      <c r="A198" s="121">
        <v>5160150000</v>
      </c>
      <c r="B198" s="121" t="s">
        <v>397</v>
      </c>
    </row>
    <row r="199" spans="1:4" x14ac:dyDescent="0.2">
      <c r="A199" s="121">
        <v>5145150100</v>
      </c>
      <c r="B199" s="121" t="s">
        <v>398</v>
      </c>
    </row>
    <row r="200" spans="1:4" x14ac:dyDescent="0.2">
      <c r="A200" s="121">
        <v>5235300000</v>
      </c>
      <c r="B200" s="121" t="s">
        <v>398</v>
      </c>
    </row>
    <row r="201" spans="1:4" x14ac:dyDescent="0.2">
      <c r="A201" s="121">
        <v>5245100000</v>
      </c>
      <c r="B201" s="121" t="s">
        <v>398</v>
      </c>
    </row>
    <row r="202" spans="1:4" x14ac:dyDescent="0.2">
      <c r="A202" s="121">
        <v>5245150000</v>
      </c>
      <c r="B202" s="121" t="s">
        <v>398</v>
      </c>
    </row>
    <row r="203" spans="1:4" x14ac:dyDescent="0.2">
      <c r="A203" s="121">
        <v>5245150100</v>
      </c>
      <c r="B203" s="121" t="s">
        <v>398</v>
      </c>
    </row>
    <row r="204" spans="1:4" x14ac:dyDescent="0.2">
      <c r="A204" s="121">
        <v>5245200000</v>
      </c>
      <c r="B204" s="121" t="s">
        <v>398</v>
      </c>
    </row>
    <row r="205" spans="1:4" x14ac:dyDescent="0.2">
      <c r="A205" s="121">
        <v>5245250000</v>
      </c>
      <c r="B205" s="121" t="s">
        <v>398</v>
      </c>
    </row>
    <row r="206" spans="1:4" x14ac:dyDescent="0.2">
      <c r="A206" s="121">
        <v>5250050000</v>
      </c>
      <c r="B206" s="121" t="s">
        <v>398</v>
      </c>
    </row>
    <row r="207" spans="1:4" x14ac:dyDescent="0.2">
      <c r="A207" s="121">
        <v>5250100000</v>
      </c>
      <c r="B207" s="121" t="s">
        <v>398</v>
      </c>
    </row>
    <row r="208" spans="1:4" x14ac:dyDescent="0.2">
      <c r="A208" s="121">
        <v>5250950000</v>
      </c>
      <c r="B208" s="121" t="s">
        <v>398</v>
      </c>
    </row>
    <row r="209" spans="1:2" x14ac:dyDescent="0.2">
      <c r="A209" s="121">
        <v>5295250000</v>
      </c>
      <c r="B209" s="121" t="s">
        <v>398</v>
      </c>
    </row>
    <row r="210" spans="1:2" x14ac:dyDescent="0.2">
      <c r="A210" s="121">
        <v>5295950300</v>
      </c>
      <c r="B210" s="121" t="s">
        <v>398</v>
      </c>
    </row>
    <row r="211" spans="1:2" x14ac:dyDescent="0.2">
      <c r="A211" s="121">
        <v>5235050000</v>
      </c>
      <c r="B211" s="121" t="s">
        <v>399</v>
      </c>
    </row>
    <row r="212" spans="1:2" x14ac:dyDescent="0.2">
      <c r="A212" s="121">
        <v>5235200000</v>
      </c>
      <c r="B212" s="121" t="s">
        <v>399</v>
      </c>
    </row>
    <row r="213" spans="1:2" x14ac:dyDescent="0.2">
      <c r="A213" s="121">
        <v>5235950100</v>
      </c>
      <c r="B213" s="121" t="s">
        <v>399</v>
      </c>
    </row>
    <row r="214" spans="1:2" x14ac:dyDescent="0.2">
      <c r="A214" s="121">
        <v>5235950400</v>
      </c>
      <c r="B214" s="121" t="s">
        <v>399</v>
      </c>
    </row>
    <row r="215" spans="1:2" x14ac:dyDescent="0.2">
      <c r="A215" s="121">
        <v>5235950500</v>
      </c>
      <c r="B215" s="121" t="s">
        <v>399</v>
      </c>
    </row>
    <row r="216" spans="1:2" x14ac:dyDescent="0.2">
      <c r="A216" s="121">
        <v>5235950600</v>
      </c>
      <c r="B216" s="121" t="s">
        <v>399</v>
      </c>
    </row>
    <row r="217" spans="1:2" x14ac:dyDescent="0.2">
      <c r="A217" s="121">
        <v>5235950600</v>
      </c>
      <c r="B217" s="121" t="s">
        <v>399</v>
      </c>
    </row>
    <row r="218" spans="1:2" x14ac:dyDescent="0.2">
      <c r="A218" s="121">
        <v>5235950600</v>
      </c>
      <c r="B218" s="121" t="s">
        <v>399</v>
      </c>
    </row>
    <row r="219" spans="1:2" x14ac:dyDescent="0.2">
      <c r="A219" s="121">
        <v>5295950500</v>
      </c>
      <c r="B219" s="121" t="s">
        <v>399</v>
      </c>
    </row>
    <row r="220" spans="1:2" x14ac:dyDescent="0.2">
      <c r="A220" s="121">
        <v>5295950100</v>
      </c>
      <c r="B220" s="121" t="s">
        <v>400</v>
      </c>
    </row>
    <row r="221" spans="1:2" x14ac:dyDescent="0.2">
      <c r="A221" s="121">
        <v>5299100000</v>
      </c>
      <c r="B221" s="121" t="s">
        <v>401</v>
      </c>
    </row>
    <row r="222" spans="1:2" x14ac:dyDescent="0.2">
      <c r="A222" s="121">
        <v>5160100000</v>
      </c>
      <c r="B222" s="121" t="s">
        <v>402</v>
      </c>
    </row>
    <row r="223" spans="1:2" x14ac:dyDescent="0.2">
      <c r="B223" s="121" t="s">
        <v>403</v>
      </c>
    </row>
    <row r="224" spans="1:2" x14ac:dyDescent="0.2">
      <c r="A224" s="121">
        <v>5205630100</v>
      </c>
      <c r="B224" s="121" t="s">
        <v>404</v>
      </c>
    </row>
    <row r="225" spans="1:2" x14ac:dyDescent="0.2">
      <c r="A225" s="121">
        <v>5205630200</v>
      </c>
      <c r="B225" s="121" t="s">
        <v>404</v>
      </c>
    </row>
    <row r="226" spans="1:2" x14ac:dyDescent="0.2">
      <c r="A226" s="121">
        <v>5205060100</v>
      </c>
      <c r="B226" s="121" t="s">
        <v>405</v>
      </c>
    </row>
    <row r="227" spans="1:2" x14ac:dyDescent="0.2">
      <c r="A227" s="121">
        <v>5205150100</v>
      </c>
      <c r="B227" s="121" t="s">
        <v>405</v>
      </c>
    </row>
    <row r="228" spans="1:2" x14ac:dyDescent="0.2">
      <c r="A228" s="121">
        <v>5205360100</v>
      </c>
      <c r="B228" s="121" t="s">
        <v>406</v>
      </c>
    </row>
    <row r="229" spans="1:2" x14ac:dyDescent="0.2">
      <c r="A229" s="121">
        <v>5205390100</v>
      </c>
      <c r="B229" s="121" t="s">
        <v>406</v>
      </c>
    </row>
    <row r="230" spans="1:2" x14ac:dyDescent="0.2">
      <c r="A230" s="121">
        <v>5205600100</v>
      </c>
      <c r="B230" s="121" t="s">
        <v>406</v>
      </c>
    </row>
    <row r="231" spans="1:2" x14ac:dyDescent="0.2">
      <c r="A231" s="121">
        <v>5205690100</v>
      </c>
      <c r="B231" s="121" t="s">
        <v>406</v>
      </c>
    </row>
    <row r="232" spans="1:2" x14ac:dyDescent="0.2">
      <c r="A232" s="121">
        <v>5205700100</v>
      </c>
      <c r="B232" s="121" t="s">
        <v>406</v>
      </c>
    </row>
    <row r="233" spans="1:2" x14ac:dyDescent="0.2">
      <c r="A233" s="121">
        <v>5205700100</v>
      </c>
      <c r="B233" s="121" t="s">
        <v>406</v>
      </c>
    </row>
    <row r="234" spans="1:2" x14ac:dyDescent="0.2">
      <c r="A234" s="121">
        <v>5205700200</v>
      </c>
      <c r="B234" s="121" t="s">
        <v>406</v>
      </c>
    </row>
    <row r="235" spans="1:2" x14ac:dyDescent="0.2">
      <c r="A235" s="121">
        <v>5205780100</v>
      </c>
      <c r="B235" s="121" t="s">
        <v>406</v>
      </c>
    </row>
    <row r="236" spans="1:2" x14ac:dyDescent="0.2">
      <c r="A236" s="121">
        <v>5205660100</v>
      </c>
      <c r="B236" s="121" t="s">
        <v>407</v>
      </c>
    </row>
    <row r="237" spans="1:2" x14ac:dyDescent="0.2">
      <c r="A237" s="121">
        <v>5210250000</v>
      </c>
      <c r="B237" s="121" t="s">
        <v>408</v>
      </c>
    </row>
    <row r="238" spans="1:2" x14ac:dyDescent="0.2">
      <c r="A238" s="121">
        <v>5210350000</v>
      </c>
      <c r="B238" s="121" t="s">
        <v>408</v>
      </c>
    </row>
    <row r="239" spans="1:2" x14ac:dyDescent="0.2">
      <c r="A239" s="121">
        <v>5210950000</v>
      </c>
      <c r="B239" s="121" t="s">
        <v>408</v>
      </c>
    </row>
    <row r="240" spans="1:2" x14ac:dyDescent="0.2">
      <c r="A240" s="121">
        <v>5115950000</v>
      </c>
      <c r="B240" s="121" t="s">
        <v>409</v>
      </c>
    </row>
    <row r="241" spans="1:2" x14ac:dyDescent="0.2">
      <c r="A241" s="121">
        <v>5215100000</v>
      </c>
      <c r="B241" s="121" t="s">
        <v>409</v>
      </c>
    </row>
    <row r="242" spans="1:2" x14ac:dyDescent="0.2">
      <c r="A242" s="121">
        <v>5215950000</v>
      </c>
      <c r="B242" s="121" t="s">
        <v>409</v>
      </c>
    </row>
    <row r="243" spans="1:2" x14ac:dyDescent="0.2">
      <c r="A243" s="121">
        <v>5240100000</v>
      </c>
      <c r="B243" s="121" t="s">
        <v>409</v>
      </c>
    </row>
    <row r="244" spans="1:2" x14ac:dyDescent="0.2">
      <c r="A244" s="121">
        <v>5240150000</v>
      </c>
      <c r="B244" s="121" t="s">
        <v>409</v>
      </c>
    </row>
    <row r="245" spans="1:2" x14ac:dyDescent="0.2">
      <c r="A245" s="121">
        <v>5245400000</v>
      </c>
      <c r="B245" s="121" t="s">
        <v>410</v>
      </c>
    </row>
    <row r="246" spans="1:2" x14ac:dyDescent="0.2">
      <c r="A246" s="121">
        <v>5295350000</v>
      </c>
      <c r="B246" s="121" t="s">
        <v>410</v>
      </c>
    </row>
    <row r="247" spans="1:2" x14ac:dyDescent="0.2">
      <c r="A247" s="121">
        <v>5295100000</v>
      </c>
      <c r="B247" s="121" t="s">
        <v>411</v>
      </c>
    </row>
    <row r="248" spans="1:2" x14ac:dyDescent="0.2">
      <c r="A248" s="121">
        <v>5295300000</v>
      </c>
      <c r="B248" s="121" t="s">
        <v>411</v>
      </c>
    </row>
    <row r="249" spans="1:2" x14ac:dyDescent="0.2">
      <c r="A249" s="121">
        <v>5235600000</v>
      </c>
      <c r="B249" s="121" t="s">
        <v>412</v>
      </c>
    </row>
    <row r="250" spans="1:2" x14ac:dyDescent="0.2">
      <c r="A250" s="121">
        <v>5235350000</v>
      </c>
      <c r="B250" s="121" t="s">
        <v>413</v>
      </c>
    </row>
    <row r="251" spans="1:2" x14ac:dyDescent="0.2">
      <c r="A251" s="121">
        <v>5235400100</v>
      </c>
      <c r="B251" s="121" t="s">
        <v>413</v>
      </c>
    </row>
    <row r="252" spans="1:2" x14ac:dyDescent="0.2">
      <c r="A252" s="121">
        <v>5235400200</v>
      </c>
      <c r="B252" s="121" t="s">
        <v>413</v>
      </c>
    </row>
    <row r="253" spans="1:2" x14ac:dyDescent="0.2">
      <c r="A253" s="121">
        <v>5235450000</v>
      </c>
      <c r="B253" s="121" t="s">
        <v>413</v>
      </c>
    </row>
    <row r="254" spans="1:2" x14ac:dyDescent="0.2">
      <c r="A254" s="121">
        <v>5230250000</v>
      </c>
      <c r="B254" s="121" t="s">
        <v>414</v>
      </c>
    </row>
    <row r="255" spans="1:2" x14ac:dyDescent="0.2">
      <c r="A255" s="121">
        <v>5230950000</v>
      </c>
      <c r="B255" s="121" t="s">
        <v>414</v>
      </c>
    </row>
    <row r="256" spans="1:2" x14ac:dyDescent="0.2">
      <c r="A256" s="121">
        <v>5295700000</v>
      </c>
      <c r="B256" s="121" t="s">
        <v>414</v>
      </c>
    </row>
    <row r="257" spans="1:2" x14ac:dyDescent="0.2">
      <c r="A257" s="121">
        <v>5225100000</v>
      </c>
      <c r="B257" s="121" t="s">
        <v>415</v>
      </c>
    </row>
    <row r="258" spans="1:2" x14ac:dyDescent="0.2">
      <c r="A258" s="121">
        <v>5205480100</v>
      </c>
      <c r="B258" s="121" t="s">
        <v>416</v>
      </c>
    </row>
    <row r="259" spans="1:2" x14ac:dyDescent="0.2">
      <c r="A259" s="121">
        <v>5205480200</v>
      </c>
      <c r="B259" s="121" t="s">
        <v>416</v>
      </c>
    </row>
    <row r="260" spans="1:2" x14ac:dyDescent="0.2">
      <c r="A260" s="121">
        <v>5205481000</v>
      </c>
      <c r="B260" s="121" t="s">
        <v>416</v>
      </c>
    </row>
    <row r="261" spans="1:2" x14ac:dyDescent="0.2">
      <c r="A261" s="121">
        <v>5205481100</v>
      </c>
      <c r="B261" s="121" t="s">
        <v>416</v>
      </c>
    </row>
    <row r="262" spans="1:2" x14ac:dyDescent="0.2">
      <c r="A262" s="121">
        <v>5205210100</v>
      </c>
      <c r="B262" s="121" t="s">
        <v>417</v>
      </c>
    </row>
    <row r="263" spans="1:2" x14ac:dyDescent="0.2">
      <c r="A263" s="121">
        <v>5205210200</v>
      </c>
      <c r="B263" s="121" t="s">
        <v>417</v>
      </c>
    </row>
    <row r="264" spans="1:2" x14ac:dyDescent="0.2">
      <c r="A264" s="121">
        <v>5255050100</v>
      </c>
      <c r="B264" s="121" t="s">
        <v>417</v>
      </c>
    </row>
    <row r="265" spans="1:2" x14ac:dyDescent="0.2">
      <c r="A265" s="121">
        <v>5255060100</v>
      </c>
      <c r="B265" s="121" t="s">
        <v>417</v>
      </c>
    </row>
    <row r="266" spans="1:2" x14ac:dyDescent="0.2">
      <c r="A266" s="121">
        <v>5255150100</v>
      </c>
      <c r="B266" s="121" t="s">
        <v>417</v>
      </c>
    </row>
    <row r="267" spans="1:2" x14ac:dyDescent="0.2">
      <c r="A267" s="121">
        <v>5255200100</v>
      </c>
      <c r="B267" s="121" t="s">
        <v>417</v>
      </c>
    </row>
    <row r="268" spans="1:2" x14ac:dyDescent="0.2">
      <c r="A268" s="121">
        <v>5255200200</v>
      </c>
      <c r="B268" s="121" t="s">
        <v>417</v>
      </c>
    </row>
    <row r="269" spans="1:2" x14ac:dyDescent="0.2">
      <c r="A269" s="121">
        <v>5255950100</v>
      </c>
      <c r="B269" s="121" t="s">
        <v>417</v>
      </c>
    </row>
    <row r="270" spans="1:2" x14ac:dyDescent="0.2">
      <c r="A270" s="121">
        <v>5240050000</v>
      </c>
      <c r="B270" s="121" t="s">
        <v>418</v>
      </c>
    </row>
    <row r="271" spans="1:2" x14ac:dyDescent="0.2">
      <c r="A271" s="121">
        <v>5240200400</v>
      </c>
      <c r="B271" s="121" t="s">
        <v>418</v>
      </c>
    </row>
    <row r="272" spans="1:2" x14ac:dyDescent="0.2">
      <c r="A272" s="121">
        <v>5220050000</v>
      </c>
      <c r="B272" s="121" t="s">
        <v>419</v>
      </c>
    </row>
    <row r="273" spans="1:2" x14ac:dyDescent="0.2">
      <c r="A273" s="121">
        <v>5220100000</v>
      </c>
      <c r="B273" s="121" t="s">
        <v>419</v>
      </c>
    </row>
    <row r="274" spans="1:2" x14ac:dyDescent="0.2">
      <c r="A274" s="121">
        <v>5220100100</v>
      </c>
      <c r="B274" s="121" t="s">
        <v>419</v>
      </c>
    </row>
    <row r="275" spans="1:2" x14ac:dyDescent="0.2">
      <c r="A275" s="121">
        <v>5220950000</v>
      </c>
      <c r="B275" s="121" t="s">
        <v>419</v>
      </c>
    </row>
    <row r="278" spans="1:2" x14ac:dyDescent="0.2">
      <c r="B278" s="121" t="s">
        <v>420</v>
      </c>
    </row>
    <row r="279" spans="1:2" x14ac:dyDescent="0.2">
      <c r="A279" s="121">
        <v>5105060000</v>
      </c>
      <c r="B279" s="121" t="s">
        <v>421</v>
      </c>
    </row>
    <row r="280" spans="1:2" x14ac:dyDescent="0.2">
      <c r="A280" s="121">
        <v>5105150000</v>
      </c>
      <c r="B280" s="121" t="s">
        <v>421</v>
      </c>
    </row>
    <row r="281" spans="1:2" x14ac:dyDescent="0.2">
      <c r="A281" s="121">
        <v>5105360000</v>
      </c>
      <c r="B281" s="121" t="s">
        <v>422</v>
      </c>
    </row>
    <row r="282" spans="1:2" x14ac:dyDescent="0.2">
      <c r="A282" s="121">
        <v>5105390000</v>
      </c>
      <c r="B282" s="121" t="s">
        <v>422</v>
      </c>
    </row>
    <row r="283" spans="1:2" x14ac:dyDescent="0.2">
      <c r="A283" s="121">
        <v>5105600000</v>
      </c>
      <c r="B283" s="121" t="s">
        <v>422</v>
      </c>
    </row>
    <row r="284" spans="1:2" x14ac:dyDescent="0.2">
      <c r="A284" s="121">
        <v>5105690000</v>
      </c>
      <c r="B284" s="121" t="s">
        <v>422</v>
      </c>
    </row>
    <row r="285" spans="1:2" x14ac:dyDescent="0.2">
      <c r="A285" s="121">
        <v>5105700000</v>
      </c>
      <c r="B285" s="121" t="s">
        <v>422</v>
      </c>
    </row>
    <row r="286" spans="1:2" x14ac:dyDescent="0.2">
      <c r="A286" s="121">
        <v>5105780000</v>
      </c>
      <c r="B286" s="121" t="s">
        <v>422</v>
      </c>
    </row>
    <row r="287" spans="1:2" x14ac:dyDescent="0.2">
      <c r="A287" s="121">
        <v>5105950000</v>
      </c>
      <c r="B287" s="121" t="s">
        <v>422</v>
      </c>
    </row>
    <row r="288" spans="1:2" x14ac:dyDescent="0.2">
      <c r="A288" s="121">
        <v>5105180000</v>
      </c>
      <c r="B288" s="121" t="s">
        <v>423</v>
      </c>
    </row>
    <row r="289" spans="1:2" x14ac:dyDescent="0.2">
      <c r="A289" s="121">
        <v>5105630000</v>
      </c>
      <c r="B289" s="121" t="s">
        <v>424</v>
      </c>
    </row>
    <row r="290" spans="1:2" x14ac:dyDescent="0.2">
      <c r="A290" s="121">
        <v>5105391000</v>
      </c>
      <c r="B290" s="121" t="s">
        <v>425</v>
      </c>
    </row>
    <row r="291" spans="1:2" x14ac:dyDescent="0.2">
      <c r="A291" s="121">
        <v>5105691000</v>
      </c>
      <c r="B291" s="121" t="s">
        <v>425</v>
      </c>
    </row>
    <row r="292" spans="1:2" x14ac:dyDescent="0.2">
      <c r="A292" s="121">
        <v>5105701000</v>
      </c>
      <c r="B292" s="121" t="s">
        <v>425</v>
      </c>
    </row>
    <row r="293" spans="1:2" x14ac:dyDescent="0.2">
      <c r="A293" s="121">
        <v>5135050000</v>
      </c>
      <c r="B293" s="121" t="s">
        <v>399</v>
      </c>
    </row>
    <row r="294" spans="1:2" x14ac:dyDescent="0.2">
      <c r="A294" s="121">
        <v>5135150000</v>
      </c>
      <c r="B294" s="121" t="s">
        <v>399</v>
      </c>
    </row>
    <row r="295" spans="1:2" x14ac:dyDescent="0.2">
      <c r="A295" s="121">
        <v>5135200000</v>
      </c>
      <c r="B295" s="121" t="s">
        <v>399</v>
      </c>
    </row>
    <row r="296" spans="1:2" x14ac:dyDescent="0.2">
      <c r="A296" s="121">
        <v>5135950500</v>
      </c>
      <c r="B296" s="121" t="s">
        <v>399</v>
      </c>
    </row>
    <row r="297" spans="1:2" x14ac:dyDescent="0.2">
      <c r="A297" s="121">
        <v>5120100000</v>
      </c>
      <c r="B297" s="121" t="s">
        <v>426</v>
      </c>
    </row>
    <row r="298" spans="1:2" x14ac:dyDescent="0.2">
      <c r="A298" s="121">
        <v>5105660000</v>
      </c>
      <c r="B298" s="121" t="s">
        <v>427</v>
      </c>
    </row>
    <row r="299" spans="1:2" x14ac:dyDescent="0.2">
      <c r="A299" s="121">
        <v>5155960000</v>
      </c>
      <c r="B299" s="121" t="s">
        <v>427</v>
      </c>
    </row>
    <row r="300" spans="1:2" x14ac:dyDescent="0.2">
      <c r="A300" s="121">
        <v>5195950300</v>
      </c>
      <c r="B300" s="121" t="s">
        <v>428</v>
      </c>
    </row>
    <row r="301" spans="1:2" x14ac:dyDescent="0.2">
      <c r="A301" s="121">
        <v>5110100000</v>
      </c>
      <c r="B301" s="121" t="s">
        <v>429</v>
      </c>
    </row>
    <row r="302" spans="1:2" x14ac:dyDescent="0.2">
      <c r="A302" s="121">
        <v>5110200000</v>
      </c>
      <c r="B302" s="121" t="s">
        <v>429</v>
      </c>
    </row>
    <row r="303" spans="1:2" x14ac:dyDescent="0.2">
      <c r="A303" s="121">
        <v>5110250000</v>
      </c>
      <c r="B303" s="121" t="s">
        <v>429</v>
      </c>
    </row>
    <row r="304" spans="1:2" x14ac:dyDescent="0.2">
      <c r="A304" s="121">
        <v>5110300000</v>
      </c>
      <c r="B304" s="121" t="s">
        <v>429</v>
      </c>
    </row>
    <row r="305" spans="1:2" x14ac:dyDescent="0.2">
      <c r="A305" s="121">
        <v>5110350000</v>
      </c>
      <c r="B305" s="121" t="s">
        <v>429</v>
      </c>
    </row>
    <row r="306" spans="1:2" x14ac:dyDescent="0.2">
      <c r="A306" s="121">
        <v>5110950000</v>
      </c>
      <c r="B306" s="121" t="s">
        <v>429</v>
      </c>
    </row>
    <row r="307" spans="1:2" x14ac:dyDescent="0.2">
      <c r="A307" s="121">
        <v>5130</v>
      </c>
      <c r="B307" s="121" t="s">
        <v>430</v>
      </c>
    </row>
    <row r="308" spans="1:2" x14ac:dyDescent="0.2">
      <c r="A308" s="121">
        <v>5145400000</v>
      </c>
      <c r="B308" s="121" t="s">
        <v>431</v>
      </c>
    </row>
    <row r="309" spans="1:2" x14ac:dyDescent="0.2">
      <c r="A309" s="121">
        <v>5195350000</v>
      </c>
      <c r="B309" s="121" t="s">
        <v>431</v>
      </c>
    </row>
    <row r="310" spans="1:2" x14ac:dyDescent="0.2">
      <c r="A310" s="121">
        <v>5195300000</v>
      </c>
      <c r="B310" s="121" t="s">
        <v>411</v>
      </c>
    </row>
    <row r="311" spans="1:2" x14ac:dyDescent="0.2">
      <c r="A311" s="121">
        <v>5135350000</v>
      </c>
      <c r="B311" s="121" t="s">
        <v>432</v>
      </c>
    </row>
    <row r="312" spans="1:2" x14ac:dyDescent="0.2">
      <c r="A312" s="121">
        <v>5145050000</v>
      </c>
      <c r="B312" s="121" t="s">
        <v>433</v>
      </c>
    </row>
    <row r="313" spans="1:2" x14ac:dyDescent="0.2">
      <c r="A313" s="121">
        <v>5145100000</v>
      </c>
      <c r="B313" s="121" t="s">
        <v>433</v>
      </c>
    </row>
    <row r="314" spans="1:2" x14ac:dyDescent="0.2">
      <c r="A314" s="121">
        <v>5145200000</v>
      </c>
      <c r="B314" s="121" t="s">
        <v>433</v>
      </c>
    </row>
    <row r="315" spans="1:2" x14ac:dyDescent="0.2">
      <c r="A315" s="121">
        <v>5145250000</v>
      </c>
      <c r="B315" s="121" t="s">
        <v>433</v>
      </c>
    </row>
    <row r="316" spans="1:2" x14ac:dyDescent="0.2">
      <c r="A316" s="121">
        <v>5150050000</v>
      </c>
      <c r="B316" s="121" t="s">
        <v>433</v>
      </c>
    </row>
    <row r="317" spans="1:2" x14ac:dyDescent="0.2">
      <c r="A317" s="121">
        <v>5150100000</v>
      </c>
      <c r="B317" s="121" t="s">
        <v>433</v>
      </c>
    </row>
    <row r="318" spans="1:2" x14ac:dyDescent="0.2">
      <c r="A318" s="121">
        <v>5150150000</v>
      </c>
      <c r="B318" s="121" t="s">
        <v>433</v>
      </c>
    </row>
    <row r="319" spans="1:2" x14ac:dyDescent="0.2">
      <c r="A319" s="121">
        <v>5150950000</v>
      </c>
      <c r="B319" s="121" t="s">
        <v>433</v>
      </c>
    </row>
    <row r="320" spans="1:2" x14ac:dyDescent="0.2">
      <c r="A320" s="121">
        <v>5195150000</v>
      </c>
      <c r="B320" s="121" t="s">
        <v>433</v>
      </c>
    </row>
    <row r="321" spans="1:2" x14ac:dyDescent="0.2">
      <c r="A321" s="121">
        <v>5195250000</v>
      </c>
      <c r="B321" s="121" t="s">
        <v>433</v>
      </c>
    </row>
    <row r="322" spans="1:2" x14ac:dyDescent="0.2">
      <c r="A322" s="121">
        <v>5195400000</v>
      </c>
      <c r="B322" s="121" t="s">
        <v>433</v>
      </c>
    </row>
    <row r="323" spans="1:2" x14ac:dyDescent="0.2">
      <c r="A323" s="135">
        <v>5140050000</v>
      </c>
      <c r="B323" s="121" t="s">
        <v>434</v>
      </c>
    </row>
    <row r="324" spans="1:2" x14ac:dyDescent="0.2">
      <c r="A324" s="135">
        <v>5140100000</v>
      </c>
      <c r="B324" s="121" t="s">
        <v>435</v>
      </c>
    </row>
    <row r="325" spans="1:2" x14ac:dyDescent="0.2">
      <c r="A325" s="121">
        <v>5105210000</v>
      </c>
      <c r="B325" s="121" t="s">
        <v>436</v>
      </c>
    </row>
    <row r="326" spans="1:2" x14ac:dyDescent="0.2">
      <c r="A326" s="121">
        <v>5155050000</v>
      </c>
      <c r="B326" s="121" t="s">
        <v>436</v>
      </c>
    </row>
    <row r="327" spans="1:2" x14ac:dyDescent="0.2">
      <c r="A327" s="121">
        <v>5155060000</v>
      </c>
      <c r="B327" s="121" t="s">
        <v>436</v>
      </c>
    </row>
    <row r="328" spans="1:2" x14ac:dyDescent="0.2">
      <c r="A328" s="121">
        <v>5155150000</v>
      </c>
      <c r="B328" s="121" t="s">
        <v>436</v>
      </c>
    </row>
    <row r="329" spans="1:2" x14ac:dyDescent="0.2">
      <c r="A329" s="121">
        <v>5155200000</v>
      </c>
      <c r="B329" s="121" t="s">
        <v>436</v>
      </c>
    </row>
    <row r="330" spans="1:2" x14ac:dyDescent="0.2">
      <c r="A330" s="121">
        <v>5155950000</v>
      </c>
      <c r="B330" s="121" t="s">
        <v>436</v>
      </c>
    </row>
    <row r="332" spans="1:2" x14ac:dyDescent="0.2">
      <c r="B332" s="121" t="s">
        <v>437</v>
      </c>
    </row>
    <row r="333" spans="1:2" x14ac:dyDescent="0.2">
      <c r="A333" s="121">
        <v>5135950300</v>
      </c>
      <c r="B333" s="121" t="s">
        <v>438</v>
      </c>
    </row>
    <row r="334" spans="1:2" x14ac:dyDescent="0.2">
      <c r="A334" s="121">
        <v>5198530000</v>
      </c>
      <c r="B334" s="121" t="s">
        <v>438</v>
      </c>
    </row>
    <row r="335" spans="1:2" x14ac:dyDescent="0.2">
      <c r="A335" s="121">
        <v>5398050000</v>
      </c>
      <c r="B335" s="121" t="s">
        <v>438</v>
      </c>
    </row>
    <row r="336" spans="1:2" x14ac:dyDescent="0.2">
      <c r="A336" s="121">
        <v>5398210000</v>
      </c>
      <c r="B336" s="121" t="s">
        <v>439</v>
      </c>
    </row>
    <row r="337" spans="1:2" x14ac:dyDescent="0.2">
      <c r="A337" s="121">
        <v>5110358000</v>
      </c>
      <c r="B337" s="121" t="s">
        <v>440</v>
      </c>
    </row>
    <row r="338" spans="1:2" x14ac:dyDescent="0.2">
      <c r="A338" s="121">
        <v>5210358000</v>
      </c>
      <c r="B338" s="121" t="s">
        <v>440</v>
      </c>
    </row>
    <row r="340" spans="1:2" x14ac:dyDescent="0.2">
      <c r="B340" s="121" t="s">
        <v>441</v>
      </c>
    </row>
    <row r="341" spans="1:2" x14ac:dyDescent="0.2">
      <c r="A341" s="121">
        <v>4210200100</v>
      </c>
      <c r="B341" s="121" t="s">
        <v>442</v>
      </c>
    </row>
    <row r="342" spans="1:2" x14ac:dyDescent="0.2">
      <c r="A342" s="121">
        <v>4210200200</v>
      </c>
      <c r="B342" s="121" t="s">
        <v>442</v>
      </c>
    </row>
    <row r="343" spans="1:2" x14ac:dyDescent="0.2">
      <c r="A343" s="121">
        <v>4210200400</v>
      </c>
      <c r="B343" s="121" t="s">
        <v>443</v>
      </c>
    </row>
    <row r="344" spans="1:2" x14ac:dyDescent="0.2">
      <c r="A344" s="121">
        <v>4210200500</v>
      </c>
      <c r="B344" s="121" t="s">
        <v>443</v>
      </c>
    </row>
    <row r="345" spans="1:2" x14ac:dyDescent="0.2">
      <c r="A345" s="121">
        <v>4210200501</v>
      </c>
      <c r="B345" s="121" t="s">
        <v>443</v>
      </c>
    </row>
    <row r="346" spans="1:2" x14ac:dyDescent="0.2">
      <c r="A346" s="121">
        <v>4210201000</v>
      </c>
      <c r="B346" s="121" t="s">
        <v>443</v>
      </c>
    </row>
    <row r="347" spans="1:2" x14ac:dyDescent="0.2">
      <c r="A347" s="121">
        <v>4210201001</v>
      </c>
      <c r="B347" s="121" t="s">
        <v>443</v>
      </c>
    </row>
    <row r="348" spans="1:2" x14ac:dyDescent="0.2">
      <c r="A348" s="121">
        <v>4210201100</v>
      </c>
      <c r="B348" s="121" t="s">
        <v>443</v>
      </c>
    </row>
    <row r="349" spans="1:2" x14ac:dyDescent="0.2">
      <c r="A349" s="121">
        <v>4210051000</v>
      </c>
      <c r="B349" s="121" t="s">
        <v>444</v>
      </c>
    </row>
    <row r="350" spans="1:2" x14ac:dyDescent="0.2">
      <c r="A350" s="121">
        <v>4210201000</v>
      </c>
      <c r="B350" s="121" t="s">
        <v>444</v>
      </c>
    </row>
    <row r="351" spans="1:2" x14ac:dyDescent="0.2">
      <c r="A351" s="121">
        <v>4210400000</v>
      </c>
      <c r="B351" s="121" t="s">
        <v>444</v>
      </c>
    </row>
    <row r="352" spans="1:2" x14ac:dyDescent="0.2">
      <c r="A352" s="121">
        <v>4245010000</v>
      </c>
      <c r="B352" s="121" t="s">
        <v>444</v>
      </c>
    </row>
    <row r="353" spans="1:2" x14ac:dyDescent="0.2">
      <c r="A353" s="121">
        <v>4250500100</v>
      </c>
      <c r="B353" s="121" t="s">
        <v>444</v>
      </c>
    </row>
    <row r="354" spans="1:2" x14ac:dyDescent="0.2">
      <c r="A354" s="121">
        <v>4250500200</v>
      </c>
      <c r="B354" s="121" t="s">
        <v>444</v>
      </c>
    </row>
    <row r="355" spans="1:2" x14ac:dyDescent="0.2">
      <c r="A355" s="121">
        <v>4250500300</v>
      </c>
      <c r="B355" s="121" t="s">
        <v>444</v>
      </c>
    </row>
    <row r="356" spans="1:2" x14ac:dyDescent="0.2">
      <c r="A356" s="121">
        <v>4250506600</v>
      </c>
      <c r="B356" s="121" t="s">
        <v>444</v>
      </c>
    </row>
    <row r="357" spans="1:2" x14ac:dyDescent="0.2">
      <c r="A357" s="121">
        <v>4255200000</v>
      </c>
      <c r="B357" s="121" t="s">
        <v>444</v>
      </c>
    </row>
    <row r="358" spans="1:2" x14ac:dyDescent="0.2">
      <c r="A358" s="121">
        <v>4295050000</v>
      </c>
      <c r="B358" s="121" t="s">
        <v>444</v>
      </c>
    </row>
    <row r="359" spans="1:2" x14ac:dyDescent="0.2">
      <c r="A359" s="121">
        <v>4295810000</v>
      </c>
      <c r="B359" s="121" t="s">
        <v>444</v>
      </c>
    </row>
    <row r="361" spans="1:2" x14ac:dyDescent="0.2">
      <c r="B361" s="121" t="s">
        <v>445</v>
      </c>
    </row>
    <row r="362" spans="1:2" x14ac:dyDescent="0.2">
      <c r="A362" s="121">
        <v>5305350000</v>
      </c>
      <c r="B362" s="121" t="s">
        <v>446</v>
      </c>
    </row>
    <row r="363" spans="1:2" x14ac:dyDescent="0.2">
      <c r="A363" s="121">
        <v>5310150000</v>
      </c>
      <c r="B363" s="121" t="s">
        <v>446</v>
      </c>
    </row>
    <row r="364" spans="1:2" x14ac:dyDescent="0.2">
      <c r="A364" s="121">
        <v>5310300000</v>
      </c>
      <c r="B364" s="121" t="s">
        <v>446</v>
      </c>
    </row>
    <row r="365" spans="1:2" x14ac:dyDescent="0.2">
      <c r="A365" s="121">
        <v>5310350000</v>
      </c>
      <c r="B365" s="121" t="s">
        <v>446</v>
      </c>
    </row>
    <row r="366" spans="1:2" x14ac:dyDescent="0.2">
      <c r="A366" s="121">
        <v>5313050000</v>
      </c>
      <c r="B366" s="121" t="s">
        <v>446</v>
      </c>
    </row>
    <row r="367" spans="1:2" x14ac:dyDescent="0.2">
      <c r="A367" s="121">
        <v>5315150200</v>
      </c>
      <c r="B367" s="121" t="s">
        <v>446</v>
      </c>
    </row>
    <row r="368" spans="1:2" x14ac:dyDescent="0.2">
      <c r="A368" s="121">
        <v>5315160000</v>
      </c>
      <c r="B368" s="121" t="s">
        <v>446</v>
      </c>
    </row>
    <row r="369" spans="1:3" x14ac:dyDescent="0.2">
      <c r="A369" s="121">
        <v>5315200000</v>
      </c>
      <c r="B369" s="121" t="s">
        <v>446</v>
      </c>
    </row>
    <row r="370" spans="1:3" x14ac:dyDescent="0.2">
      <c r="A370" s="121">
        <v>5315200100</v>
      </c>
      <c r="B370" s="121" t="s">
        <v>446</v>
      </c>
    </row>
    <row r="371" spans="1:3" x14ac:dyDescent="0.2">
      <c r="A371" s="121">
        <v>5315950000</v>
      </c>
      <c r="B371" s="121" t="s">
        <v>446</v>
      </c>
    </row>
    <row r="372" spans="1:3" x14ac:dyDescent="0.2">
      <c r="A372" s="121">
        <v>5395200000</v>
      </c>
      <c r="B372" s="121" t="s">
        <v>446</v>
      </c>
    </row>
    <row r="373" spans="1:3" x14ac:dyDescent="0.2">
      <c r="A373" s="121">
        <v>5395300000</v>
      </c>
      <c r="B373" s="121" t="s">
        <v>446</v>
      </c>
    </row>
    <row r="374" spans="1:3" x14ac:dyDescent="0.2">
      <c r="A374" s="121">
        <v>5395950000</v>
      </c>
      <c r="B374" s="121" t="s">
        <v>446</v>
      </c>
    </row>
    <row r="375" spans="1:3" x14ac:dyDescent="0.2">
      <c r="A375" s="121">
        <v>5305250500</v>
      </c>
      <c r="B375" s="121" t="s">
        <v>447</v>
      </c>
    </row>
    <row r="376" spans="1:3" x14ac:dyDescent="0.2">
      <c r="A376" s="121">
        <v>5305050000</v>
      </c>
      <c r="B376" s="121" t="s">
        <v>448</v>
      </c>
      <c r="C376" s="121">
        <v>5305050000</v>
      </c>
    </row>
    <row r="377" spans="1:3" x14ac:dyDescent="0.2">
      <c r="A377" s="121">
        <v>5305150000</v>
      </c>
      <c r="B377" s="121" t="s">
        <v>448</v>
      </c>
      <c r="C377" s="121">
        <v>5305200100</v>
      </c>
    </row>
    <row r="378" spans="1:3" x14ac:dyDescent="0.2">
      <c r="A378" s="121">
        <v>5305200100</v>
      </c>
      <c r="B378" s="121" t="s">
        <v>448</v>
      </c>
      <c r="C378" s="121">
        <v>5305202200</v>
      </c>
    </row>
    <row r="379" spans="1:3" x14ac:dyDescent="0.2">
      <c r="A379" s="121">
        <v>5305200200</v>
      </c>
      <c r="B379" s="121" t="s">
        <v>448</v>
      </c>
      <c r="C379" s="121">
        <v>5305150000</v>
      </c>
    </row>
    <row r="380" spans="1:3" x14ac:dyDescent="0.2">
      <c r="A380" s="121">
        <v>5305200300</v>
      </c>
      <c r="B380" s="121" t="s">
        <v>448</v>
      </c>
      <c r="C380" s="121">
        <v>5305200101</v>
      </c>
    </row>
    <row r="381" spans="1:3" x14ac:dyDescent="0.2">
      <c r="A381" s="121">
        <v>5305200400</v>
      </c>
      <c r="B381" s="121" t="s">
        <v>448</v>
      </c>
    </row>
    <row r="382" spans="1:3" x14ac:dyDescent="0.2">
      <c r="A382" s="121">
        <v>5305950000</v>
      </c>
      <c r="B382" s="121" t="s">
        <v>448</v>
      </c>
    </row>
    <row r="383" spans="1:3" x14ac:dyDescent="0.2">
      <c r="A383" s="121">
        <v>5315150000</v>
      </c>
      <c r="B383" s="121" t="s">
        <v>448</v>
      </c>
    </row>
    <row r="385" spans="1:2" x14ac:dyDescent="0.2">
      <c r="A385" s="121">
        <v>5405050100</v>
      </c>
      <c r="B385" s="121" t="s">
        <v>449</v>
      </c>
    </row>
    <row r="389" spans="1:2" x14ac:dyDescent="0.2">
      <c r="B389" s="121" t="s">
        <v>370</v>
      </c>
    </row>
    <row r="390" spans="1:2" x14ac:dyDescent="0.2">
      <c r="A390" s="121">
        <v>5205180100</v>
      </c>
      <c r="B390" s="121" t="s">
        <v>386</v>
      </c>
    </row>
    <row r="391" spans="1:2" x14ac:dyDescent="0.2">
      <c r="A391" s="121">
        <v>5205361000</v>
      </c>
      <c r="B391" s="121" t="s">
        <v>388</v>
      </c>
    </row>
    <row r="392" spans="1:2" x14ac:dyDescent="0.2">
      <c r="A392" s="121">
        <v>5205391000</v>
      </c>
      <c r="B392" s="121" t="s">
        <v>388</v>
      </c>
    </row>
    <row r="393" spans="1:2" x14ac:dyDescent="0.2">
      <c r="A393" s="121">
        <v>5205422000</v>
      </c>
      <c r="B393" s="121" t="s">
        <v>388</v>
      </c>
    </row>
    <row r="394" spans="1:2" x14ac:dyDescent="0.2">
      <c r="A394" s="121">
        <v>5205691000</v>
      </c>
      <c r="B394" s="121" t="s">
        <v>388</v>
      </c>
    </row>
    <row r="395" spans="1:2" x14ac:dyDescent="0.2">
      <c r="A395" s="121">
        <v>5205701000</v>
      </c>
      <c r="B395" s="121" t="s">
        <v>388</v>
      </c>
    </row>
    <row r="396" spans="1:2" x14ac:dyDescent="0.2">
      <c r="A396" s="121">
        <v>5205060100</v>
      </c>
      <c r="B396" s="121" t="s">
        <v>405</v>
      </c>
    </row>
    <row r="397" spans="1:2" x14ac:dyDescent="0.2">
      <c r="A397" s="121">
        <v>5205150100</v>
      </c>
      <c r="B397" s="121" t="s">
        <v>405</v>
      </c>
    </row>
    <row r="398" spans="1:2" x14ac:dyDescent="0.2">
      <c r="A398" s="121">
        <v>5205360100</v>
      </c>
      <c r="B398" s="121" t="s">
        <v>406</v>
      </c>
    </row>
    <row r="399" spans="1:2" x14ac:dyDescent="0.2">
      <c r="A399" s="121">
        <v>5205390100</v>
      </c>
      <c r="B399" s="121" t="s">
        <v>406</v>
      </c>
    </row>
    <row r="400" spans="1:2" x14ac:dyDescent="0.2">
      <c r="A400" s="121">
        <v>5205600100</v>
      </c>
      <c r="B400" s="121" t="s">
        <v>406</v>
      </c>
    </row>
    <row r="401" spans="1:2" x14ac:dyDescent="0.2">
      <c r="A401" s="121">
        <v>5205690100</v>
      </c>
      <c r="B401" s="121" t="s">
        <v>406</v>
      </c>
    </row>
    <row r="402" spans="1:2" x14ac:dyDescent="0.2">
      <c r="A402" s="121">
        <v>5205700100</v>
      </c>
      <c r="B402" s="121" t="s">
        <v>406</v>
      </c>
    </row>
    <row r="403" spans="1:2" x14ac:dyDescent="0.2">
      <c r="A403" s="121">
        <v>5205700100</v>
      </c>
      <c r="B403" s="121" t="s">
        <v>406</v>
      </c>
    </row>
    <row r="404" spans="1:2" x14ac:dyDescent="0.2">
      <c r="A404" s="121">
        <v>5205700200</v>
      </c>
      <c r="B404" s="121" t="s">
        <v>406</v>
      </c>
    </row>
    <row r="405" spans="1:2" x14ac:dyDescent="0.2">
      <c r="A405" s="121">
        <v>5205780100</v>
      </c>
      <c r="B405" s="121" t="s">
        <v>406</v>
      </c>
    </row>
    <row r="406" spans="1:2" x14ac:dyDescent="0.2">
      <c r="A406" s="121">
        <v>5105060000</v>
      </c>
      <c r="B406" s="121" t="s">
        <v>421</v>
      </c>
    </row>
    <row r="407" spans="1:2" x14ac:dyDescent="0.2">
      <c r="A407" s="121">
        <v>5105150000</v>
      </c>
      <c r="B407" s="121" t="s">
        <v>421</v>
      </c>
    </row>
    <row r="408" spans="1:2" x14ac:dyDescent="0.2">
      <c r="A408" s="121">
        <v>5105360000</v>
      </c>
      <c r="B408" s="121" t="s">
        <v>422</v>
      </c>
    </row>
    <row r="409" spans="1:2" x14ac:dyDescent="0.2">
      <c r="A409" s="121">
        <v>5105390000</v>
      </c>
      <c r="B409" s="121" t="s">
        <v>422</v>
      </c>
    </row>
    <row r="410" spans="1:2" x14ac:dyDescent="0.2">
      <c r="A410" s="121">
        <v>5105600000</v>
      </c>
      <c r="B410" s="121" t="s">
        <v>422</v>
      </c>
    </row>
    <row r="411" spans="1:2" x14ac:dyDescent="0.2">
      <c r="A411" s="121">
        <v>5105690000</v>
      </c>
      <c r="B411" s="121" t="s">
        <v>422</v>
      </c>
    </row>
    <row r="412" spans="1:2" x14ac:dyDescent="0.2">
      <c r="A412" s="121">
        <v>5105700000</v>
      </c>
      <c r="B412" s="121" t="s">
        <v>422</v>
      </c>
    </row>
    <row r="413" spans="1:2" x14ac:dyDescent="0.2">
      <c r="A413" s="121">
        <v>5105780000</v>
      </c>
      <c r="B413" s="121" t="s">
        <v>422</v>
      </c>
    </row>
    <row r="414" spans="1:2" x14ac:dyDescent="0.2">
      <c r="A414" s="121">
        <v>5105950000</v>
      </c>
      <c r="B414" s="121" t="s">
        <v>422</v>
      </c>
    </row>
    <row r="415" spans="1:2" x14ac:dyDescent="0.2">
      <c r="A415" s="121">
        <v>5105180000</v>
      </c>
      <c r="B415" s="121" t="s">
        <v>423</v>
      </c>
    </row>
    <row r="416" spans="1:2" x14ac:dyDescent="0.2">
      <c r="A416" s="121">
        <v>5105391000</v>
      </c>
      <c r="B416" s="121" t="s">
        <v>425</v>
      </c>
    </row>
    <row r="417" spans="1:3" x14ac:dyDescent="0.2">
      <c r="A417" s="121">
        <v>5105691000</v>
      </c>
      <c r="B417" s="121" t="s">
        <v>425</v>
      </c>
    </row>
    <row r="418" spans="1:3" x14ac:dyDescent="0.2">
      <c r="A418" s="121">
        <v>5105701000</v>
      </c>
      <c r="B418" s="121" t="s">
        <v>425</v>
      </c>
    </row>
    <row r="421" spans="1:3" x14ac:dyDescent="0.2">
      <c r="A421" s="121">
        <v>5160100000</v>
      </c>
      <c r="B421" s="121" t="s">
        <v>450</v>
      </c>
      <c r="C421" s="121" t="s">
        <v>451</v>
      </c>
    </row>
    <row r="427" spans="1:3" x14ac:dyDescent="0.2">
      <c r="A427" s="122" t="s">
        <v>452</v>
      </c>
    </row>
    <row r="428" spans="1:3" x14ac:dyDescent="0.2">
      <c r="A428" s="121">
        <v>1105050100</v>
      </c>
      <c r="B428" s="121" t="s">
        <v>453</v>
      </c>
      <c r="C428" s="123">
        <v>0</v>
      </c>
    </row>
    <row r="429" spans="1:3" x14ac:dyDescent="0.2">
      <c r="A429" s="121">
        <v>1105100200</v>
      </c>
      <c r="B429" s="121" t="s">
        <v>454</v>
      </c>
      <c r="C429" s="123">
        <v>7650000</v>
      </c>
    </row>
    <row r="430" spans="1:3" x14ac:dyDescent="0.2">
      <c r="A430" s="121">
        <v>1110050101</v>
      </c>
      <c r="B430" s="121" t="s">
        <v>455</v>
      </c>
      <c r="C430" s="123">
        <v>87094833.519999996</v>
      </c>
    </row>
    <row r="431" spans="1:3" x14ac:dyDescent="0.2">
      <c r="A431" s="121">
        <v>1110050106</v>
      </c>
      <c r="B431" s="121" t="s">
        <v>456</v>
      </c>
      <c r="C431" s="123">
        <v>4020934.46</v>
      </c>
    </row>
    <row r="432" spans="1:3" x14ac:dyDescent="0.2">
      <c r="A432" s="121">
        <v>1110050108</v>
      </c>
      <c r="B432" s="121" t="s">
        <v>457</v>
      </c>
      <c r="C432" s="123">
        <v>2182803.0099999998</v>
      </c>
    </row>
    <row r="433" spans="1:3" x14ac:dyDescent="0.2">
      <c r="A433" s="121">
        <v>1110050110</v>
      </c>
      <c r="B433" s="121" t="s">
        <v>458</v>
      </c>
      <c r="C433" s="123">
        <v>562187.67000000004</v>
      </c>
    </row>
    <row r="434" spans="1:3" x14ac:dyDescent="0.2">
      <c r="A434" s="121">
        <v>1110050111</v>
      </c>
      <c r="B434" s="121" t="s">
        <v>459</v>
      </c>
      <c r="C434" s="123">
        <v>4855691.87</v>
      </c>
    </row>
    <row r="435" spans="1:3" x14ac:dyDescent="0.2">
      <c r="A435" s="121">
        <v>1110100101</v>
      </c>
      <c r="B435" s="121" t="s">
        <v>460</v>
      </c>
      <c r="C435" s="123">
        <v>6300643.9299999997</v>
      </c>
    </row>
    <row r="436" spans="1:3" x14ac:dyDescent="0.2">
      <c r="A436" s="121">
        <v>1125100200</v>
      </c>
      <c r="B436" s="121" t="s">
        <v>461</v>
      </c>
      <c r="C436" s="123">
        <v>1355004.36</v>
      </c>
    </row>
    <row r="437" spans="1:3" x14ac:dyDescent="0.2">
      <c r="A437" s="121">
        <v>1130050100</v>
      </c>
      <c r="B437" s="121" t="s">
        <v>462</v>
      </c>
      <c r="C437" s="123">
        <v>377428.44</v>
      </c>
    </row>
    <row r="438" spans="1:3" x14ac:dyDescent="0.2">
      <c r="A438" s="122"/>
      <c r="C438" s="123">
        <f>SUM(C428:C437)</f>
        <v>114399527.26000001</v>
      </c>
    </row>
    <row r="439" spans="1:3" x14ac:dyDescent="0.2">
      <c r="A439" s="122"/>
    </row>
    <row r="440" spans="1:3" x14ac:dyDescent="0.2">
      <c r="A440" s="121">
        <v>1101</v>
      </c>
      <c r="B440" s="121" t="s">
        <v>463</v>
      </c>
    </row>
    <row r="441" spans="1:3" x14ac:dyDescent="0.2">
      <c r="A441" s="121">
        <v>1102</v>
      </c>
      <c r="B441" s="121" t="s">
        <v>464</v>
      </c>
    </row>
    <row r="442" spans="1:3" x14ac:dyDescent="0.2">
      <c r="A442" s="121">
        <v>1103</v>
      </c>
      <c r="B442" s="121" t="s">
        <v>465</v>
      </c>
    </row>
    <row r="443" spans="1:3" x14ac:dyDescent="0.2">
      <c r="A443" s="121">
        <v>1104</v>
      </c>
      <c r="B443" s="121" t="s">
        <v>466</v>
      </c>
    </row>
    <row r="444" spans="1:3" x14ac:dyDescent="0.2">
      <c r="A444" s="121" t="s">
        <v>467</v>
      </c>
      <c r="B444" s="121" t="s">
        <v>468</v>
      </c>
    </row>
    <row r="445" spans="1:3" x14ac:dyDescent="0.2">
      <c r="A445" s="121">
        <v>1106</v>
      </c>
      <c r="B445" s="121" t="s">
        <v>469</v>
      </c>
    </row>
    <row r="446" spans="1:3" x14ac:dyDescent="0.2">
      <c r="B446" s="121" t="s">
        <v>470</v>
      </c>
    </row>
    <row r="448" spans="1:3" x14ac:dyDescent="0.2">
      <c r="B448" s="121" t="s">
        <v>471</v>
      </c>
    </row>
    <row r="450" spans="1:2" x14ac:dyDescent="0.2">
      <c r="B450" s="121" t="s">
        <v>96</v>
      </c>
    </row>
    <row r="451" spans="1:2" x14ac:dyDescent="0.2">
      <c r="A451" s="121">
        <v>1201</v>
      </c>
      <c r="B451" s="121" t="s">
        <v>472</v>
      </c>
    </row>
    <row r="452" spans="1:2" x14ac:dyDescent="0.2">
      <c r="A452" s="121">
        <v>1202</v>
      </c>
      <c r="B452" s="121" t="s">
        <v>473</v>
      </c>
    </row>
    <row r="453" spans="1:2" x14ac:dyDescent="0.2">
      <c r="A453" s="121">
        <v>1203</v>
      </c>
      <c r="B453" s="121" t="s">
        <v>474</v>
      </c>
    </row>
    <row r="454" spans="1:2" x14ac:dyDescent="0.2">
      <c r="A454" s="121">
        <v>1204</v>
      </c>
      <c r="B454" s="121" t="s">
        <v>475</v>
      </c>
    </row>
    <row r="455" spans="1:2" x14ac:dyDescent="0.2">
      <c r="A455" s="121">
        <v>1205</v>
      </c>
      <c r="B455" s="121" t="s">
        <v>476</v>
      </c>
    </row>
    <row r="456" spans="1:2" x14ac:dyDescent="0.2">
      <c r="A456" s="121">
        <v>1206</v>
      </c>
      <c r="B456" s="121" t="s">
        <v>477</v>
      </c>
    </row>
    <row r="458" spans="1:2" x14ac:dyDescent="0.2">
      <c r="B458" s="121" t="s">
        <v>478</v>
      </c>
    </row>
    <row r="460" spans="1:2" x14ac:dyDescent="0.2">
      <c r="B460" s="121" t="s">
        <v>479</v>
      </c>
    </row>
    <row r="461" spans="1:2" x14ac:dyDescent="0.2">
      <c r="A461" s="121">
        <v>1208</v>
      </c>
      <c r="B461" s="121" t="s">
        <v>480</v>
      </c>
    </row>
    <row r="463" spans="1:2" x14ac:dyDescent="0.2">
      <c r="B463" s="121" t="s">
        <v>97</v>
      </c>
    </row>
    <row r="464" spans="1:2" x14ac:dyDescent="0.2">
      <c r="A464" s="121" t="s">
        <v>481</v>
      </c>
      <c r="B464" s="121" t="s">
        <v>482</v>
      </c>
    </row>
    <row r="465" spans="1:2" x14ac:dyDescent="0.2">
      <c r="A465" s="121">
        <v>1210</v>
      </c>
      <c r="B465" s="121" t="s">
        <v>483</v>
      </c>
    </row>
    <row r="466" spans="1:2" x14ac:dyDescent="0.2">
      <c r="A466" s="121">
        <v>1211</v>
      </c>
      <c r="B466" s="121" t="s">
        <v>484</v>
      </c>
    </row>
    <row r="467" spans="1:2" x14ac:dyDescent="0.2">
      <c r="A467" s="121">
        <v>1212</v>
      </c>
      <c r="B467" s="121" t="s">
        <v>485</v>
      </c>
    </row>
    <row r="468" spans="1:2" x14ac:dyDescent="0.2">
      <c r="B468" s="121" t="s">
        <v>486</v>
      </c>
    </row>
    <row r="470" spans="1:2" x14ac:dyDescent="0.2">
      <c r="B470" s="121" t="s">
        <v>98</v>
      </c>
    </row>
    <row r="471" spans="1:2" x14ac:dyDescent="0.2">
      <c r="A471" s="121">
        <v>1214</v>
      </c>
      <c r="B471" s="121" t="s">
        <v>487</v>
      </c>
    </row>
    <row r="472" spans="1:2" x14ac:dyDescent="0.2">
      <c r="A472" s="121">
        <v>1242</v>
      </c>
      <c r="B472" s="121" t="s">
        <v>488</v>
      </c>
    </row>
    <row r="473" spans="1:2" x14ac:dyDescent="0.2">
      <c r="A473" s="121">
        <v>1243</v>
      </c>
      <c r="B473" s="121" t="s">
        <v>489</v>
      </c>
    </row>
    <row r="474" spans="1:2" x14ac:dyDescent="0.2">
      <c r="A474" s="121">
        <v>1244</v>
      </c>
      <c r="B474" s="121" t="s">
        <v>490</v>
      </c>
    </row>
    <row r="475" spans="1:2" x14ac:dyDescent="0.2">
      <c r="A475" s="121">
        <v>1245</v>
      </c>
      <c r="B475" s="121" t="s">
        <v>491</v>
      </c>
    </row>
    <row r="476" spans="1:2" x14ac:dyDescent="0.2">
      <c r="A476" s="121">
        <v>1246</v>
      </c>
      <c r="B476" s="121" t="s">
        <v>492</v>
      </c>
    </row>
    <row r="477" spans="1:2" x14ac:dyDescent="0.2">
      <c r="A477" s="121">
        <v>1215</v>
      </c>
      <c r="B477" s="121" t="s">
        <v>493</v>
      </c>
    </row>
    <row r="478" spans="1:2" x14ac:dyDescent="0.2">
      <c r="A478" s="121">
        <v>1216</v>
      </c>
      <c r="B478" s="121" t="s">
        <v>494</v>
      </c>
    </row>
    <row r="479" spans="1:2" x14ac:dyDescent="0.2">
      <c r="A479" s="121">
        <v>1217</v>
      </c>
      <c r="B479" s="121" t="s">
        <v>495</v>
      </c>
    </row>
    <row r="480" spans="1:2" x14ac:dyDescent="0.2">
      <c r="A480" s="121">
        <v>1218</v>
      </c>
      <c r="B480" s="121" t="s">
        <v>496</v>
      </c>
    </row>
    <row r="481" spans="1:2" x14ac:dyDescent="0.2">
      <c r="A481" s="121">
        <v>1219</v>
      </c>
      <c r="B481" s="121" t="s">
        <v>497</v>
      </c>
    </row>
    <row r="482" spans="1:2" x14ac:dyDescent="0.2">
      <c r="A482" s="121">
        <v>1220</v>
      </c>
      <c r="B482" s="121" t="s">
        <v>498</v>
      </c>
    </row>
    <row r="483" spans="1:2" x14ac:dyDescent="0.2">
      <c r="A483" s="121">
        <v>1221</v>
      </c>
      <c r="B483" s="121" t="s">
        <v>499</v>
      </c>
    </row>
    <row r="484" spans="1:2" x14ac:dyDescent="0.2">
      <c r="A484" s="121">
        <v>1222</v>
      </c>
      <c r="B484" s="121" t="s">
        <v>500</v>
      </c>
    </row>
    <row r="485" spans="1:2" x14ac:dyDescent="0.2">
      <c r="A485" s="121">
        <v>1223</v>
      </c>
      <c r="B485" s="121" t="s">
        <v>501</v>
      </c>
    </row>
    <row r="486" spans="1:2" x14ac:dyDescent="0.2">
      <c r="A486" s="121">
        <v>1224</v>
      </c>
      <c r="B486" s="121" t="s">
        <v>502</v>
      </c>
    </row>
    <row r="487" spans="1:2" x14ac:dyDescent="0.2">
      <c r="A487" s="121">
        <v>1225</v>
      </c>
      <c r="B487" s="121" t="s">
        <v>503</v>
      </c>
    </row>
    <row r="488" spans="1:2" x14ac:dyDescent="0.2">
      <c r="A488" s="121">
        <v>1226</v>
      </c>
      <c r="B488" s="121" t="s">
        <v>504</v>
      </c>
    </row>
    <row r="489" spans="1:2" x14ac:dyDescent="0.2">
      <c r="A489" s="121">
        <v>1227</v>
      </c>
      <c r="B489" s="121" t="s">
        <v>505</v>
      </c>
    </row>
    <row r="490" spans="1:2" x14ac:dyDescent="0.2">
      <c r="A490" s="121">
        <v>1228</v>
      </c>
      <c r="B490" s="121" t="s">
        <v>506</v>
      </c>
    </row>
    <row r="491" spans="1:2" x14ac:dyDescent="0.2">
      <c r="A491" s="121">
        <v>1229</v>
      </c>
      <c r="B491" s="121" t="s">
        <v>507</v>
      </c>
    </row>
    <row r="492" spans="1:2" x14ac:dyDescent="0.2">
      <c r="A492" s="121">
        <v>1230</v>
      </c>
      <c r="B492" s="121" t="s">
        <v>508</v>
      </c>
    </row>
    <row r="493" spans="1:2" x14ac:dyDescent="0.2">
      <c r="A493" s="121">
        <v>1231</v>
      </c>
      <c r="B493" s="121" t="s">
        <v>509</v>
      </c>
    </row>
    <row r="494" spans="1:2" x14ac:dyDescent="0.2">
      <c r="A494" s="121">
        <v>1232</v>
      </c>
      <c r="B494" s="121" t="s">
        <v>510</v>
      </c>
    </row>
    <row r="495" spans="1:2" x14ac:dyDescent="0.2">
      <c r="A495" s="121">
        <v>1233</v>
      </c>
      <c r="B495" s="121" t="s">
        <v>511</v>
      </c>
    </row>
    <row r="496" spans="1:2" x14ac:dyDescent="0.2">
      <c r="A496" s="121">
        <v>1234</v>
      </c>
      <c r="B496" s="121" t="s">
        <v>512</v>
      </c>
    </row>
    <row r="497" spans="1:2" x14ac:dyDescent="0.2">
      <c r="A497" s="121">
        <v>1235</v>
      </c>
      <c r="B497" s="121" t="s">
        <v>513</v>
      </c>
    </row>
    <row r="498" spans="1:2" x14ac:dyDescent="0.2">
      <c r="A498" s="121">
        <v>1236</v>
      </c>
      <c r="B498" s="121" t="s">
        <v>514</v>
      </c>
    </row>
    <row r="499" spans="1:2" x14ac:dyDescent="0.2">
      <c r="A499" s="121">
        <v>1237</v>
      </c>
      <c r="B499" s="121" t="s">
        <v>515</v>
      </c>
    </row>
    <row r="500" spans="1:2" x14ac:dyDescent="0.2">
      <c r="A500" s="121">
        <v>1238</v>
      </c>
      <c r="B500" s="121" t="s">
        <v>516</v>
      </c>
    </row>
    <row r="501" spans="1:2" x14ac:dyDescent="0.2">
      <c r="A501" s="121">
        <v>1239</v>
      </c>
      <c r="B501" s="121" t="s">
        <v>517</v>
      </c>
    </row>
    <row r="502" spans="1:2" x14ac:dyDescent="0.2">
      <c r="A502" s="121">
        <v>1240</v>
      </c>
      <c r="B502" s="121" t="s">
        <v>518</v>
      </c>
    </row>
    <row r="503" spans="1:2" x14ac:dyDescent="0.2">
      <c r="A503" s="121">
        <v>1241</v>
      </c>
      <c r="B503" s="121" t="s">
        <v>519</v>
      </c>
    </row>
    <row r="504" spans="1:2" x14ac:dyDescent="0.2">
      <c r="B504" s="121" t="s">
        <v>520</v>
      </c>
    </row>
    <row r="506" spans="1:2" x14ac:dyDescent="0.2">
      <c r="B506" s="121" t="s">
        <v>521</v>
      </c>
    </row>
    <row r="508" spans="1:2" x14ac:dyDescent="0.2">
      <c r="B508" s="121" t="s">
        <v>522</v>
      </c>
    </row>
    <row r="510" spans="1:2" x14ac:dyDescent="0.2">
      <c r="B510" s="121" t="s">
        <v>523</v>
      </c>
    </row>
    <row r="512" spans="1:2" x14ac:dyDescent="0.2">
      <c r="B512" s="121" t="s">
        <v>524</v>
      </c>
    </row>
    <row r="513" spans="1:2" x14ac:dyDescent="0.2">
      <c r="A513" s="121">
        <v>2101</v>
      </c>
      <c r="B513" s="121" t="s">
        <v>525</v>
      </c>
    </row>
    <row r="514" spans="1:2" x14ac:dyDescent="0.2">
      <c r="A514" s="121">
        <v>2102</v>
      </c>
      <c r="B514" s="121" t="s">
        <v>526</v>
      </c>
    </row>
    <row r="515" spans="1:2" x14ac:dyDescent="0.2">
      <c r="A515" s="121">
        <v>2103</v>
      </c>
      <c r="B515" s="121" t="s">
        <v>527</v>
      </c>
    </row>
    <row r="516" spans="1:2" x14ac:dyDescent="0.2">
      <c r="A516" s="121">
        <v>1207</v>
      </c>
      <c r="B516" s="121" t="s">
        <v>528</v>
      </c>
    </row>
    <row r="517" spans="1:2" x14ac:dyDescent="0.2">
      <c r="B517" s="121" t="s">
        <v>529</v>
      </c>
    </row>
    <row r="519" spans="1:2" x14ac:dyDescent="0.2">
      <c r="B519" s="121" t="s">
        <v>99</v>
      </c>
    </row>
    <row r="520" spans="1:2" x14ac:dyDescent="0.2">
      <c r="A520" s="121">
        <v>3101</v>
      </c>
      <c r="B520" s="121" t="s">
        <v>530</v>
      </c>
    </row>
    <row r="521" spans="1:2" x14ac:dyDescent="0.2">
      <c r="A521" s="121" t="s">
        <v>531</v>
      </c>
      <c r="B521" s="121" t="s">
        <v>532</v>
      </c>
    </row>
    <row r="522" spans="1:2" x14ac:dyDescent="0.2">
      <c r="A522" s="121">
        <v>3103</v>
      </c>
      <c r="B522" s="121" t="s">
        <v>533</v>
      </c>
    </row>
    <row r="523" spans="1:2" x14ac:dyDescent="0.2">
      <c r="A523" s="121">
        <v>3104</v>
      </c>
      <c r="B523" s="121" t="s">
        <v>534</v>
      </c>
    </row>
    <row r="524" spans="1:2" x14ac:dyDescent="0.2">
      <c r="B524" s="121" t="s">
        <v>535</v>
      </c>
    </row>
    <row r="526" spans="1:2" x14ac:dyDescent="0.2">
      <c r="B526" s="121" t="s">
        <v>536</v>
      </c>
    </row>
    <row r="534" spans="1:12" x14ac:dyDescent="0.2">
      <c r="B534" s="121" t="s">
        <v>537</v>
      </c>
    </row>
    <row r="535" spans="1:12" x14ac:dyDescent="0.2">
      <c r="B535" s="121" t="s">
        <v>538</v>
      </c>
    </row>
    <row r="536" spans="1:12" x14ac:dyDescent="0.2">
      <c r="A536" s="121">
        <v>5101</v>
      </c>
      <c r="B536" s="121" t="s">
        <v>539</v>
      </c>
    </row>
    <row r="537" spans="1:12" x14ac:dyDescent="0.2">
      <c r="A537" s="121">
        <v>5102</v>
      </c>
      <c r="B537" s="121" t="s">
        <v>540</v>
      </c>
    </row>
    <row r="538" spans="1:12" x14ac:dyDescent="0.2">
      <c r="A538" s="121">
        <v>5103</v>
      </c>
      <c r="B538" s="121" t="s">
        <v>541</v>
      </c>
    </row>
    <row r="539" spans="1:12" x14ac:dyDescent="0.2">
      <c r="A539" s="121">
        <v>5104</v>
      </c>
      <c r="B539" s="121" t="s">
        <v>542</v>
      </c>
    </row>
    <row r="540" spans="1:12" x14ac:dyDescent="0.2">
      <c r="A540" s="121">
        <v>5105</v>
      </c>
      <c r="B540" s="121" t="s">
        <v>543</v>
      </c>
      <c r="E540" s="121" t="s">
        <v>544</v>
      </c>
      <c r="F540" s="121" t="s">
        <v>545</v>
      </c>
    </row>
    <row r="541" spans="1:12" x14ac:dyDescent="0.2">
      <c r="B541" s="121" t="s">
        <v>546</v>
      </c>
    </row>
    <row r="542" spans="1:12" x14ac:dyDescent="0.2">
      <c r="E542" s="121" t="s">
        <v>547</v>
      </c>
      <c r="G542" s="121"/>
      <c r="H542" s="121"/>
      <c r="I542" s="121"/>
      <c r="J542" s="121"/>
      <c r="K542" s="121"/>
      <c r="L542" s="121"/>
    </row>
    <row r="543" spans="1:12" x14ac:dyDescent="0.2">
      <c r="B543" s="121" t="s">
        <v>536</v>
      </c>
      <c r="E543" s="121" t="s">
        <v>548</v>
      </c>
      <c r="F543" s="121" t="s">
        <v>549</v>
      </c>
      <c r="G543" s="121" t="s">
        <v>113</v>
      </c>
      <c r="H543" s="121"/>
      <c r="I543" s="121"/>
      <c r="J543" s="121"/>
      <c r="K543" s="121"/>
      <c r="L543" s="121"/>
    </row>
    <row r="544" spans="1:12" x14ac:dyDescent="0.2">
      <c r="A544" s="121">
        <v>6190</v>
      </c>
      <c r="B544" s="121" t="s">
        <v>550</v>
      </c>
      <c r="E544" s="121" t="s">
        <v>551</v>
      </c>
      <c r="F544" s="121" t="s">
        <v>552</v>
      </c>
      <c r="G544" s="132">
        <v>157866000</v>
      </c>
      <c r="H544" s="121"/>
      <c r="I544" s="121"/>
      <c r="J544" s="121"/>
      <c r="K544" s="121"/>
      <c r="L544" s="121"/>
    </row>
    <row r="545" spans="1:12" x14ac:dyDescent="0.2">
      <c r="A545" s="121">
        <v>7101</v>
      </c>
      <c r="B545" s="121" t="s">
        <v>553</v>
      </c>
      <c r="E545" s="121" t="s">
        <v>554</v>
      </c>
      <c r="F545" s="121" t="s">
        <v>555</v>
      </c>
      <c r="G545" s="132">
        <v>487283000</v>
      </c>
      <c r="H545" s="121"/>
      <c r="I545" s="121"/>
      <c r="J545" s="121"/>
      <c r="K545" s="121"/>
      <c r="L545" s="121"/>
    </row>
    <row r="546" spans="1:12" x14ac:dyDescent="0.2">
      <c r="A546" s="121">
        <v>7102</v>
      </c>
      <c r="B546" s="121" t="s">
        <v>555</v>
      </c>
      <c r="E546" s="121" t="s">
        <v>556</v>
      </c>
      <c r="F546" s="121" t="s">
        <v>557</v>
      </c>
      <c r="G546" s="132">
        <v>821000000</v>
      </c>
      <c r="H546" s="121"/>
      <c r="I546" s="121"/>
      <c r="J546" s="121"/>
      <c r="K546" s="121"/>
      <c r="L546" s="121"/>
    </row>
    <row r="547" spans="1:12" x14ac:dyDescent="0.2">
      <c r="A547" s="121">
        <v>7103</v>
      </c>
      <c r="B547" s="121" t="s">
        <v>558</v>
      </c>
      <c r="E547" s="121" t="s">
        <v>342</v>
      </c>
      <c r="G547" s="132">
        <v>1466149000</v>
      </c>
      <c r="H547" s="121"/>
      <c r="I547" s="121"/>
      <c r="J547" s="121"/>
      <c r="K547" s="121"/>
      <c r="L547" s="121"/>
    </row>
    <row r="548" spans="1:12" x14ac:dyDescent="0.2">
      <c r="A548" s="121">
        <v>7105</v>
      </c>
      <c r="B548" s="121" t="s">
        <v>559</v>
      </c>
      <c r="G548" s="121"/>
      <c r="H548" s="121"/>
      <c r="I548" s="121"/>
      <c r="J548" s="121"/>
      <c r="K548" s="121"/>
      <c r="L548" s="121"/>
    </row>
    <row r="549" spans="1:12" x14ac:dyDescent="0.2">
      <c r="A549" s="121" t="s">
        <v>560</v>
      </c>
      <c r="B549" s="121" t="s">
        <v>561</v>
      </c>
      <c r="G549" s="121"/>
      <c r="H549" s="121"/>
      <c r="I549" s="121"/>
      <c r="J549" s="121"/>
      <c r="K549" s="121"/>
      <c r="L549" s="121"/>
    </row>
    <row r="550" spans="1:12" x14ac:dyDescent="0.2">
      <c r="A550" s="121">
        <v>4101</v>
      </c>
      <c r="B550" s="121" t="s">
        <v>562</v>
      </c>
      <c r="G550" s="121"/>
      <c r="H550" s="121"/>
      <c r="I550" s="121"/>
      <c r="J550" s="121"/>
      <c r="K550" s="121"/>
    </row>
    <row r="551" spans="1:12" x14ac:dyDescent="0.2">
      <c r="A551" s="121">
        <v>4102</v>
      </c>
      <c r="B551" s="121" t="s">
        <v>552</v>
      </c>
      <c r="G551" s="121"/>
      <c r="H551" s="121"/>
      <c r="I551" s="121"/>
      <c r="J551" s="121"/>
      <c r="K551" s="121"/>
    </row>
    <row r="552" spans="1:12" x14ac:dyDescent="0.2">
      <c r="A552" s="121">
        <v>7104</v>
      </c>
      <c r="B552" s="121" t="s">
        <v>563</v>
      </c>
      <c r="E552" s="121">
        <v>6190</v>
      </c>
      <c r="F552" s="121" t="s">
        <v>550</v>
      </c>
      <c r="G552" s="121"/>
      <c r="H552" s="121"/>
      <c r="I552" s="121"/>
      <c r="J552" s="121"/>
      <c r="K552" s="121"/>
    </row>
    <row r="553" spans="1:12" x14ac:dyDescent="0.2">
      <c r="G553" s="121"/>
      <c r="H553" s="121"/>
      <c r="I553" s="121"/>
      <c r="J553" s="121"/>
      <c r="K553" s="121"/>
    </row>
    <row r="554" spans="1:12" x14ac:dyDescent="0.2">
      <c r="B554" s="121" t="s">
        <v>564</v>
      </c>
      <c r="G554" s="121"/>
      <c r="H554" s="121"/>
      <c r="I554" s="121"/>
      <c r="J554" s="121"/>
      <c r="K554" s="121"/>
    </row>
    <row r="555" spans="1:12" x14ac:dyDescent="0.2">
      <c r="A555" s="122" t="s">
        <v>565</v>
      </c>
      <c r="G555" s="121"/>
    </row>
    <row r="556" spans="1:12" x14ac:dyDescent="0.2">
      <c r="A556" s="136">
        <v>1110050100</v>
      </c>
      <c r="B556" s="137" t="s">
        <v>566</v>
      </c>
      <c r="G556" s="121"/>
    </row>
    <row r="557" spans="1:12" x14ac:dyDescent="0.2">
      <c r="A557" s="136">
        <v>1110050200</v>
      </c>
      <c r="B557" s="121" t="s">
        <v>567</v>
      </c>
      <c r="G557" s="121"/>
    </row>
    <row r="558" spans="1:12" x14ac:dyDescent="0.2">
      <c r="G558" s="121"/>
    </row>
    <row r="562" spans="1:2" x14ac:dyDescent="0.2">
      <c r="A562" s="121">
        <v>4170250000</v>
      </c>
      <c r="B562" s="121" t="s">
        <v>568</v>
      </c>
    </row>
    <row r="564" spans="1:2" x14ac:dyDescent="0.2">
      <c r="A564" s="121">
        <v>4218050000</v>
      </c>
      <c r="B564" s="121" t="s">
        <v>569</v>
      </c>
    </row>
    <row r="567" spans="1:2" x14ac:dyDescent="0.2">
      <c r="A567" s="121">
        <v>5210350000</v>
      </c>
      <c r="B567" s="121" t="s">
        <v>570</v>
      </c>
    </row>
    <row r="568" spans="1:2" x14ac:dyDescent="0.2">
      <c r="A568" s="121">
        <v>5140950000</v>
      </c>
    </row>
    <row r="570" spans="1:2" x14ac:dyDescent="0.2">
      <c r="A570" s="136">
        <v>5305950000</v>
      </c>
      <c r="B570" s="121" t="s">
        <v>571</v>
      </c>
    </row>
    <row r="571" spans="1:2" x14ac:dyDescent="0.2">
      <c r="A571" s="136">
        <v>5313050000</v>
      </c>
      <c r="B571" s="121" t="s">
        <v>569</v>
      </c>
    </row>
    <row r="572" spans="1:2" x14ac:dyDescent="0.2">
      <c r="A572" s="121">
        <v>5310950000</v>
      </c>
      <c r="B572" s="121" t="s">
        <v>572</v>
      </c>
    </row>
    <row r="576" spans="1:2" x14ac:dyDescent="0.2">
      <c r="A576" s="121">
        <v>1101</v>
      </c>
      <c r="B576" s="121" t="s">
        <v>573</v>
      </c>
    </row>
    <row r="577" spans="1:3" x14ac:dyDescent="0.2">
      <c r="A577" s="121">
        <v>1102</v>
      </c>
      <c r="B577" s="121" t="s">
        <v>574</v>
      </c>
    </row>
    <row r="578" spans="1:3" x14ac:dyDescent="0.2">
      <c r="A578" s="121">
        <v>1103</v>
      </c>
      <c r="B578" s="121" t="s">
        <v>575</v>
      </c>
    </row>
    <row r="579" spans="1:3" x14ac:dyDescent="0.2">
      <c r="A579" s="121">
        <v>1104</v>
      </c>
      <c r="B579" s="121" t="s">
        <v>576</v>
      </c>
    </row>
    <row r="580" spans="1:3" x14ac:dyDescent="0.2">
      <c r="A580" s="121">
        <v>1106</v>
      </c>
      <c r="B580" s="121" t="s">
        <v>577</v>
      </c>
    </row>
    <row r="581" spans="1:3" x14ac:dyDescent="0.2">
      <c r="A581" s="121">
        <v>9999</v>
      </c>
      <c r="B581" s="121" t="s">
        <v>578</v>
      </c>
      <c r="C581" s="121" t="s">
        <v>579</v>
      </c>
    </row>
    <row r="583" spans="1:3" x14ac:dyDescent="0.2">
      <c r="A583" s="121">
        <v>1218</v>
      </c>
      <c r="B583" s="121" t="s">
        <v>580</v>
      </c>
    </row>
    <row r="584" spans="1:3" x14ac:dyDescent="0.2">
      <c r="A584" s="121">
        <v>1223</v>
      </c>
      <c r="B584" s="121" t="s">
        <v>581</v>
      </c>
    </row>
    <row r="585" spans="1:3" x14ac:dyDescent="0.2">
      <c r="A585" s="121">
        <v>1231</v>
      </c>
      <c r="B585" s="121" t="s">
        <v>582</v>
      </c>
    </row>
    <row r="586" spans="1:3" x14ac:dyDescent="0.2">
      <c r="A586" s="121">
        <v>1235</v>
      </c>
      <c r="B586" s="121" t="s">
        <v>583</v>
      </c>
    </row>
    <row r="587" spans="1:3" x14ac:dyDescent="0.2">
      <c r="A587" s="121">
        <v>1201</v>
      </c>
      <c r="B587" s="121" t="s">
        <v>584</v>
      </c>
    </row>
    <row r="590" spans="1:3" x14ac:dyDescent="0.2">
      <c r="A590" s="121">
        <v>5103</v>
      </c>
      <c r="B590" s="121" t="s">
        <v>541</v>
      </c>
      <c r="C590" s="121" t="s">
        <v>585</v>
      </c>
    </row>
    <row r="591" spans="1:3" x14ac:dyDescent="0.2">
      <c r="A591" s="121">
        <v>5104</v>
      </c>
      <c r="B591" s="121" t="s">
        <v>542</v>
      </c>
      <c r="C591" s="121" t="s">
        <v>579</v>
      </c>
    </row>
    <row r="592" spans="1:3" x14ac:dyDescent="0.2">
      <c r="A592" s="121">
        <v>5105</v>
      </c>
      <c r="B592" s="121" t="s">
        <v>586</v>
      </c>
      <c r="C592" s="121" t="s">
        <v>579</v>
      </c>
    </row>
    <row r="593" spans="1:3" x14ac:dyDescent="0.2">
      <c r="A593" s="121">
        <v>5106</v>
      </c>
      <c r="B593" s="121" t="s">
        <v>587</v>
      </c>
      <c r="C593" s="121" t="s">
        <v>585</v>
      </c>
    </row>
    <row r="594" spans="1:3" x14ac:dyDescent="0.2">
      <c r="A594" s="121">
        <v>7101</v>
      </c>
      <c r="B594" s="121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CF435-EC77-4690-A1E9-72C710D780C9}">
  <sheetPr>
    <tabColor theme="2" tint="-0.749992370372631"/>
  </sheetPr>
  <dimension ref="A1:AG50"/>
  <sheetViews>
    <sheetView showGridLines="0" topLeftCell="A4" zoomScaleNormal="100" workbookViewId="0">
      <selection activeCell="U27" sqref="U27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SEPTIEMBRE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SEPTIEMBRE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422778</v>
      </c>
      <c r="D10" s="33">
        <f t="shared" ref="D10:D20" si="0">+C10/$C$20</f>
        <v>0.40765993144245649</v>
      </c>
      <c r="E10" s="32">
        <v>365136.10800000001</v>
      </c>
      <c r="F10" s="33">
        <f t="shared" ref="F10:F20" si="1">+E10/$E$20</f>
        <v>0.39460959762530884</v>
      </c>
      <c r="G10" s="33">
        <f t="shared" ref="G10:G20" si="2">IF(C10=0,"",(E10-C10)/ABS(C10)+1)</f>
        <v>0.86365919702538929</v>
      </c>
      <c r="H10" s="32">
        <v>383757.44699999999</v>
      </c>
      <c r="I10" s="33">
        <f t="shared" ref="I10:I19" si="3">+H10/$H$20</f>
        <v>0.44443029179382126</v>
      </c>
      <c r="J10" s="34">
        <f t="shared" ref="J10:J20" si="4">IF(H10=0,"",(E10-H10)/ABS(H10))</f>
        <v>-4.8523720244574117E-2</v>
      </c>
      <c r="K10" s="32">
        <v>3812605</v>
      </c>
      <c r="L10" s="33">
        <f t="shared" ref="L10:L20" si="5">+K10/$K$20</f>
        <v>0.40683495920558127</v>
      </c>
      <c r="M10" s="32">
        <v>3490703.0389999999</v>
      </c>
      <c r="N10" s="33">
        <f t="shared" ref="N10:N20" si="6">+M10/$M$20</f>
        <v>0.39170000085582046</v>
      </c>
      <c r="O10" s="33">
        <f t="shared" ref="O10:O20" si="7">IF(K10=0,"",(M10-K10)/ABS(K10)+1)</f>
        <v>0.91556902406622243</v>
      </c>
      <c r="P10" s="32">
        <v>3571308.3840000001</v>
      </c>
      <c r="Q10" s="33">
        <f t="shared" ref="Q10:Q20" si="8">+P10/$P$20</f>
        <v>0.42180825236912523</v>
      </c>
      <c r="R10" s="34">
        <f t="shared" ref="R10:R20" si="9">IF(P10=0,"",(M10-P10)/ABS(P10))</f>
        <v>-2.2570256145093573E-2</v>
      </c>
      <c r="S10" s="24"/>
      <c r="T10" s="19" t="s">
        <v>31</v>
      </c>
      <c r="U10" s="35">
        <f>+'COLOMB$ '!U10</f>
        <v>1924</v>
      </c>
      <c r="V10" s="35">
        <f>+'COLOMB$ '!V10</f>
        <v>61692</v>
      </c>
      <c r="W10" s="35">
        <f>+'COLOMB$ '!W10</f>
        <v>119848</v>
      </c>
      <c r="X10" s="35">
        <f>+'COLOMB$ '!X10</f>
        <v>45751</v>
      </c>
      <c r="Y10" s="35">
        <f>+'COLOMB$ '!Y10</f>
        <v>45751</v>
      </c>
      <c r="Z10" s="36">
        <f>+Y10-X10</f>
        <v>0</v>
      </c>
      <c r="AA10" s="37">
        <f>IF(X10=0,"",(Y10-X10)/ABS(X10)+1)</f>
        <v>1</v>
      </c>
      <c r="AB10" s="35">
        <f>+'COLOMB$ '!AB10</f>
        <v>32108</v>
      </c>
      <c r="AC10" s="34">
        <f>IF(W10=0,"",(Y10-AB10)/ABS(AB10))</f>
        <v>0.42490967983057182</v>
      </c>
    </row>
    <row r="11" spans="1:33" x14ac:dyDescent="0.2">
      <c r="A11" s="38"/>
      <c r="B11" s="19" t="str">
        <f>+'COLOMB$ '!B11</f>
        <v>Instalaciones</v>
      </c>
      <c r="C11" s="32">
        <v>41514</v>
      </c>
      <c r="D11" s="33">
        <f t="shared" si="0"/>
        <v>4.0029505778214902E-2</v>
      </c>
      <c r="E11" s="32">
        <v>15653.847</v>
      </c>
      <c r="F11" s="33">
        <f t="shared" si="1"/>
        <v>1.6917412796540372E-2</v>
      </c>
      <c r="G11" s="33">
        <f t="shared" si="2"/>
        <v>0.37707392686804453</v>
      </c>
      <c r="H11" s="32">
        <v>31475.361000000001</v>
      </c>
      <c r="I11" s="33">
        <f t="shared" si="3"/>
        <v>3.6451680567767229E-2</v>
      </c>
      <c r="J11" s="34">
        <f t="shared" si="4"/>
        <v>-0.50266346428878128</v>
      </c>
      <c r="K11" s="32">
        <v>409945</v>
      </c>
      <c r="L11" s="33">
        <f t="shared" si="5"/>
        <v>4.3744357821366757E-2</v>
      </c>
      <c r="M11" s="32">
        <v>473599.12199999997</v>
      </c>
      <c r="N11" s="33">
        <f t="shared" si="6"/>
        <v>5.3143671753257904E-2</v>
      </c>
      <c r="O11" s="33">
        <f t="shared" si="7"/>
        <v>1.1552747856419763</v>
      </c>
      <c r="P11" s="32">
        <v>316181.5</v>
      </c>
      <c r="Q11" s="33">
        <f t="shared" si="8"/>
        <v>3.734428719288347E-2</v>
      </c>
      <c r="R11" s="34">
        <f t="shared" si="9"/>
        <v>0.49787107088808158</v>
      </c>
      <c r="S11" s="24"/>
      <c r="T11" s="19" t="s">
        <v>32</v>
      </c>
      <c r="U11" s="35">
        <f>+'COLOMB$ '!U11</f>
        <v>1262118</v>
      </c>
      <c r="V11" s="35">
        <f>+'COLOMB$ '!V11</f>
        <v>1104453.98281</v>
      </c>
      <c r="W11" s="35">
        <f>+'COLOMB$ '!W11</f>
        <v>1152874.8606700001</v>
      </c>
      <c r="X11" s="35">
        <f>+'COLOMB$ '!X11</f>
        <v>10760804</v>
      </c>
      <c r="Y11" s="35">
        <f>+'COLOMB$ '!Y11</f>
        <v>10053892.64625</v>
      </c>
      <c r="Z11" s="36">
        <f>+Y11-X11</f>
        <v>-706911.35374999978</v>
      </c>
      <c r="AA11" s="37">
        <f>IF(X11=0,"",(Y11-X11)/ABS(X11)+1)</f>
        <v>0.93430682746846805</v>
      </c>
      <c r="AB11" s="35">
        <f>+'COLOMB$ '!AB11</f>
        <v>10122521.304040002</v>
      </c>
      <c r="AC11" s="34">
        <f>IF(AB11=0,"",(Y11-AB11)/ABS(AB11))</f>
        <v>-6.7797987999897898E-3</v>
      </c>
    </row>
    <row r="12" spans="1:33" x14ac:dyDescent="0.2">
      <c r="A12" s="38"/>
      <c r="B12" s="19" t="str">
        <f>+'COLOMB$ '!B12</f>
        <v>Voice Experience (Publihold)</v>
      </c>
      <c r="C12" s="32">
        <v>73818</v>
      </c>
      <c r="D12" s="33">
        <f t="shared" si="0"/>
        <v>7.1178350858415659E-2</v>
      </c>
      <c r="E12" s="32">
        <v>62087.718999999997</v>
      </c>
      <c r="F12" s="33">
        <f t="shared" si="1"/>
        <v>6.7099389173702978E-2</v>
      </c>
      <c r="G12" s="33">
        <f t="shared" si="2"/>
        <v>0.84109186106369715</v>
      </c>
      <c r="H12" s="32">
        <v>80408.854000000007</v>
      </c>
      <c r="I12" s="33">
        <f t="shared" si="3"/>
        <v>9.3121659854139005E-2</v>
      </c>
      <c r="J12" s="34">
        <f t="shared" si="4"/>
        <v>-0.22784972162393968</v>
      </c>
      <c r="K12" s="32">
        <v>672940</v>
      </c>
      <c r="L12" s="33">
        <f t="shared" si="5"/>
        <v>7.1807994126798821E-2</v>
      </c>
      <c r="M12" s="32">
        <v>601086.06499999994</v>
      </c>
      <c r="N12" s="33">
        <f t="shared" si="6"/>
        <v>6.7449281575774206E-2</v>
      </c>
      <c r="O12" s="33">
        <f t="shared" si="7"/>
        <v>0.89322386096828832</v>
      </c>
      <c r="P12" s="32">
        <v>781437.16560000007</v>
      </c>
      <c r="Q12" s="33">
        <f t="shared" si="8"/>
        <v>9.2295766625685699E-2</v>
      </c>
      <c r="R12" s="34">
        <f t="shared" si="9"/>
        <v>-0.23079411696719548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93240</v>
      </c>
      <c r="D13" s="33">
        <f t="shared" si="0"/>
        <v>8.990584185481422E-2</v>
      </c>
      <c r="E13" s="32">
        <v>69275.847680000006</v>
      </c>
      <c r="F13" s="33">
        <f t="shared" si="1"/>
        <v>7.4867737753717273E-2</v>
      </c>
      <c r="G13" s="33">
        <f t="shared" si="2"/>
        <v>0.74298420935220943</v>
      </c>
      <c r="H13" s="32">
        <v>42514.391000000003</v>
      </c>
      <c r="I13" s="33">
        <f t="shared" si="3"/>
        <v>4.9236004005328425E-2</v>
      </c>
      <c r="J13" s="34">
        <f t="shared" si="4"/>
        <v>0.62946818831298801</v>
      </c>
      <c r="K13" s="32">
        <v>920094</v>
      </c>
      <c r="L13" s="33">
        <f t="shared" si="5"/>
        <v>9.8181271061465861E-2</v>
      </c>
      <c r="M13" s="32">
        <v>881254.15018</v>
      </c>
      <c r="N13" s="33">
        <f t="shared" si="6"/>
        <v>9.8887601587154469E-2</v>
      </c>
      <c r="O13" s="33">
        <f t="shared" si="7"/>
        <v>0.95778708499348975</v>
      </c>
      <c r="P13" s="32">
        <v>687248.45299999998</v>
      </c>
      <c r="Q13" s="33">
        <f t="shared" si="8"/>
        <v>8.1171110902114374E-2</v>
      </c>
      <c r="R13" s="34">
        <f t="shared" si="9"/>
        <v>0.28229339234322004</v>
      </c>
      <c r="S13" s="24"/>
      <c r="T13" s="19" t="s">
        <v>33</v>
      </c>
      <c r="U13" s="35">
        <f>+'COLOMB$ '!U13</f>
        <v>119338</v>
      </c>
      <c r="V13" s="35">
        <f>+'COLOMB$ '!V13</f>
        <v>161119.772</v>
      </c>
      <c r="W13" s="35">
        <f>+'COLOMB$ '!W13</f>
        <v>101096.785</v>
      </c>
      <c r="X13" s="35">
        <f>+'COLOMB$ '!X13</f>
        <v>1435717</v>
      </c>
      <c r="Y13" s="35">
        <f>+'COLOMB$ '!Y13</f>
        <v>1625586.6129999999</v>
      </c>
      <c r="Z13" s="36">
        <f>+X13-Y13</f>
        <v>-189869.6129999999</v>
      </c>
      <c r="AA13" s="37">
        <f>IF(X13=0,"",(Y13-X13)/ABS(X13)+1)</f>
        <v>1.1322472416221303</v>
      </c>
      <c r="AB13" s="35">
        <f>+'COLOMB$ '!AB13</f>
        <v>1186262.5989999999</v>
      </c>
      <c r="AC13" s="34">
        <f>IF(AB13=0,"",(Y13-AB13)/ABS(AB13))</f>
        <v>0.37034296990425475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11798.825000000001</v>
      </c>
      <c r="W14" s="35">
        <f>+'COLOMB$ '!W14</f>
        <v>10902.121999999999</v>
      </c>
      <c r="X14" s="35">
        <f>+'COLOMB$ '!X14</f>
        <v>108759</v>
      </c>
      <c r="Y14" s="35">
        <f>+'COLOMB$ '!Y14</f>
        <v>111923.55100000001</v>
      </c>
      <c r="Z14" s="36">
        <f>+X14-Y14</f>
        <v>-3164.5510000000068</v>
      </c>
      <c r="AA14" s="37">
        <f>IF(X14=0,"",(Y14-X14)/ABS(X14)+1)</f>
        <v>1.0290969115199662</v>
      </c>
      <c r="AB14" s="35">
        <f>+'COLOMB$ '!AB14</f>
        <v>89215.505999999994</v>
      </c>
      <c r="AC14" s="34">
        <f>IF(AB14=0,"",(Y14-AB14)/ABS(AB14))</f>
        <v>0.25453024948376141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143968</v>
      </c>
      <c r="D15" s="33">
        <f t="shared" si="0"/>
        <v>0.13881986529551579</v>
      </c>
      <c r="E15" s="32">
        <v>127165.04399999999</v>
      </c>
      <c r="F15" s="33">
        <f t="shared" si="1"/>
        <v>0.13742970291189249</v>
      </c>
      <c r="G15" s="33">
        <f t="shared" si="2"/>
        <v>0.88328686930428979</v>
      </c>
      <c r="H15" s="32">
        <v>128729.75199999999</v>
      </c>
      <c r="I15" s="33">
        <f t="shared" si="3"/>
        <v>0.14908219160605957</v>
      </c>
      <c r="J15" s="34">
        <f t="shared" si="4"/>
        <v>-1.2154983410517243E-2</v>
      </c>
      <c r="K15" s="32">
        <v>1293746</v>
      </c>
      <c r="L15" s="33">
        <f t="shared" si="5"/>
        <v>0.13805288015212275</v>
      </c>
      <c r="M15" s="32">
        <v>1211727.8160000001</v>
      </c>
      <c r="N15" s="33">
        <f t="shared" si="6"/>
        <v>0.1359708291600171</v>
      </c>
      <c r="O15" s="33">
        <f t="shared" si="7"/>
        <v>0.9366041062155942</v>
      </c>
      <c r="P15" s="32">
        <v>1214752.9410000001</v>
      </c>
      <c r="Q15" s="33">
        <f t="shared" si="8"/>
        <v>0.14347481651236343</v>
      </c>
      <c r="R15" s="34">
        <f t="shared" si="9"/>
        <v>-2.4903211985720145E-3</v>
      </c>
      <c r="S15" s="24"/>
      <c r="T15" s="19" t="s">
        <v>35</v>
      </c>
      <c r="U15" s="35">
        <f>+'COLOMB$ '!U15</f>
        <v>407170</v>
      </c>
      <c r="V15" s="35">
        <f>+'COLOMB$ '!V15</f>
        <v>413088.85700000002</v>
      </c>
      <c r="W15" s="35">
        <f>+'COLOMB$ '!W15</f>
        <v>398675.723</v>
      </c>
      <c r="X15" s="35">
        <f>+'COLOMB$ '!X15</f>
        <v>3993249</v>
      </c>
      <c r="Y15" s="35">
        <f>+'COLOMB$ '!Y15</f>
        <v>4036842.4920000001</v>
      </c>
      <c r="Z15" s="36">
        <f>+X15-Y15</f>
        <v>-43593.492000000086</v>
      </c>
      <c r="AA15" s="37">
        <f>IF(X15=0,"",(Y15-X15)/ABS(X15)+1)</f>
        <v>1.01091679782553</v>
      </c>
      <c r="AB15" s="35">
        <f>+'COLOMB$ '!AB15</f>
        <v>3531397.068</v>
      </c>
      <c r="AC15" s="34">
        <f>IF(AB15=0,"",(Y15-AB15)/ABS(AB15))</f>
        <v>0.14312902635054239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334537</v>
      </c>
      <c r="V16" s="35">
        <f>+'COLOMB$ '!V16</f>
        <v>185478.21786999999</v>
      </c>
      <c r="W16" s="35">
        <f>+'COLOMB$ '!W16</f>
        <v>300565.81409</v>
      </c>
      <c r="X16" s="35">
        <f>+'COLOMB$ '!X16</f>
        <v>2784026</v>
      </c>
      <c r="Y16" s="35">
        <f>+'COLOMB$ '!Y16</f>
        <v>2208600.9486799999</v>
      </c>
      <c r="Z16" s="36">
        <f>+X16-Y16</f>
        <v>575425.05132000009</v>
      </c>
      <c r="AA16" s="37">
        <f>IF(X16=0,"",(Y16-X16)/ABS(X16)+1)</f>
        <v>0.79331189747509545</v>
      </c>
      <c r="AB16" s="35">
        <f>+'COLOMB$ '!AB16</f>
        <v>2322370.5931700002</v>
      </c>
      <c r="AC16" s="34">
        <f>IF(AB16=0,"",(Y16-AB16)/ABS(AB16))</f>
        <v>-4.8988582969743219E-2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16516</v>
      </c>
      <c r="D17" s="33">
        <f t="shared" si="0"/>
        <v>1.5925406307101153E-2</v>
      </c>
      <c r="E17" s="32">
        <v>23365.808000000001</v>
      </c>
      <c r="F17" s="33">
        <f t="shared" si="1"/>
        <v>2.5251877015324442E-2</v>
      </c>
      <c r="G17" s="33">
        <f t="shared" si="2"/>
        <v>1.4147377088883508</v>
      </c>
      <c r="H17" s="32">
        <v>1451.6959999999999</v>
      </c>
      <c r="I17" s="33">
        <f t="shared" si="3"/>
        <v>1.6812121352160318E-3</v>
      </c>
      <c r="J17" s="34">
        <f t="shared" si="4"/>
        <v>15.095524131774146</v>
      </c>
      <c r="K17" s="32">
        <v>153073</v>
      </c>
      <c r="L17" s="33">
        <f t="shared" si="5"/>
        <v>1.6334093804754476E-2</v>
      </c>
      <c r="M17" s="32">
        <v>149371.514</v>
      </c>
      <c r="N17" s="33">
        <f t="shared" si="6"/>
        <v>1.6761329023965477E-2</v>
      </c>
      <c r="O17" s="33">
        <f t="shared" si="7"/>
        <v>0.97581881847223217</v>
      </c>
      <c r="P17" s="32">
        <v>137237.26699999999</v>
      </c>
      <c r="Q17" s="33">
        <f t="shared" si="8"/>
        <v>1.6209132768408113E-2</v>
      </c>
      <c r="R17" s="34">
        <f t="shared" si="9"/>
        <v>8.8418016951620021E-2</v>
      </c>
      <c r="S17" s="24"/>
      <c r="T17" s="19" t="s">
        <v>37</v>
      </c>
      <c r="U17" s="35">
        <f>U13+U14+U15+U16</f>
        <v>873176</v>
      </c>
      <c r="V17" s="35">
        <f>V13+V14+V15+V16</f>
        <v>771485.67186999996</v>
      </c>
      <c r="W17" s="35">
        <f>W13+W14+W15+W16</f>
        <v>811240.44409</v>
      </c>
      <c r="X17" s="35">
        <f>X13+X14+X15+X16</f>
        <v>8321751</v>
      </c>
      <c r="Y17" s="35">
        <f>Y13+Y14+Y15+Y16</f>
        <v>7982953.6046799999</v>
      </c>
      <c r="Z17" s="36">
        <f>+Y17-X17</f>
        <v>-338797.39532000013</v>
      </c>
      <c r="AA17" s="37">
        <f>IF(X17=0,"",(Y17-X17)/ABS(X17)+1)</f>
        <v>0.95928772738814216</v>
      </c>
      <c r="AB17" s="35">
        <f>+'COLOMB$ '!AB17</f>
        <v>7129245.7661700007</v>
      </c>
      <c r="AC17" s="34">
        <f>IF(AB17=0,"",(Y17-AB17)/ABS(AB17))</f>
        <v>0.11974728695159449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183008</v>
      </c>
      <c r="D18" s="33">
        <f t="shared" si="0"/>
        <v>0.17646383854746717</v>
      </c>
      <c r="E18" s="32">
        <v>207115.22399999999</v>
      </c>
      <c r="F18" s="33">
        <f t="shared" si="1"/>
        <v>0.22383339640766425</v>
      </c>
      <c r="G18" s="33">
        <f t="shared" si="2"/>
        <v>1.1317277058926385</v>
      </c>
      <c r="H18" s="32">
        <v>138253.076</v>
      </c>
      <c r="I18" s="33">
        <f t="shared" si="3"/>
        <v>0.16011117279523007</v>
      </c>
      <c r="J18" s="41">
        <f t="shared" si="4"/>
        <v>0.49808763748591017</v>
      </c>
      <c r="K18" s="32">
        <v>1550761</v>
      </c>
      <c r="L18" s="33">
        <f t="shared" si="5"/>
        <v>0.16547840339416392</v>
      </c>
      <c r="M18" s="32">
        <v>1599885.1910000001</v>
      </c>
      <c r="N18" s="33">
        <f t="shared" si="6"/>
        <v>0.17952688145693466</v>
      </c>
      <c r="O18" s="33">
        <f t="shared" si="7"/>
        <v>1.0316774738338146</v>
      </c>
      <c r="P18" s="32">
        <v>1239434.7490000001</v>
      </c>
      <c r="Q18" s="33">
        <f t="shared" si="8"/>
        <v>0.14638999189862609</v>
      </c>
      <c r="R18" s="34">
        <f t="shared" si="9"/>
        <v>0.29081840919081736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62243</v>
      </c>
      <c r="D19" s="33">
        <f t="shared" si="0"/>
        <v>6.0017259916014601E-2</v>
      </c>
      <c r="E19" s="32">
        <v>55510.152000000002</v>
      </c>
      <c r="F19" s="33">
        <f t="shared" si="1"/>
        <v>5.9990886315849465E-2</v>
      </c>
      <c r="G19" s="33">
        <f t="shared" si="2"/>
        <v>0.89182963546101568</v>
      </c>
      <c r="H19" s="32">
        <v>56891.175000000003</v>
      </c>
      <c r="I19" s="33">
        <f t="shared" si="3"/>
        <v>6.5885787242438459E-2</v>
      </c>
      <c r="J19" s="34">
        <f t="shared" si="4"/>
        <v>-2.4274819424981133E-2</v>
      </c>
      <c r="K19" s="32">
        <v>558216</v>
      </c>
      <c r="L19" s="33">
        <f t="shared" si="5"/>
        <v>5.9566040433746151E-2</v>
      </c>
      <c r="M19" s="32">
        <v>504047.93400000001</v>
      </c>
      <c r="N19" s="33">
        <f t="shared" si="6"/>
        <v>5.6560404587075661E-2</v>
      </c>
      <c r="O19" s="33">
        <f t="shared" si="7"/>
        <v>0.90296217593189732</v>
      </c>
      <c r="P19" s="32">
        <v>519062.68400000001</v>
      </c>
      <c r="Q19" s="33">
        <f t="shared" si="8"/>
        <v>6.1306641730793615E-2</v>
      </c>
      <c r="R19" s="34">
        <f t="shared" si="9"/>
        <v>-2.8926660426238614E-2</v>
      </c>
      <c r="S19" s="24"/>
      <c r="T19" s="19" t="s">
        <v>38</v>
      </c>
      <c r="U19" s="35">
        <f>U11-U17</f>
        <v>388942</v>
      </c>
      <c r="V19" s="35">
        <f>V11-V17</f>
        <v>332968.31094</v>
      </c>
      <c r="W19" s="35">
        <f>W11-W17</f>
        <v>341634.41658000008</v>
      </c>
      <c r="X19" s="35">
        <f>X11-X17</f>
        <v>2439053</v>
      </c>
      <c r="Y19" s="35">
        <f>Y11-Y17</f>
        <v>2070939.0415700004</v>
      </c>
      <c r="Z19" s="36">
        <f>+Y19-X19</f>
        <v>-368113.95842999965</v>
      </c>
      <c r="AA19" s="37">
        <f>IF(X19=0,"",(Y19-X19)/ABS(X19)+1)</f>
        <v>0.84907504739339423</v>
      </c>
      <c r="AB19" s="35">
        <f>AB11-AB17</f>
        <v>2993275.537870001</v>
      </c>
      <c r="AC19" s="34">
        <f>IF(AB19=0,"",(Y19-AB19)/ABS(AB19))</f>
        <v>-0.30813618212920368</v>
      </c>
      <c r="AE19" s="40"/>
    </row>
    <row r="20" spans="1:32" x14ac:dyDescent="0.2">
      <c r="B20" s="42" t="s">
        <v>39</v>
      </c>
      <c r="C20" s="43">
        <f>SUM(C10:C19)</f>
        <v>1037085</v>
      </c>
      <c r="D20" s="44">
        <f t="shared" si="0"/>
        <v>1</v>
      </c>
      <c r="E20" s="43">
        <f>SUM(E10:E19)</f>
        <v>925309.74967999989</v>
      </c>
      <c r="F20" s="44">
        <f t="shared" si="1"/>
        <v>1</v>
      </c>
      <c r="G20" s="44">
        <f t="shared" si="2"/>
        <v>0.89222170765173525</v>
      </c>
      <c r="H20" s="43">
        <f>SUM(H10:H19)</f>
        <v>863481.75199999998</v>
      </c>
      <c r="I20" s="44">
        <f>+H22/$H$22</f>
        <v>1</v>
      </c>
      <c r="J20" s="45">
        <f t="shared" si="4"/>
        <v>7.1603131782221982E-2</v>
      </c>
      <c r="K20" s="43">
        <f>SUM(K10:K19)</f>
        <v>9371380</v>
      </c>
      <c r="L20" s="44">
        <f t="shared" si="5"/>
        <v>1</v>
      </c>
      <c r="M20" s="43">
        <f>SUM(M10:M19)</f>
        <v>8911674.8311800007</v>
      </c>
      <c r="N20" s="44">
        <f t="shared" si="6"/>
        <v>1</v>
      </c>
      <c r="O20" s="44">
        <f t="shared" si="7"/>
        <v>0.95094584054642972</v>
      </c>
      <c r="P20" s="43">
        <f>SUM(P10:P19)</f>
        <v>8466663.1436000001</v>
      </c>
      <c r="Q20" s="44">
        <f t="shared" si="8"/>
        <v>1</v>
      </c>
      <c r="R20" s="45">
        <f t="shared" si="9"/>
        <v>5.2560457411889305E-2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390866</v>
      </c>
      <c r="V21" s="35">
        <f>+V10+V19</f>
        <v>394660.31094</v>
      </c>
      <c r="W21" s="35">
        <f>+'COLOMB$ '!W21</f>
        <v>461482.41658000008</v>
      </c>
      <c r="X21" s="35">
        <f>+X10+X19</f>
        <v>2484804</v>
      </c>
      <c r="Y21" s="35">
        <f>+Y10+Y19</f>
        <v>2116690.0415700004</v>
      </c>
      <c r="Z21" s="36">
        <f>+Y21-X21</f>
        <v>-368113.95842999965</v>
      </c>
      <c r="AA21" s="37">
        <f>IF(X21=0,"",(Y21-X21)/ABS(X21)+1)</f>
        <v>0.85185392552893524</v>
      </c>
      <c r="AB21" s="35">
        <f>+'COLOMB$ '!AB21</f>
        <v>3025383.537870001</v>
      </c>
      <c r="AC21" s="34">
        <f>IF(AB21=0,"",(Y21-AB21)/ABS(AB21))</f>
        <v>-0.30035646222222773</v>
      </c>
    </row>
    <row r="22" spans="1:32" x14ac:dyDescent="0.2">
      <c r="B22" s="19" t="s">
        <v>41</v>
      </c>
      <c r="C22" s="32">
        <v>104484</v>
      </c>
      <c r="D22" s="33">
        <f>+C22/$C$20</f>
        <v>0.10074776898711292</v>
      </c>
      <c r="E22" s="32">
        <v>104464.17147</v>
      </c>
      <c r="F22" s="33">
        <f>+E22/$E$20</f>
        <v>0.1128964344168284</v>
      </c>
      <c r="G22" s="33">
        <f>IF(C22=0,"",(E22-C22)/ABS(C22)+1)</f>
        <v>0.99981022424486043</v>
      </c>
      <c r="H22" s="32">
        <v>70568.243659999993</v>
      </c>
      <c r="I22" s="33">
        <f>+H22/$H$20</f>
        <v>8.1725228699447941E-2</v>
      </c>
      <c r="J22" s="34">
        <f>IF(H22=0,"",(E22-H22)/ABS(H22))</f>
        <v>0.4803283467463304</v>
      </c>
      <c r="K22" s="32">
        <v>927215</v>
      </c>
      <c r="L22" s="33">
        <f>+K22/$K$20</f>
        <v>9.8941137804677642E-2</v>
      </c>
      <c r="M22" s="32">
        <v>1059167.93857</v>
      </c>
      <c r="N22" s="33">
        <f>+M22/$M$20</f>
        <v>0.11885172637405969</v>
      </c>
      <c r="O22" s="33">
        <f>IF(K22=0,"",(M22-K22)/ABS(K22)+1)</f>
        <v>1.142311048214276</v>
      </c>
      <c r="P22" s="32">
        <v>682849.73849999998</v>
      </c>
      <c r="Q22" s="33">
        <f>+P22/$P$20</f>
        <v>8.0651577477269781E-2</v>
      </c>
      <c r="R22" s="34">
        <f>IF(P22=0,"",(M22-P22)/ABS(P22))</f>
        <v>0.55109957411223354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78405.248999999996</v>
      </c>
      <c r="W23" s="35">
        <f>+'COLOMB$ '!W23</f>
        <v>101750.85665</v>
      </c>
      <c r="X23" s="35">
        <f>+'COLOMB$ '!X23</f>
        <v>115236</v>
      </c>
      <c r="Y23" s="35">
        <f>+'COLOMB$ '!Y23</f>
        <v>296409.53014999995</v>
      </c>
      <c r="Z23" s="36">
        <f>+Y23-X23</f>
        <v>181173.53014999995</v>
      </c>
      <c r="AA23" s="37">
        <f>IF(X23=0,"",(Y23-X23)/ABS(X23)+1)</f>
        <v>2.5721955825436491</v>
      </c>
      <c r="AB23" s="35">
        <f>+'COLOMB$ '!AB23</f>
        <v>195916.77822000001</v>
      </c>
      <c r="AC23" s="34">
        <f>IF(AB23=0,"",(Y23-AB23)/ABS(AB23))</f>
        <v>0.51293591515247372</v>
      </c>
    </row>
    <row r="24" spans="1:32" x14ac:dyDescent="0.2">
      <c r="B24" s="46" t="s">
        <v>43</v>
      </c>
      <c r="C24" s="35">
        <f>+C20-C22</f>
        <v>932601</v>
      </c>
      <c r="D24" s="33">
        <f>+C24/$C$20</f>
        <v>0.89925223101288709</v>
      </c>
      <c r="E24" s="35">
        <f>+E20-E22</f>
        <v>820845.57820999995</v>
      </c>
      <c r="F24" s="33">
        <f>+E24/$E$20</f>
        <v>0.88710356558317172</v>
      </c>
      <c r="G24" s="33">
        <f>IF(C24=0,"",(E24-C24)/ABS(C24)+1)</f>
        <v>0.88016802277715755</v>
      </c>
      <c r="H24" s="35">
        <f>+H20-H22</f>
        <v>792913.50833999994</v>
      </c>
      <c r="I24" s="33">
        <f>+H24/$H$20</f>
        <v>0.91827477130055202</v>
      </c>
      <c r="J24" s="34">
        <f>IF(H24=0,"",(E24-H24)/ABS(H24))</f>
        <v>3.5227133320602712E-2</v>
      </c>
      <c r="K24" s="35">
        <f>+K20-K22</f>
        <v>8444165</v>
      </c>
      <c r="L24" s="33">
        <f>+K24/$K$20</f>
        <v>0.90105886219532239</v>
      </c>
      <c r="M24" s="35">
        <f>+M20-M22</f>
        <v>7852506.8926100004</v>
      </c>
      <c r="N24" s="33">
        <f>+M24/$M$20</f>
        <v>0.88114827362594028</v>
      </c>
      <c r="O24" s="33">
        <f>IF(K24=0,"",(M24-K24)/ABS(K24)+1)</f>
        <v>0.92993290545720042</v>
      </c>
      <c r="P24" s="35">
        <f>+P20-P22</f>
        <v>7783813.4051000001</v>
      </c>
      <c r="Q24" s="33">
        <f>+P24/$P$20</f>
        <v>0.91934842252273019</v>
      </c>
      <c r="R24" s="34">
        <f>IF(P24=0,"",(M24-P24)/ABS(P24))</f>
        <v>8.8251714082703964E-3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336429</v>
      </c>
      <c r="V25" s="35">
        <f>+'COLOMB$ '!V25</f>
        <v>292703.98497000005</v>
      </c>
      <c r="W25" s="35">
        <f>+'COLOMB$ '!W25</f>
        <v>326316.03264999995</v>
      </c>
      <c r="X25" s="35">
        <f>+'COLOMB$ '!X25</f>
        <v>1873208</v>
      </c>
      <c r="Y25" s="35">
        <f>+'COLOMB$ '!Y25</f>
        <v>1775329.0847999998</v>
      </c>
      <c r="Z25" s="36">
        <f>+Y25-X25</f>
        <v>-97878.915200000163</v>
      </c>
      <c r="AA25" s="37">
        <f>IF(X25=0,"",(Y25-X25)/ABS(X25)+1)</f>
        <v>0.94774797288928925</v>
      </c>
      <c r="AB25" s="35">
        <f>+'COLOMB$ '!AB25</f>
        <v>1780021.9503599999</v>
      </c>
      <c r="AC25" s="34">
        <f>IF(AB25=0,"",(Y25-AB25)/ABS(AB25))</f>
        <v>-2.6364088145379087E-3</v>
      </c>
    </row>
    <row r="26" spans="1:32" x14ac:dyDescent="0.2">
      <c r="B26" s="19" t="s">
        <v>45</v>
      </c>
      <c r="C26" s="32">
        <v>228870</v>
      </c>
      <c r="D26" s="33">
        <f>+C26/$C$20</f>
        <v>0.2206858647073287</v>
      </c>
      <c r="E26" s="32">
        <v>193959.23194999999</v>
      </c>
      <c r="F26" s="33">
        <f>+E26/$E$20</f>
        <v>0.20961546338085918</v>
      </c>
      <c r="G26" s="33">
        <f>IF(C26=0,"",(E26-C26)/ABS(C26)+1)</f>
        <v>0.84746463909643022</v>
      </c>
      <c r="H26" s="32">
        <v>210005.09250999999</v>
      </c>
      <c r="I26" s="33">
        <f>+H26/$H$20</f>
        <v>0.24320733127664287</v>
      </c>
      <c r="J26" s="34">
        <f>IF(H26=0,"",(E26-H26)/ABS(H26))</f>
        <v>-7.6407006935967192E-2</v>
      </c>
      <c r="K26" s="32">
        <v>2031911</v>
      </c>
      <c r="L26" s="33">
        <f>+K26/$K$20</f>
        <v>0.21682089510829783</v>
      </c>
      <c r="M26" s="32">
        <v>1897260.7930899998</v>
      </c>
      <c r="N26" s="33">
        <f>+M26/$M$20</f>
        <v>0.21289609742625476</v>
      </c>
      <c r="O26" s="33">
        <f>IF(K26=0,"",(M26-K26)/ABS(K26)+1)</f>
        <v>0.93373223191862231</v>
      </c>
      <c r="P26" s="32">
        <v>1805064.7390399999</v>
      </c>
      <c r="Q26" s="33">
        <f>+P26/$P$20</f>
        <v>0.21319671143459379</v>
      </c>
      <c r="R26" s="34">
        <f>IF(P26=0,"",(M26-P26)/ABS(P26))</f>
        <v>5.1076314359247407E-2</v>
      </c>
      <c r="S26" s="24"/>
      <c r="AC26" s="34"/>
    </row>
    <row r="27" spans="1:32" x14ac:dyDescent="0.2">
      <c r="B27" s="19" t="s">
        <v>46</v>
      </c>
      <c r="C27" s="32">
        <v>350878</v>
      </c>
      <c r="D27" s="33">
        <f>+C27/$C$20</f>
        <v>0.33833099504862185</v>
      </c>
      <c r="E27" s="32">
        <v>325745.65405000001</v>
      </c>
      <c r="F27" s="33">
        <f>+E27/$E$20</f>
        <v>0.35203957827381882</v>
      </c>
      <c r="G27" s="33">
        <f>IF(C27=0,"",(E27-C27)/ABS(C27)+1)</f>
        <v>0.92837297878464886</v>
      </c>
      <c r="H27" s="32">
        <v>309937.98637</v>
      </c>
      <c r="I27" s="33">
        <f>+H27/$H$20</f>
        <v>0.35893982200795832</v>
      </c>
      <c r="J27" s="34">
        <f>IF(H27=0,"",(E27-H27)/ABS(H27))</f>
        <v>5.1002679165402534E-2</v>
      </c>
      <c r="K27" s="32">
        <v>3062942</v>
      </c>
      <c r="L27" s="33">
        <f>+K27/$K$20</f>
        <v>0.32684001715862554</v>
      </c>
      <c r="M27" s="32">
        <v>3078888.9771400001</v>
      </c>
      <c r="N27" s="33">
        <f>+M27/$M$20</f>
        <v>0.34548937606740782</v>
      </c>
      <c r="O27" s="33">
        <f>IF(K27=0,"",(M27-K27)/ABS(K27)+1)</f>
        <v>1.0052064247837538</v>
      </c>
      <c r="P27" s="32">
        <v>2728120.4540999997</v>
      </c>
      <c r="Q27" s="33">
        <f>+P27/$P$20</f>
        <v>0.32221908535031324</v>
      </c>
      <c r="R27" s="34">
        <f>IF(P27=0,"",(M27-P27)/ABS(P27))</f>
        <v>0.12857515969019706</v>
      </c>
      <c r="S27" s="24"/>
      <c r="T27" s="19" t="s">
        <v>47</v>
      </c>
      <c r="U27" s="35">
        <f>+'COLOMB$ '!U27</f>
        <v>-28737</v>
      </c>
      <c r="V27" s="35">
        <f>+'COLOMB$ '!V27</f>
        <v>-202120.68044</v>
      </c>
      <c r="W27" s="35">
        <f>+'COLOMB$ '!W27</f>
        <v>-60262</v>
      </c>
      <c r="X27" s="35">
        <f>+'COLOMB$ '!X27</f>
        <v>6936</v>
      </c>
      <c r="Y27" s="35">
        <f>+'COLOMB$ '!Y27</f>
        <v>-576624</v>
      </c>
      <c r="Z27" s="36">
        <f>+Y27-X27</f>
        <v>-583560</v>
      </c>
      <c r="AA27" s="37">
        <f>IF(X27=0,"",(Y27-X27)/ABS(X27)+1)</f>
        <v>-83.134948096885807</v>
      </c>
      <c r="AB27" s="35">
        <f>+'COLOMB$ '!AB27</f>
        <v>583856</v>
      </c>
      <c r="AC27" s="34">
        <f>IF(AB27=0,"",(Y27-AB27)/ABS(AB27))</f>
        <v>-1.9876133841221122</v>
      </c>
    </row>
    <row r="28" spans="1:32" x14ac:dyDescent="0.2">
      <c r="B28" s="19" t="s">
        <v>48</v>
      </c>
      <c r="C28" s="35">
        <f>SUM(C26:C27)</f>
        <v>579748</v>
      </c>
      <c r="D28" s="33">
        <f>+C28/$C$20</f>
        <v>0.55901685975595061</v>
      </c>
      <c r="E28" s="35">
        <f>SUM(E26:E27)</f>
        <v>519704.886</v>
      </c>
      <c r="F28" s="33">
        <f>+E28/$E$20</f>
        <v>0.56165504165467794</v>
      </c>
      <c r="G28" s="33">
        <f>IF(C28=0,"",(E28-C28)/ABS(C28)+1)</f>
        <v>0.89643239131484709</v>
      </c>
      <c r="H28" s="35">
        <f>SUM(H26:H27)</f>
        <v>519943.07887999999</v>
      </c>
      <c r="I28" s="33">
        <f>+H28/$H$20</f>
        <v>0.60214715328460122</v>
      </c>
      <c r="J28" s="34">
        <f>IF(H28=0,"",(E28-H28)/ABS(H28))</f>
        <v>-4.5811337755100956E-4</v>
      </c>
      <c r="K28" s="35">
        <f>SUM(K26:K27)</f>
        <v>5094853</v>
      </c>
      <c r="L28" s="33">
        <f>+K28/$K$20</f>
        <v>0.54366091226692337</v>
      </c>
      <c r="M28" s="35">
        <f>SUM(M26:M27)</f>
        <v>4976149.7702299999</v>
      </c>
      <c r="N28" s="33">
        <f>+M28/$M$20</f>
        <v>0.55838547349366252</v>
      </c>
      <c r="O28" s="33">
        <f>IF(K28=0,"",(M28-K28)/ABS(K28)+1)</f>
        <v>0.97670134353827287</v>
      </c>
      <c r="P28" s="35">
        <f>SUM(P26:P27)</f>
        <v>4533185.1931400001</v>
      </c>
      <c r="Q28" s="33">
        <f>+P28/$P$20</f>
        <v>0.53541579678490703</v>
      </c>
      <c r="R28" s="34">
        <f>IF(P28=0,"",(M28-P28)/ABS(P28))</f>
        <v>9.7715967518894067E-2</v>
      </c>
      <c r="S28" s="24"/>
      <c r="T28" s="19" t="s">
        <v>49</v>
      </c>
      <c r="U28" s="35">
        <f>+'COLOMB$ '!U28</f>
        <v>81250</v>
      </c>
      <c r="V28" s="35">
        <f>+'COLOMB$ '!V28</f>
        <v>81474.778000000006</v>
      </c>
      <c r="W28" s="35">
        <f>+'COLOMB$ '!W28</f>
        <v>66560.298999999999</v>
      </c>
      <c r="X28" s="35">
        <f>+'COLOMB$ '!X28</f>
        <v>487500</v>
      </c>
      <c r="Y28" s="35">
        <f>+'COLOMB$ '!Y28</f>
        <v>477378.80985000002</v>
      </c>
      <c r="Z28" s="36">
        <f>+Y28-X28</f>
        <v>-10121.19014999998</v>
      </c>
      <c r="AA28" s="37">
        <f>IF(X28=0,"",(Y28-X28)/ABS(X28)+1)</f>
        <v>0.97923858430769239</v>
      </c>
      <c r="AB28" s="35">
        <f>+'COLOMB$ '!AB28</f>
        <v>438471.51910000003</v>
      </c>
      <c r="AC28" s="34">
        <f>IF(AB28=0,"",(Y28-AB28)/ABS(AB28))</f>
        <v>8.8733906434471502E-2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56540</v>
      </c>
      <c r="D30" s="33">
        <f>+C30/$C$20</f>
        <v>5.4518192819296395E-2</v>
      </c>
      <c r="E30" s="35">
        <v>60085.83036</v>
      </c>
      <c r="F30" s="33">
        <f>+E30/$E$20</f>
        <v>6.4935909711077294E-2</v>
      </c>
      <c r="G30" s="33">
        <f>IF(C30=0,"",(E30-C30)/ABS(C30)+1)</f>
        <v>1.0627136604174037</v>
      </c>
      <c r="H30" s="35">
        <v>57942.164200000007</v>
      </c>
      <c r="I30" s="33">
        <f>+H30/$H$20</f>
        <v>6.7102940005152545E-2</v>
      </c>
      <c r="J30" s="34">
        <f>IF(H30=0,"",(E30-H30)/ABS(H30))</f>
        <v>3.6996653293802806E-2</v>
      </c>
      <c r="K30" s="35">
        <v>532341</v>
      </c>
      <c r="L30" s="33">
        <f>+K30/$K$20</f>
        <v>5.6804974294074086E-2</v>
      </c>
      <c r="M30" s="35">
        <v>504290.08562999999</v>
      </c>
      <c r="N30" s="33">
        <f>+M30/$M$20</f>
        <v>5.6587576991207006E-2</v>
      </c>
      <c r="O30" s="33">
        <f>IF(K30=0,"",(M30-K30)/ABS(K30)+1)</f>
        <v>0.94730649269922851</v>
      </c>
      <c r="P30" s="35">
        <v>482792.28207000002</v>
      </c>
      <c r="Q30" s="33">
        <f>+P30/$P$20</f>
        <v>5.7022734208452067E-2</v>
      </c>
      <c r="R30" s="34">
        <f>IF(P30=0,"",(M30-P30)/ABS(P30))</f>
        <v>4.4528059702667343E-2</v>
      </c>
      <c r="S30" s="24"/>
      <c r="T30" s="42" t="s">
        <v>51</v>
      </c>
      <c r="U30" s="43">
        <f>U21-U23-U25-U27-U28</f>
        <v>1924</v>
      </c>
      <c r="V30" s="43">
        <f>V21-V23-V25-V27-V28</f>
        <v>144196.97940999991</v>
      </c>
      <c r="W30" s="43">
        <f>W21-W23-W25-W27-W28</f>
        <v>27117.228280000156</v>
      </c>
      <c r="X30" s="43">
        <f>X21-X23-X25-X27-X28</f>
        <v>1924</v>
      </c>
      <c r="Y30" s="43">
        <f>Y21-Y23-Y25-Y27-Y28</f>
        <v>144196.61677000049</v>
      </c>
      <c r="Z30" s="47">
        <f>+Y30-X30</f>
        <v>142272.61677000049</v>
      </c>
      <c r="AA30" s="48">
        <f>IF(U30=0,"",(V30-U30)/ABS(U30)+1)</f>
        <v>74.946454994802451</v>
      </c>
      <c r="AB30" s="43">
        <f>AB21-AB23-AB25-AB27-AB28</f>
        <v>27117.290190000902</v>
      </c>
      <c r="AC30" s="34">
        <f>IF(AB30=0,"",(Y30-AB30)/ABS(AB30))</f>
        <v>4.3175157163443583</v>
      </c>
    </row>
    <row r="31" spans="1:32" x14ac:dyDescent="0.2">
      <c r="B31" s="19" t="s">
        <v>52</v>
      </c>
      <c r="C31" s="35">
        <v>187701</v>
      </c>
      <c r="D31" s="33">
        <f>+C31/$C$20</f>
        <v>0.18098902211487006</v>
      </c>
      <c r="E31" s="35">
        <v>194905.08171999999</v>
      </c>
      <c r="F31" s="33">
        <f>+E31/$E$20</f>
        <v>0.21063766137491155</v>
      </c>
      <c r="G31" s="33">
        <f>IF(C31=0,"",(E31-C31)/ABS(C31)+1)</f>
        <v>1.0383806251431797</v>
      </c>
      <c r="H31" s="35">
        <v>199950.75930000001</v>
      </c>
      <c r="I31" s="33">
        <f>+H31/$H$20</f>
        <v>0.2315633872248872</v>
      </c>
      <c r="J31" s="34">
        <f>IF(H31=0,"",(E31-H31)/ABS(H31))</f>
        <v>-2.5234600747025108E-2</v>
      </c>
      <c r="K31" s="35">
        <v>1773180</v>
      </c>
      <c r="L31" s="33">
        <f>+K31/$K$20</f>
        <v>0.18921226116110967</v>
      </c>
      <c r="M31" s="35">
        <v>1724154.88221</v>
      </c>
      <c r="N31" s="33">
        <f>+M31/$M$20</f>
        <v>0.19347147588661553</v>
      </c>
      <c r="O31" s="33">
        <f>IF(K31=0,"",(M31-K31)/ABS(K31)+1)</f>
        <v>0.97235186625723269</v>
      </c>
      <c r="P31" s="35">
        <v>1650966.07064</v>
      </c>
      <c r="Q31" s="33">
        <f>+P31/$P$20</f>
        <v>0.19499607373513789</v>
      </c>
      <c r="R31" s="34">
        <f>IF(P31=0,"",(M31-P31)/ABS(P31))</f>
        <v>4.4330899872235485E-2</v>
      </c>
      <c r="S31" s="24"/>
    </row>
    <row r="32" spans="1:32" x14ac:dyDescent="0.2">
      <c r="B32" s="19" t="s">
        <v>53</v>
      </c>
      <c r="C32" s="35">
        <f>SUM(C30:C31)</f>
        <v>244241</v>
      </c>
      <c r="D32" s="33">
        <f>+C32/$C$20</f>
        <v>0.23550721493416643</v>
      </c>
      <c r="E32" s="35">
        <f>SUM(E30:E31)</f>
        <v>254990.91207999998</v>
      </c>
      <c r="F32" s="33">
        <f>+E32/$E$20</f>
        <v>0.27557357108598884</v>
      </c>
      <c r="G32" s="33">
        <f>IF(C32=0,"",(E32-C32)/ABS(C32)+1)</f>
        <v>1.0440135443271195</v>
      </c>
      <c r="H32" s="35">
        <f>SUM(H30:H31)</f>
        <v>257892.9235</v>
      </c>
      <c r="I32" s="33">
        <f>+H32/$H$20</f>
        <v>0.29866632723003972</v>
      </c>
      <c r="J32" s="34">
        <f>IF(H32=0,"",(E32-H32)/ABS(H32))</f>
        <v>-1.1252776464802937E-2</v>
      </c>
      <c r="K32" s="35">
        <f>SUM(K30:K31)</f>
        <v>2305521</v>
      </c>
      <c r="L32" s="33">
        <f>+K32/$K$20</f>
        <v>0.24601723545518375</v>
      </c>
      <c r="M32" s="35">
        <f>SUM(M30:M31)</f>
        <v>2228444.9678400001</v>
      </c>
      <c r="N32" s="33">
        <f>+M32/$M$20</f>
        <v>0.25005905287782254</v>
      </c>
      <c r="O32" s="33">
        <f>IF(K32=0,"",(M32-K32)/ABS(K32)+1)</f>
        <v>0.9665689307709624</v>
      </c>
      <c r="P32" s="35">
        <f t="shared" ref="P32" si="10">SUM(P30:P31)</f>
        <v>2133758.3527100002</v>
      </c>
      <c r="Q32" s="33">
        <f>+P32/$P$20</f>
        <v>0.25201880794359</v>
      </c>
      <c r="R32" s="34">
        <f>IF(P32=0,"",(M32-P32)/ABS(P32))</f>
        <v>4.4375510005499066E-2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823989</v>
      </c>
      <c r="D34" s="33">
        <f>+C34/$C$20</f>
        <v>0.79452407469011699</v>
      </c>
      <c r="E34" s="35">
        <f>E28+E32</f>
        <v>774695.79807999998</v>
      </c>
      <c r="F34" s="33">
        <f>+E34/$E$20</f>
        <v>0.83722861274066684</v>
      </c>
      <c r="G34" s="33">
        <f>IF(C34=0,"",(E34-C34)/ABS(C34)+1)</f>
        <v>0.94017735440643013</v>
      </c>
      <c r="H34" s="35">
        <f>H28+H32</f>
        <v>777836.00237999996</v>
      </c>
      <c r="I34" s="33">
        <f>+H34/$H$20</f>
        <v>0.90081348051464094</v>
      </c>
      <c r="J34" s="34">
        <f>IF(H34=0,"",(E34-H34)/ABS(H34))</f>
        <v>-4.03710331019865E-3</v>
      </c>
      <c r="K34" s="35">
        <f>K28+K32</f>
        <v>7400374</v>
      </c>
      <c r="L34" s="33">
        <f>+K34/$K$20</f>
        <v>0.78967814772210709</v>
      </c>
      <c r="M34" s="35">
        <f>M28+M32</f>
        <v>7204594.73807</v>
      </c>
      <c r="N34" s="33">
        <f>+M34/$M$20</f>
        <v>0.80844452637148512</v>
      </c>
      <c r="O34" s="33">
        <f>IF(K34=0,"",(M34-K34)/ABS(K34)+1)</f>
        <v>0.97354468004860295</v>
      </c>
      <c r="P34" s="35">
        <f>P28+P32</f>
        <v>6666943.5458500003</v>
      </c>
      <c r="Q34" s="33">
        <f>+P34/$P$20</f>
        <v>0.78743460472849702</v>
      </c>
      <c r="R34" s="34">
        <f>IF(P34=0,"",(M34-P34)/ABS(P34))</f>
        <v>8.0644329522585143E-2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108612</v>
      </c>
      <c r="D36" s="44">
        <f>+C36/$C$20</f>
        <v>0.10472815632277008</v>
      </c>
      <c r="E36" s="43">
        <f>E24-E34</f>
        <v>46149.78012999997</v>
      </c>
      <c r="F36" s="44">
        <f>+E36/$E$20</f>
        <v>4.9874952842504858E-2</v>
      </c>
      <c r="G36" s="44">
        <f>IF(C36=0,"",(E36-C36)/ABS(C36)+1)</f>
        <v>0.42490498407174138</v>
      </c>
      <c r="H36" s="43">
        <f>H24-H34</f>
        <v>15077.50595999998</v>
      </c>
      <c r="I36" s="44">
        <f>+H36/$H$20</f>
        <v>1.7461290785911108E-2</v>
      </c>
      <c r="J36" s="45">
        <f>IF(H36=0,"",(E36-H36)/ABS(H36))</f>
        <v>2.0608364707288782</v>
      </c>
      <c r="K36" s="43">
        <f>K24-K34</f>
        <v>1043791</v>
      </c>
      <c r="L36" s="44">
        <f>+K36/$K$20</f>
        <v>0.11138071447321526</v>
      </c>
      <c r="M36" s="43">
        <f>+M24-M34</f>
        <v>647912.15454000048</v>
      </c>
      <c r="N36" s="44">
        <f>+M36/$M$20</f>
        <v>7.2703747254455206E-2</v>
      </c>
      <c r="O36" s="44">
        <f>IF(K36=0,"",(M36-K36)/ABS(K36)+1)</f>
        <v>0.62072977688062125</v>
      </c>
      <c r="P36" s="43">
        <f>P24-P34</f>
        <v>1116869.8592499997</v>
      </c>
      <c r="Q36" s="44">
        <f>+P36/$P$20</f>
        <v>0.13191381779423317</v>
      </c>
      <c r="R36" s="45">
        <f>IF(P36=0,"",(M36-P36)/ABS(P36))</f>
        <v>-0.41988571974259709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3.0952139892101416E-4</v>
      </c>
      <c r="E38" s="32">
        <v>117.60585</v>
      </c>
      <c r="F38" s="33">
        <f>+E38/$E$20</f>
        <v>1.270988985479421E-4</v>
      </c>
      <c r="G38" s="33">
        <f>IF(C38=0,"",(E38-C38)/ABS(C38)+1)</f>
        <v>0.36637336448598135</v>
      </c>
      <c r="H38" s="32">
        <v>618.19551000000001</v>
      </c>
      <c r="I38" s="33">
        <f>+H38/$H$20</f>
        <v>7.1593349664672481E-4</v>
      </c>
      <c r="J38" s="34">
        <f>IF(H38=0,"",(E38-H38)/ABS(H38))</f>
        <v>-0.80975945619533851</v>
      </c>
      <c r="K38" s="32">
        <v>2889</v>
      </c>
      <c r="L38" s="33">
        <f>+K38/$K$20</f>
        <v>3.0827903681208106E-4</v>
      </c>
      <c r="M38" s="32">
        <v>15613.537550000001</v>
      </c>
      <c r="N38" s="33">
        <f>+M38/$M$20</f>
        <v>1.7520317836745623E-3</v>
      </c>
      <c r="O38" s="33">
        <f>IF(K38=0,"",(M38-K38)/ABS(K38)+1)</f>
        <v>5.4044782104534441</v>
      </c>
      <c r="P38" s="32">
        <v>7030.6311699999997</v>
      </c>
      <c r="Q38" s="33">
        <f>+P38/$P$20</f>
        <v>8.3038985380143467E-4</v>
      </c>
      <c r="R38" s="34">
        <f>IF(P38=0,"",(M38-P38)/ABS(P38))</f>
        <v>1.2207874616753649</v>
      </c>
      <c r="S38" s="24"/>
    </row>
    <row r="39" spans="2:20" x14ac:dyDescent="0.2">
      <c r="B39" s="19" t="s">
        <v>57</v>
      </c>
      <c r="C39" s="32">
        <v>33796</v>
      </c>
      <c r="D39" s="33">
        <f>+C39/$C$20</f>
        <v>3.2587492828456681E-2</v>
      </c>
      <c r="E39" s="32">
        <v>32734.293450000001</v>
      </c>
      <c r="F39" s="33">
        <f>+E39/$E$20</f>
        <v>3.5376578990246793E-2</v>
      </c>
      <c r="G39" s="33">
        <f>IF(C39=0,"",(E39-C39)/ABS(C39)+1)</f>
        <v>0.96858484583974436</v>
      </c>
      <c r="H39" s="32">
        <v>27053.825489999999</v>
      </c>
      <c r="I39" s="33">
        <f>+H39/$H$20</f>
        <v>3.1331091163580259E-2</v>
      </c>
      <c r="J39" s="34">
        <f>IF(H39=0,"",(E39-H39)/ABS(H39))</f>
        <v>0.20996912108048058</v>
      </c>
      <c r="K39" s="32">
        <v>291995</v>
      </c>
      <c r="L39" s="33">
        <f>+K39/$K$20</f>
        <v>3.1158164539267428E-2</v>
      </c>
      <c r="M39" s="32">
        <v>285744.14931000001</v>
      </c>
      <c r="N39" s="33">
        <f>+M39/$M$20</f>
        <v>3.2064023286649077E-2</v>
      </c>
      <c r="O39" s="33">
        <f>IF(K39=0,"",(M39-K39)/ABS(K39)+1)</f>
        <v>0.97859261052415281</v>
      </c>
      <c r="P39" s="32">
        <v>264474.37940000003</v>
      </c>
      <c r="Q39" s="33">
        <f>+P39/$P$20</f>
        <v>3.1237144423292399E-2</v>
      </c>
      <c r="R39" s="34">
        <f>IF(P39=0,"",(M39-P39)/ABS(P39))</f>
        <v>8.0422799207445536E-2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75137</v>
      </c>
      <c r="D41" s="33">
        <f>+C41/$C$20</f>
        <v>7.2450184893234404E-2</v>
      </c>
      <c r="E41" s="35">
        <f>E36+E38-E39</f>
        <v>13533.092529999969</v>
      </c>
      <c r="F41" s="33">
        <f>+E41/$E$20</f>
        <v>1.462547275080601E-2</v>
      </c>
      <c r="G41" s="33">
        <f>IF(C41=0,"",(E41-C41)/ABS(C41)+1)</f>
        <v>0.1801122287288548</v>
      </c>
      <c r="H41" s="35">
        <f>H36+H38-H39</f>
        <v>-11358.124020000019</v>
      </c>
      <c r="I41" s="33">
        <f>+H41/$H$20</f>
        <v>-1.3153866881022425E-2</v>
      </c>
      <c r="J41" s="34">
        <f>IF(H41=0,"",(E41-H41)/ABS(H41))</f>
        <v>2.1914901181013824</v>
      </c>
      <c r="K41" s="35">
        <f>K36+K38-K39</f>
        <v>754685</v>
      </c>
      <c r="L41" s="33">
        <f>+K41/$K$20</f>
        <v>8.0530828970759916E-2</v>
      </c>
      <c r="M41" s="35">
        <f>M36+M38-M39</f>
        <v>377781.54278000048</v>
      </c>
      <c r="N41" s="33">
        <f>+M41/$M$20</f>
        <v>4.2391755751480686E-2</v>
      </c>
      <c r="O41" s="33">
        <f>IF(K41=0,"",(M41-K41)/ABS(K41)+1)</f>
        <v>0.50058175633542534</v>
      </c>
      <c r="P41" s="35">
        <f>P36+P38-P39</f>
        <v>859426.11101999972</v>
      </c>
      <c r="Q41" s="33">
        <f>+P41/$P$20</f>
        <v>0.10150706322474219</v>
      </c>
      <c r="R41" s="34">
        <f>IF(P41=0,"",(M41-P41)/ABS(P41))</f>
        <v>-0.56042580282831422</v>
      </c>
    </row>
    <row r="42" spans="2:20" x14ac:dyDescent="0.2">
      <c r="B42" s="19" t="s">
        <v>44</v>
      </c>
      <c r="C42" s="32">
        <v>31438</v>
      </c>
      <c r="D42" s="33">
        <f>+C42/$C$20</f>
        <v>3.0313812271896709E-2</v>
      </c>
      <c r="E42" s="32">
        <v>5946.0020000000004</v>
      </c>
      <c r="F42" s="33">
        <f>+E42/$E$20</f>
        <v>6.4259584447870647E-3</v>
      </c>
      <c r="G42" s="33">
        <f>IF(C42=0,"",(E42-C42)/ABS(C42)+1)</f>
        <v>0.18913423245753547</v>
      </c>
      <c r="H42" s="32">
        <v>-2318.79</v>
      </c>
      <c r="I42" s="33">
        <f>+H42/$H$20</f>
        <v>-2.6853954870837849E-3</v>
      </c>
      <c r="J42" s="34">
        <f>IF(H42=0,"",(E42-H42)/ABS(H42))</f>
        <v>3.5642692956240114</v>
      </c>
      <c r="K42" s="32">
        <v>305763</v>
      </c>
      <c r="L42" s="33">
        <f>+K42/$K$20</f>
        <v>3.2627318495248296E-2</v>
      </c>
      <c r="M42" s="32">
        <v>140378.15900000001</v>
      </c>
      <c r="N42" s="33">
        <f>+M42/$M$20</f>
        <v>1.5752163500046875E-2</v>
      </c>
      <c r="O42" s="33">
        <f>IF(K42=0,"",(M42-K42)/ABS(K42)+1)</f>
        <v>0.45910773703816354</v>
      </c>
      <c r="P42" s="32">
        <v>313177.18199999997</v>
      </c>
      <c r="Q42" s="33">
        <f>+P42/$P$20</f>
        <v>3.6989446336569136E-2</v>
      </c>
      <c r="R42" s="34">
        <f>IF(P42=0,"",(M42-P42)/ABS(P42))</f>
        <v>-0.5517612167542908</v>
      </c>
    </row>
    <row r="43" spans="2:20" x14ac:dyDescent="0.2">
      <c r="B43" s="42" t="s">
        <v>59</v>
      </c>
      <c r="C43" s="43">
        <f>C41-C42</f>
        <v>43699</v>
      </c>
      <c r="D43" s="44">
        <f>+C43/$C$20</f>
        <v>4.2136372621337695E-2</v>
      </c>
      <c r="E43" s="43">
        <f>E41-E42</f>
        <v>7587.0905299999686</v>
      </c>
      <c r="F43" s="44">
        <f>+E43/$E$20</f>
        <v>8.1995143060189461E-3</v>
      </c>
      <c r="G43" s="44">
        <f>IF(C43=0,"",(E43-C43)/ABS(C43)+1)</f>
        <v>0.17362160529989179</v>
      </c>
      <c r="H43" s="43">
        <f>H41-H42</f>
        <v>-9039.3340200000202</v>
      </c>
      <c r="I43" s="44">
        <f>+H43/$H$20</f>
        <v>-1.0468471393938642E-2</v>
      </c>
      <c r="J43" s="45">
        <f>IF(H43=0,"",(E43-H43)/ABS(H43))</f>
        <v>1.8393417604895579</v>
      </c>
      <c r="K43" s="43">
        <f>+K41-K42</f>
        <v>448922</v>
      </c>
      <c r="L43" s="44">
        <f>+K43/$K$20</f>
        <v>4.7903510475511613E-2</v>
      </c>
      <c r="M43" s="43">
        <f>+M41-M42</f>
        <v>237403.38378000047</v>
      </c>
      <c r="N43" s="44">
        <f>+M43/$M$20</f>
        <v>2.6639592251433811E-2</v>
      </c>
      <c r="O43" s="44">
        <f>IF(K43=0,"",(M43-K43)/ABS(K43)+1)</f>
        <v>0.52882991651110989</v>
      </c>
      <c r="P43" s="43">
        <f>+P41-P42</f>
        <v>546248.92901999969</v>
      </c>
      <c r="Q43" s="44">
        <f>+P43/$P$20</f>
        <v>6.4517616888173049E-2</v>
      </c>
      <c r="R43" s="45">
        <f>IF(P43=0,"",(M43-P43)/ABS(P43))</f>
        <v>-0.5653934110115052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156546</v>
      </c>
      <c r="D45" s="33">
        <f>+C45/$C$20</f>
        <v>0.15094809007940527</v>
      </c>
      <c r="E45" s="32">
        <v>93956.239389999973</v>
      </c>
      <c r="F45" s="33">
        <f>+E45/$E$20</f>
        <v>0.10154031060679182</v>
      </c>
      <c r="G45" s="33">
        <f>IF(C45=0,"",(E45-C45)/ABS(C45)+1)</f>
        <v>0.60018294552399909</v>
      </c>
      <c r="H45" s="32">
        <v>61642.480319999981</v>
      </c>
      <c r="I45" s="33">
        <f>+H45/$H$20</f>
        <v>7.1388283744530115E-2</v>
      </c>
      <c r="J45" s="34">
        <f>IF(H45=0,"",(E45-H45)/ABS(H45))</f>
        <v>0.52421250576310363</v>
      </c>
      <c r="K45" s="32">
        <v>1488018</v>
      </c>
      <c r="L45" s="33">
        <f>+K45/$K$20</f>
        <v>0.15878323149845594</v>
      </c>
      <c r="M45" s="32">
        <v>1078379.3832800004</v>
      </c>
      <c r="N45" s="33">
        <f>+M45/$M$20</f>
        <v>0.12100748778523504</v>
      </c>
      <c r="O45" s="33">
        <f>IF(K45=0,"",(M45-K45)/ABS(K45)+1)</f>
        <v>0.72470856083730195</v>
      </c>
      <c r="P45" s="32">
        <v>1527630.6435399998</v>
      </c>
      <c r="Q45" s="33">
        <f>+P45/$P$20</f>
        <v>0.18042889124445027</v>
      </c>
      <c r="R45" s="34">
        <f>IF(P45=0,"",(M45-P45)/ABS(P45))</f>
        <v>-0.29408369238976723</v>
      </c>
      <c r="T45" s="40"/>
    </row>
    <row r="46" spans="2:20" x14ac:dyDescent="0.2">
      <c r="B46" s="19" t="s">
        <v>35</v>
      </c>
      <c r="C46" s="32">
        <v>433050</v>
      </c>
      <c r="D46" s="34">
        <f t="shared" ref="D46" si="11">+C46/$C$20</f>
        <v>0.41756461620792895</v>
      </c>
      <c r="E46" s="32">
        <v>401754.95299999998</v>
      </c>
      <c r="F46" s="34">
        <f>+E46/$E$20</f>
        <v>0.4341842860068631</v>
      </c>
      <c r="G46" s="34">
        <f>IF(C46=0,"",(E46-C46)/ABS(C46)+1)</f>
        <v>0.92773340953700489</v>
      </c>
      <c r="H46" s="32">
        <v>414408.03200000001</v>
      </c>
      <c r="I46" s="34">
        <f t="shared" ref="I46" si="12">+H46/$H$20</f>
        <v>0.47992679757290346</v>
      </c>
      <c r="J46" s="34">
        <f>IF(H46=0,"",(E46-H46)/ABS(H46))</f>
        <v>-3.0532899999390038E-2</v>
      </c>
      <c r="K46" s="32">
        <v>3866809</v>
      </c>
      <c r="L46" s="34">
        <f t="shared" ref="L46" si="13">+K46/$K$20</f>
        <v>0.41261895259822995</v>
      </c>
      <c r="M46" s="32">
        <v>3845246.6</v>
      </c>
      <c r="N46" s="34">
        <f>+M46/$M$20</f>
        <v>0.43148416799795292</v>
      </c>
      <c r="O46" s="34">
        <f>IF(K46=0,"",(M46-K46)/ABS(K46)+1)</f>
        <v>0.99442372250607669</v>
      </c>
      <c r="P46" s="32">
        <v>3468242.3054499999</v>
      </c>
      <c r="Q46" s="34">
        <f t="shared" ref="Q46" si="14">+P46/$P$20</f>
        <v>0.40963508841988883</v>
      </c>
      <c r="R46" s="34">
        <f>IF(P46=0,"",(M46-P46)/ABS(P46))</f>
        <v>0.10870183261347549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95448-00FE-4B64-B116-E28E7B7DB629}">
  <sheetPr>
    <tabColor theme="2" tint="-0.499984740745262"/>
  </sheetPr>
  <dimension ref="A1:AI56"/>
  <sheetViews>
    <sheetView showGridLines="0" topLeftCell="D1" zoomScale="95" zoomScaleNormal="95" workbookViewId="0">
      <selection activeCell="X29" sqref="X29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SEPTIEMBRE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SEPTIEMBRE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422778</v>
      </c>
      <c r="D10" s="34">
        <f t="shared" ref="D10:D15" si="0">+C10/$C$20</f>
        <v>0.40915715820340853</v>
      </c>
      <c r="E10" s="32">
        <v>365136.10800000001</v>
      </c>
      <c r="F10" s="34">
        <f t="shared" ref="F10:F20" si="1">+E10/$E$20</f>
        <v>0.39467847475550827</v>
      </c>
      <c r="G10" s="34">
        <f t="shared" ref="G10:G20" si="2">IF(C10=0,"",(E10-C10)/ABS(C10)+1)</f>
        <v>0.86365919702538929</v>
      </c>
      <c r="H10" s="32">
        <v>371955.53</v>
      </c>
      <c r="I10" s="34">
        <f t="shared" ref="I10:I18" si="3">+H10/$H$20</f>
        <v>0.44094910325658143</v>
      </c>
      <c r="J10" s="34">
        <f t="shared" ref="J10:J20" si="4">IF(H10=0,"",(E10-H10)/ABS(H10))</f>
        <v>-1.833397126801696E-2</v>
      </c>
      <c r="K10" s="32">
        <v>3812605</v>
      </c>
      <c r="L10" s="34">
        <f t="shared" ref="L10:L46" si="5">+K10/$K$20</f>
        <v>0.40836647838946627</v>
      </c>
      <c r="M10" s="32">
        <v>3398884.9470000002</v>
      </c>
      <c r="N10" s="34">
        <f t="shared" ref="N10:N20" si="6">+M10/$M$20</f>
        <v>0.38905225022790091</v>
      </c>
      <c r="O10" s="34">
        <f t="shared" ref="O10:O19" si="7">IF(K10=0,"",(M10-K10)/ABS(K10)+1)</f>
        <v>0.89148625336220255</v>
      </c>
      <c r="P10" s="32">
        <v>3571308.3840000001</v>
      </c>
      <c r="Q10" s="34">
        <f t="shared" ref="Q10:Q46" si="8">+P10/$P$20</f>
        <v>0.42188519000871494</v>
      </c>
      <c r="R10" s="34">
        <f t="shared" ref="R10:R18" si="9">IF(P10=0,"",(M10-P10)/ABS(P10))</f>
        <v>-4.8280187108031024E-2</v>
      </c>
      <c r="S10" s="67"/>
      <c r="T10" s="3" t="s">
        <v>31</v>
      </c>
      <c r="U10" s="32">
        <v>1924</v>
      </c>
      <c r="V10" s="32">
        <v>61692</v>
      </c>
      <c r="W10" s="32">
        <v>119848</v>
      </c>
      <c r="X10" s="32">
        <v>45751</v>
      </c>
      <c r="Y10" s="32">
        <v>45751</v>
      </c>
      <c r="Z10" s="63">
        <f>+Y10-X10</f>
        <v>0</v>
      </c>
      <c r="AA10" s="68">
        <f>IF(X10=0,"",(Y10-X10)/ABS(X10)+1)</f>
        <v>1</v>
      </c>
      <c r="AB10" s="32">
        <v>32108</v>
      </c>
      <c r="AC10" s="34">
        <f>IF(W10=0,"",(Y10-AB10)/ABS(AB10))</f>
        <v>0.42490967983057182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41514</v>
      </c>
      <c r="D11" s="34">
        <f t="shared" si="0"/>
        <v>4.0176523531631973E-2</v>
      </c>
      <c r="E11" s="32">
        <v>15653.847</v>
      </c>
      <c r="F11" s="34">
        <f t="shared" si="1"/>
        <v>1.6920365646270429E-2</v>
      </c>
      <c r="G11" s="34">
        <f t="shared" si="2"/>
        <v>0.37707392686804453</v>
      </c>
      <c r="H11" s="32">
        <v>31369.237000000001</v>
      </c>
      <c r="I11" s="34">
        <f t="shared" si="3"/>
        <v>3.7187878144984629E-2</v>
      </c>
      <c r="J11" s="34">
        <f t="shared" si="4"/>
        <v>-0.50098094512148961</v>
      </c>
      <c r="K11" s="32">
        <v>409945</v>
      </c>
      <c r="L11" s="34">
        <f t="shared" si="5"/>
        <v>4.3909032271470486E-2</v>
      </c>
      <c r="M11" s="32">
        <v>473483.15</v>
      </c>
      <c r="N11" s="34">
        <f t="shared" si="6"/>
        <v>5.4197093407085173E-2</v>
      </c>
      <c r="O11" s="34">
        <f t="shared" si="7"/>
        <v>1.1549918891558624</v>
      </c>
      <c r="P11" s="32">
        <v>316181.5</v>
      </c>
      <c r="Q11" s="34">
        <f t="shared" si="8"/>
        <v>3.7351098774431823E-2</v>
      </c>
      <c r="R11" s="34">
        <f t="shared" si="9"/>
        <v>0.49750428155980037</v>
      </c>
      <c r="S11" s="67"/>
      <c r="T11" s="3" t="s">
        <v>32</v>
      </c>
      <c r="U11" s="32">
        <v>1262118</v>
      </c>
      <c r="V11" s="32">
        <v>1104453.98281</v>
      </c>
      <c r="W11" s="32">
        <v>1152874.8606700001</v>
      </c>
      <c r="X11" s="32">
        <v>10760804</v>
      </c>
      <c r="Y11" s="32">
        <v>10053892.64625</v>
      </c>
      <c r="Z11" s="63">
        <f>+Y11-X11</f>
        <v>-706911.35374999978</v>
      </c>
      <c r="AA11" s="68">
        <f>IF(X11=0,"",(Y11-X11)/ABS(X11)+1)</f>
        <v>0.93430682746846805</v>
      </c>
      <c r="AB11" s="32">
        <v>10122521.304040002</v>
      </c>
      <c r="AC11" s="34">
        <f>IF(AB11=0,"",(Y11-AB11)/ABS(AB11))</f>
        <v>-6.7797987999897898E-3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73818</v>
      </c>
      <c r="D12" s="34">
        <f t="shared" si="0"/>
        <v>7.1439770054873272E-2</v>
      </c>
      <c r="E12" s="32">
        <v>62087.718999999997</v>
      </c>
      <c r="F12" s="34">
        <f t="shared" si="1"/>
        <v>6.7111101036243154E-2</v>
      </c>
      <c r="G12" s="34">
        <f t="shared" si="2"/>
        <v>0.84109186106369715</v>
      </c>
      <c r="H12" s="32">
        <v>80026.716</v>
      </c>
      <c r="I12" s="34">
        <f t="shared" si="3"/>
        <v>9.4870773010873419E-2</v>
      </c>
      <c r="J12" s="34">
        <f t="shared" si="4"/>
        <v>-0.22416260339859509</v>
      </c>
      <c r="K12" s="32">
        <v>672940</v>
      </c>
      <c r="L12" s="34">
        <f t="shared" si="5"/>
        <v>7.2078313375607342E-2</v>
      </c>
      <c r="M12" s="32">
        <v>596641.24</v>
      </c>
      <c r="N12" s="34">
        <f t="shared" si="6"/>
        <v>6.8294343768725715E-2</v>
      </c>
      <c r="O12" s="34">
        <f t="shared" si="7"/>
        <v>0.88661877730555472</v>
      </c>
      <c r="P12" s="32">
        <v>781437.16560000007</v>
      </c>
      <c r="Q12" s="34">
        <f t="shared" si="8"/>
        <v>9.2312601332897856E-2</v>
      </c>
      <c r="R12" s="34">
        <f t="shared" si="9"/>
        <v>-0.23648213027865239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93240</v>
      </c>
      <c r="D13" s="34">
        <f t="shared" si="0"/>
        <v>9.0236042156606563E-2</v>
      </c>
      <c r="E13" s="32">
        <v>69114.36768000001</v>
      </c>
      <c r="F13" s="34">
        <f t="shared" si="1"/>
        <v>7.4706260547734715E-2</v>
      </c>
      <c r="G13" s="34">
        <f t="shared" si="2"/>
        <v>0.7412523346203348</v>
      </c>
      <c r="H13" s="32">
        <v>42352.911</v>
      </c>
      <c r="I13" s="34">
        <f t="shared" si="3"/>
        <v>5.0208900310625311E-2</v>
      </c>
      <c r="J13" s="34">
        <f t="shared" si="4"/>
        <v>0.63186817737274326</v>
      </c>
      <c r="K13" s="32">
        <v>916578</v>
      </c>
      <c r="L13" s="34">
        <f t="shared" si="5"/>
        <v>9.817427455224452E-2</v>
      </c>
      <c r="M13" s="32">
        <v>878136.70117999997</v>
      </c>
      <c r="N13" s="34">
        <f t="shared" si="6"/>
        <v>0.10051562936937058</v>
      </c>
      <c r="O13" s="34">
        <f t="shared" si="7"/>
        <v>0.95805998090724409</v>
      </c>
      <c r="P13" s="32">
        <v>685704.41899999999</v>
      </c>
      <c r="Q13" s="34">
        <f t="shared" si="8"/>
        <v>8.1003516917129523E-2</v>
      </c>
      <c r="R13" s="34">
        <f t="shared" si="9"/>
        <v>0.28063444954990147</v>
      </c>
      <c r="S13" s="67"/>
      <c r="T13" s="3" t="s">
        <v>33</v>
      </c>
      <c r="U13" s="32">
        <v>119338</v>
      </c>
      <c r="V13" s="32">
        <v>161119.772</v>
      </c>
      <c r="W13" s="32">
        <v>101096.785</v>
      </c>
      <c r="X13" s="32">
        <v>1435717</v>
      </c>
      <c r="Y13" s="32">
        <v>1625586.6129999999</v>
      </c>
      <c r="Z13" s="63">
        <f>+X13-Y13</f>
        <v>-189869.6129999999</v>
      </c>
      <c r="AA13" s="68">
        <f>IF(X13=0,"",(Y13-X13)/ABS(X13)+1)</f>
        <v>1.1322472416221303</v>
      </c>
      <c r="AB13" s="32">
        <v>1186262.5989999999</v>
      </c>
      <c r="AC13" s="34">
        <f>IF(AB13=0,"",(Y13-AB13)/ABS(AB13))</f>
        <v>0.37034296990425475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11798.825000000001</v>
      </c>
      <c r="W14" s="32">
        <v>10902.121999999999</v>
      </c>
      <c r="X14" s="32">
        <v>108759</v>
      </c>
      <c r="Y14" s="32">
        <v>111923.55100000001</v>
      </c>
      <c r="Z14" s="63">
        <f>+X14-Y14</f>
        <v>-3164.5510000000068</v>
      </c>
      <c r="AA14" s="68">
        <f>IF(X14=0,"",(Y14-X14)/ABS(X14)+1)</f>
        <v>1.0290969115199662</v>
      </c>
      <c r="AB14" s="32">
        <v>89215.505999999994</v>
      </c>
      <c r="AC14" s="34">
        <f>IF(AB14=0,"",(Y14-AB14)/ABS(AB14))</f>
        <v>0.25453024948376141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143968</v>
      </c>
      <c r="D15" s="34">
        <f t="shared" si="0"/>
        <v>0.13932971382670886</v>
      </c>
      <c r="E15" s="32">
        <v>127165.04399999999</v>
      </c>
      <c r="F15" s="34">
        <f t="shared" si="1"/>
        <v>0.13745369057868442</v>
      </c>
      <c r="G15" s="34">
        <f t="shared" si="2"/>
        <v>0.88328686930428979</v>
      </c>
      <c r="H15" s="32">
        <v>127354.27499999999</v>
      </c>
      <c r="I15" s="34">
        <f t="shared" si="3"/>
        <v>0.15097706265354371</v>
      </c>
      <c r="J15" s="34">
        <f t="shared" si="4"/>
        <v>-1.4858629598417468E-3</v>
      </c>
      <c r="K15" s="32">
        <v>1293746</v>
      </c>
      <c r="L15" s="34">
        <f t="shared" si="5"/>
        <v>0.13857257647998111</v>
      </c>
      <c r="M15" s="32">
        <v>1194058.2930000001</v>
      </c>
      <c r="N15" s="34">
        <f t="shared" si="6"/>
        <v>0.13667749071793933</v>
      </c>
      <c r="O15" s="34">
        <f t="shared" si="7"/>
        <v>0.92294646167021965</v>
      </c>
      <c r="P15" s="32">
        <v>1214752.9410000001</v>
      </c>
      <c r="Q15" s="34">
        <f t="shared" si="8"/>
        <v>0.14350098625575045</v>
      </c>
      <c r="R15" s="34">
        <f t="shared" si="9"/>
        <v>-1.7036096231192448E-2</v>
      </c>
      <c r="S15" s="67"/>
      <c r="T15" s="3" t="s">
        <v>35</v>
      </c>
      <c r="U15" s="32">
        <v>407170</v>
      </c>
      <c r="V15" s="32">
        <v>413088.85700000002</v>
      </c>
      <c r="W15" s="32">
        <v>398675.723</v>
      </c>
      <c r="X15" s="32">
        <v>3993249</v>
      </c>
      <c r="Y15" s="32">
        <v>4036842.4920000001</v>
      </c>
      <c r="Z15" s="63">
        <f>+X15-Y15</f>
        <v>-43593.492000000086</v>
      </c>
      <c r="AA15" s="68">
        <f>IF(X15=0,"",(Y15-X15)/ABS(X15)+1)</f>
        <v>1.01091679782553</v>
      </c>
      <c r="AB15" s="32">
        <v>3531397.068</v>
      </c>
      <c r="AC15" s="34">
        <f>IF(AB15=0,"",(Y15-AB15)/ABS(AB15))</f>
        <v>0.14312902635054239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334537</v>
      </c>
      <c r="V16" s="32">
        <v>185478.21786999999</v>
      </c>
      <c r="W16" s="32">
        <v>300565.81409</v>
      </c>
      <c r="X16" s="32">
        <v>2784026</v>
      </c>
      <c r="Y16" s="32">
        <v>2208600.9486799999</v>
      </c>
      <c r="Z16" s="63">
        <f>+X16-Y16</f>
        <v>575425.05132000009</v>
      </c>
      <c r="AA16" s="68">
        <f>IF(X16=0,"",(Y16-X16)/ABS(X16)+1)</f>
        <v>0.79331189747509545</v>
      </c>
      <c r="AB16" s="32">
        <v>2322370.5931700002</v>
      </c>
      <c r="AC16" s="34">
        <f>IF(AB16=0,"",(Y16-AB16)/ABS(AB16))</f>
        <v>-4.8988582969743219E-2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16516</v>
      </c>
      <c r="D17" s="34">
        <f>+C17/$C$20</f>
        <v>1.5983896098868661E-2</v>
      </c>
      <c r="E17" s="32">
        <v>23365.808000000001</v>
      </c>
      <c r="F17" s="34">
        <f t="shared" si="1"/>
        <v>2.5256284604068941E-2</v>
      </c>
      <c r="G17" s="34">
        <f t="shared" si="2"/>
        <v>1.4147377088883508</v>
      </c>
      <c r="H17" s="32">
        <v>1451.6959999999999</v>
      </c>
      <c r="I17" s="34">
        <f t="shared" si="3"/>
        <v>1.7209693035110036E-3</v>
      </c>
      <c r="J17" s="34">
        <f t="shared" si="4"/>
        <v>15.095524131774146</v>
      </c>
      <c r="K17" s="32">
        <v>153073</v>
      </c>
      <c r="L17" s="34">
        <f t="shared" si="5"/>
        <v>1.6395583058436625E-2</v>
      </c>
      <c r="M17" s="32">
        <v>149371.514</v>
      </c>
      <c r="N17" s="34">
        <f t="shared" si="6"/>
        <v>1.7097761338741899E-2</v>
      </c>
      <c r="O17" s="34">
        <f t="shared" si="7"/>
        <v>0.97581881847223217</v>
      </c>
      <c r="P17" s="32">
        <v>137237.26699999999</v>
      </c>
      <c r="Q17" s="34">
        <f t="shared" si="8"/>
        <v>1.6212089307091254E-2</v>
      </c>
      <c r="R17" s="34">
        <f t="shared" si="9"/>
        <v>8.8418016951620021E-2</v>
      </c>
      <c r="S17" s="67"/>
      <c r="T17" s="3" t="s">
        <v>37</v>
      </c>
      <c r="U17" s="32">
        <f t="shared" ref="U17:AB17" si="10">SUM(U13:U16)</f>
        <v>873176</v>
      </c>
      <c r="V17" s="32">
        <f>SUM(V13:V16)</f>
        <v>771485.67186999996</v>
      </c>
      <c r="W17" s="32">
        <f t="shared" si="10"/>
        <v>811240.44409</v>
      </c>
      <c r="X17" s="32">
        <f t="shared" si="10"/>
        <v>8321751</v>
      </c>
      <c r="Y17" s="32">
        <f>SUM(Y13:Y16)</f>
        <v>7982953.6046799999</v>
      </c>
      <c r="Z17" s="63">
        <f>+Y17-X17</f>
        <v>-338797.39532000013</v>
      </c>
      <c r="AA17" s="68">
        <f>IF(X17=0,"",(Y17-X17)/ABS(X17)+1)</f>
        <v>0.95928772738814216</v>
      </c>
      <c r="AB17" s="32">
        <f t="shared" si="10"/>
        <v>7129245.7661700007</v>
      </c>
      <c r="AC17" s="34">
        <f>IF(AB17=0,"",(Y17-AB17)/ABS(AB17))</f>
        <v>0.11974728695159449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179213</v>
      </c>
      <c r="D18" s="41">
        <f t="shared" ref="D18:D46" si="11">+C18/$C$20</f>
        <v>0.17343920874101171</v>
      </c>
      <c r="E18" s="32">
        <v>207115.22399999999</v>
      </c>
      <c r="F18" s="34">
        <f t="shared" si="1"/>
        <v>0.2238724654066955</v>
      </c>
      <c r="G18" s="34">
        <f t="shared" si="2"/>
        <v>1.1556930803010941</v>
      </c>
      <c r="H18" s="32">
        <v>132132.39000000001</v>
      </c>
      <c r="I18" s="34">
        <f t="shared" si="3"/>
        <v>0.15664146432141737</v>
      </c>
      <c r="J18" s="41">
        <f t="shared" si="4"/>
        <v>0.56748261346063567</v>
      </c>
      <c r="K18" s="32">
        <v>1519131</v>
      </c>
      <c r="L18" s="34">
        <f t="shared" si="5"/>
        <v>0.16271346669331552</v>
      </c>
      <c r="M18" s="32">
        <v>1541696.2009999999</v>
      </c>
      <c r="N18" s="34">
        <f t="shared" si="6"/>
        <v>0.17646974979140304</v>
      </c>
      <c r="O18" s="34">
        <f t="shared" si="7"/>
        <v>1.0148540191728033</v>
      </c>
      <c r="P18" s="32">
        <v>1239434.7490000001</v>
      </c>
      <c r="Q18" s="34">
        <f t="shared" si="8"/>
        <v>0.14641669336872057</v>
      </c>
      <c r="R18" s="41">
        <f t="shared" si="9"/>
        <v>0.24387040321716832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62243</v>
      </c>
      <c r="D19" s="34">
        <f t="shared" si="11"/>
        <v>6.0237687386890421E-2</v>
      </c>
      <c r="E19" s="32">
        <v>55510.152000000002</v>
      </c>
      <c r="F19" s="34">
        <f t="shared" si="1"/>
        <v>6.000135742479467E-2</v>
      </c>
      <c r="G19" s="34">
        <f t="shared" si="2"/>
        <v>0.89182963546101568</v>
      </c>
      <c r="H19" s="32">
        <v>56891.175000000003</v>
      </c>
      <c r="I19" s="34"/>
      <c r="J19" s="34">
        <f t="shared" si="4"/>
        <v>-2.4274819424981133E-2</v>
      </c>
      <c r="K19" s="32">
        <v>558216</v>
      </c>
      <c r="L19" s="34">
        <f t="shared" si="5"/>
        <v>5.9790275179478151E-2</v>
      </c>
      <c r="M19" s="32">
        <v>504047.93400000001</v>
      </c>
      <c r="N19" s="34">
        <f t="shared" si="6"/>
        <v>5.7695681378833234E-2</v>
      </c>
      <c r="O19" s="34">
        <f t="shared" si="7"/>
        <v>0.90296217593189732</v>
      </c>
      <c r="P19" s="32">
        <v>519062.68400000001</v>
      </c>
      <c r="Q19" s="34">
        <f t="shared" si="8"/>
        <v>6.1317824035263591E-2</v>
      </c>
      <c r="R19" s="34"/>
      <c r="S19" s="67"/>
      <c r="T19" s="3" t="s">
        <v>38</v>
      </c>
      <c r="U19" s="32">
        <f>U11-U17</f>
        <v>388942</v>
      </c>
      <c r="V19" s="32">
        <f>V11-V17</f>
        <v>332968.31094</v>
      </c>
      <c r="W19" s="32">
        <f>W11-W17</f>
        <v>341634.41658000008</v>
      </c>
      <c r="X19" s="32">
        <f>X11-X17</f>
        <v>2439053</v>
      </c>
      <c r="Y19" s="32">
        <f>Y11-Y17</f>
        <v>2070939.0415700004</v>
      </c>
      <c r="Z19" s="32">
        <f>+Y19-X19</f>
        <v>-368113.95842999965</v>
      </c>
      <c r="AA19" s="68">
        <f>IF(X19=0,"",(Y19-X19)/ABS(X19)+1)</f>
        <v>0.84907504739339423</v>
      </c>
      <c r="AB19" s="32">
        <f>AB11-AB17</f>
        <v>2993275.537870001</v>
      </c>
      <c r="AC19" s="34">
        <f>IF(AB19=0,"",(Y19-AB19)/ABS(AB19))</f>
        <v>-0.30813618212920368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1033290</v>
      </c>
      <c r="D20" s="45">
        <f t="shared" si="11"/>
        <v>1</v>
      </c>
      <c r="E20" s="69">
        <f>SUM(E10:E19)</f>
        <v>925148.26967999991</v>
      </c>
      <c r="F20" s="45">
        <f t="shared" si="1"/>
        <v>1</v>
      </c>
      <c r="G20" s="45">
        <f t="shared" si="2"/>
        <v>0.89534232372325284</v>
      </c>
      <c r="H20" s="69">
        <f>SUM(H10:H19)</f>
        <v>843533.93000000017</v>
      </c>
      <c r="I20" s="45">
        <f>+H22/$H$22</f>
        <v>1</v>
      </c>
      <c r="J20" s="45">
        <f t="shared" si="4"/>
        <v>9.6752883052374339E-2</v>
      </c>
      <c r="K20" s="69">
        <f>SUM(K10:K19)</f>
        <v>9336234</v>
      </c>
      <c r="L20" s="45">
        <f t="shared" si="5"/>
        <v>1</v>
      </c>
      <c r="M20" s="69">
        <f>SUM(M10:M19)</f>
        <v>8736319.9801800009</v>
      </c>
      <c r="N20" s="45">
        <f t="shared" si="6"/>
        <v>1</v>
      </c>
      <c r="O20" s="45">
        <f>IF(K20=0,"",(M20-K20)/ABS(K20)+1)</f>
        <v>0.93574346788865836</v>
      </c>
      <c r="P20" s="69">
        <f>SUM(P10:P19)</f>
        <v>8465119.1096000001</v>
      </c>
      <c r="Q20" s="45">
        <f t="shared" si="8"/>
        <v>1</v>
      </c>
      <c r="R20" s="45">
        <f>IF(P20=0,"",(M20-P20)/ABS(P20))</f>
        <v>3.2037454768054148E-2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390866</v>
      </c>
      <c r="V21" s="32">
        <f>+V10+V19</f>
        <v>394660.31094</v>
      </c>
      <c r="W21" s="32">
        <f>+W10+W19</f>
        <v>461482.41658000008</v>
      </c>
      <c r="X21" s="32">
        <f>+X10+X19</f>
        <v>2484804</v>
      </c>
      <c r="Y21" s="32">
        <f>+Y10+Y19</f>
        <v>2116690.0415700004</v>
      </c>
      <c r="Z21" s="63">
        <f>+Y21-X21</f>
        <v>-368113.95842999965</v>
      </c>
      <c r="AA21" s="68">
        <f>IF(X21=0,"",(Y21-X21)/ABS(X21)+1)</f>
        <v>0.85185392552893524</v>
      </c>
      <c r="AB21" s="32">
        <f>+AB10+AB19</f>
        <v>3025383.537870001</v>
      </c>
      <c r="AC21" s="34">
        <f>IF(AB21=0,"",(Y21-AB21)/ABS(AB21))</f>
        <v>-0.30035646222222773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101890</v>
      </c>
      <c r="D22" s="34">
        <f t="shared" si="11"/>
        <v>9.8607360953846451E-2</v>
      </c>
      <c r="E22" s="32">
        <v>103089.34367</v>
      </c>
      <c r="F22" s="34">
        <f>+E22/$E$20</f>
        <v>0.11143007780326675</v>
      </c>
      <c r="G22" s="34">
        <f>IF(C22=0,"",(E22-C22)/ABS(C22)+1)</f>
        <v>1.0117709654529394</v>
      </c>
      <c r="H22" s="32">
        <v>69445.460059999998</v>
      </c>
      <c r="I22" s="34">
        <f t="shared" ref="I22:I46" si="12">+H22/$H$20</f>
        <v>8.2326812935669333E-2</v>
      </c>
      <c r="J22" s="34">
        <f>IF(H22=0,"",(E22-H22)/ABS(H22))</f>
        <v>0.48446483875162055</v>
      </c>
      <c r="K22" s="32">
        <v>905597</v>
      </c>
      <c r="L22" s="34">
        <f t="shared" si="5"/>
        <v>9.6998104374847502E-2</v>
      </c>
      <c r="M22" s="32">
        <v>1051009.3627200001</v>
      </c>
      <c r="N22" s="34">
        <f>+M22/$M$20</f>
        <v>0.1203034418501628</v>
      </c>
      <c r="O22" s="34">
        <f>IF(K22=0,"",(M22-K22)/ABS(K22)+1)</f>
        <v>1.1605707204418745</v>
      </c>
      <c r="P22" s="32">
        <v>681131.22070000006</v>
      </c>
      <c r="Q22" s="34">
        <f t="shared" si="8"/>
        <v>8.0463276639256329E-2</v>
      </c>
      <c r="R22" s="34">
        <f>IF(P22=0,"",(M22-P22)/ABS(P22))</f>
        <v>0.54303507280120777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78405.248999999996</v>
      </c>
      <c r="W23" s="32">
        <v>101750.85665</v>
      </c>
      <c r="X23" s="32">
        <v>115236</v>
      </c>
      <c r="Y23" s="32">
        <v>296409.53014999995</v>
      </c>
      <c r="Z23" s="63">
        <f>+Y23-X23</f>
        <v>181173.53014999995</v>
      </c>
      <c r="AA23" s="68">
        <f>IF(X23=0,"",(Y23-X23)/ABS(X23)+1)</f>
        <v>2.5721955825436491</v>
      </c>
      <c r="AB23" s="32">
        <v>195916.77822000001</v>
      </c>
      <c r="AC23" s="34">
        <f>IF(AB23=0,"",(Y23-AB23)/ABS(AB23))</f>
        <v>0.51293591515247372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931400</v>
      </c>
      <c r="D24" s="34">
        <f t="shared" si="11"/>
        <v>0.90139263904615352</v>
      </c>
      <c r="E24" s="32">
        <f>+E20-E22</f>
        <v>822058.92600999994</v>
      </c>
      <c r="F24" s="34">
        <f>+E24/$E$20</f>
        <v>0.88856992219673325</v>
      </c>
      <c r="G24" s="34">
        <f>IF(C24=0,"",(E24-C24)/ABS(C24)+1)</f>
        <v>0.88260567533820045</v>
      </c>
      <c r="H24" s="32">
        <f>+H20-H22</f>
        <v>774088.46994000021</v>
      </c>
      <c r="I24" s="34">
        <f t="shared" si="12"/>
        <v>0.91767318706433076</v>
      </c>
      <c r="J24" s="34">
        <f>IF(H24=0,"",(E24-H24)/ABS(H24))</f>
        <v>6.197025008487457E-2</v>
      </c>
      <c r="K24" s="32">
        <f>+K20-K22</f>
        <v>8430637</v>
      </c>
      <c r="L24" s="34">
        <f t="shared" si="5"/>
        <v>0.90300189562515254</v>
      </c>
      <c r="M24" s="32">
        <f>+M20-M22</f>
        <v>7685310.6174600013</v>
      </c>
      <c r="N24" s="34">
        <f>+M24/$M$20</f>
        <v>0.87969655814983727</v>
      </c>
      <c r="O24" s="34">
        <f>IF(K24=0,"",(M24-K24)/ABS(K24)+1)</f>
        <v>0.91159311182061342</v>
      </c>
      <c r="P24" s="32">
        <f>+P20-P22</f>
        <v>7783987.8888999997</v>
      </c>
      <c r="Q24" s="34">
        <f t="shared" si="8"/>
        <v>0.91953672336074366</v>
      </c>
      <c r="R24" s="34">
        <f>IF(P24=0,"",(M24-P24)/ABS(P24))</f>
        <v>-1.2676955931639183E-2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336429</v>
      </c>
      <c r="V25" s="32">
        <v>292703.98497000005</v>
      </c>
      <c r="W25" s="32">
        <v>326316.03264999995</v>
      </c>
      <c r="X25" s="32">
        <v>1873208</v>
      </c>
      <c r="Y25" s="32">
        <v>1775329.0847999998</v>
      </c>
      <c r="Z25" s="63">
        <f>+Y25-X25</f>
        <v>-97878.915200000163</v>
      </c>
      <c r="AA25" s="68">
        <f>IF(X25=0,"",(Y25-X25)/ABS(X25)+1)</f>
        <v>0.94774797288928925</v>
      </c>
      <c r="AB25" s="32">
        <v>1780021.9503599999</v>
      </c>
      <c r="AC25" s="34">
        <f>IF(AB25=0,"",(Y25-AB25)/ABS(AB25))</f>
        <v>-2.6364088145379087E-3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228857</v>
      </c>
      <c r="D26" s="34">
        <f t="shared" si="11"/>
        <v>0.22148380415952926</v>
      </c>
      <c r="E26" s="32">
        <v>193669.75795</v>
      </c>
      <c r="F26" s="34">
        <f>+E26/$E$20</f>
        <v>0.20933915600035499</v>
      </c>
      <c r="G26" s="34">
        <f>IF(C26=0,"",(E26-C26)/ABS(C26)+1)</f>
        <v>0.84624791004863298</v>
      </c>
      <c r="H26" s="32">
        <v>209702.14851</v>
      </c>
      <c r="I26" s="34">
        <f t="shared" si="12"/>
        <v>0.24859954182281674</v>
      </c>
      <c r="J26" s="34">
        <f>IF(H26=0,"",(E26-H26)/ABS(H26))</f>
        <v>-7.6453153550954056E-2</v>
      </c>
      <c r="K26" s="32">
        <v>2031802</v>
      </c>
      <c r="L26" s="34">
        <f t="shared" si="5"/>
        <v>0.21762543655182592</v>
      </c>
      <c r="M26" s="32">
        <v>1894500.1747999999</v>
      </c>
      <c r="N26" s="34">
        <f>+M26/$M$20</f>
        <v>0.216853340891592</v>
      </c>
      <c r="O26" s="34">
        <f>IF(K26=0,"",(M26-K26)/ABS(K26)+1)</f>
        <v>0.93242361942748353</v>
      </c>
      <c r="P26" s="32">
        <v>1802107.2771700001</v>
      </c>
      <c r="Q26" s="34">
        <f t="shared" si="8"/>
        <v>0.21288622804211843</v>
      </c>
      <c r="R26" s="34">
        <f>IF(P26=0,"",(M26-P26)/ABS(P26))</f>
        <v>5.1269366036350558E-2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350878</v>
      </c>
      <c r="D27" s="34">
        <f t="shared" si="11"/>
        <v>0.33957359502172674</v>
      </c>
      <c r="E27" s="32">
        <v>325745.65405000001</v>
      </c>
      <c r="F27" s="34">
        <f>+E27/$E$20</f>
        <v>0.35210102502020824</v>
      </c>
      <c r="G27" s="34">
        <f>IF(C27=0,"",(E27-C27)/ABS(C27)+1)</f>
        <v>0.92837297878464886</v>
      </c>
      <c r="H27" s="32">
        <v>309937.98637</v>
      </c>
      <c r="I27" s="34">
        <f t="shared" si="12"/>
        <v>0.36742800182323421</v>
      </c>
      <c r="J27" s="34">
        <f>IF(H27=0,"",(E27-H27)/ABS(H27))</f>
        <v>5.1002679165402534E-2</v>
      </c>
      <c r="K27" s="32">
        <v>3062942</v>
      </c>
      <c r="L27" s="34">
        <f t="shared" si="5"/>
        <v>0.32807039755001854</v>
      </c>
      <c r="M27" s="32">
        <v>3078888.9771400001</v>
      </c>
      <c r="N27" s="34">
        <f>+M27/$M$20</f>
        <v>0.35242401653385452</v>
      </c>
      <c r="O27" s="34">
        <f>IF(K27=0,"",(M27-K27)/ABS(K27)+1)</f>
        <v>1.0052064247837538</v>
      </c>
      <c r="P27" s="32">
        <v>2728120.4540999997</v>
      </c>
      <c r="Q27" s="34">
        <f t="shared" si="8"/>
        <v>0.32227785796966901</v>
      </c>
      <c r="R27" s="34">
        <f>IF(P27=0,"",(M27-P27)/ABS(P27))</f>
        <v>0.12857515969019706</v>
      </c>
      <c r="S27" s="67"/>
      <c r="T27" s="3" t="s">
        <v>47</v>
      </c>
      <c r="U27" s="32">
        <v>-28737</v>
      </c>
      <c r="V27" s="32">
        <v>-202120.68044</v>
      </c>
      <c r="W27" s="32">
        <v>-60262</v>
      </c>
      <c r="X27" s="32">
        <v>6936</v>
      </c>
      <c r="Y27" s="32">
        <v>-576624</v>
      </c>
      <c r="Z27" s="63">
        <f>+Y27-X27</f>
        <v>-583560</v>
      </c>
      <c r="AA27" s="68">
        <f>IF(X27=0,"",(Y27-X27)/ABS(X27)+1)</f>
        <v>-83.134948096885807</v>
      </c>
      <c r="AB27" s="32">
        <v>583856</v>
      </c>
      <c r="AC27" s="34">
        <f>IF(AB27=0,"",(Y27-AB27)/ABS(AB27))</f>
        <v>-1.9876133841221122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579735</v>
      </c>
      <c r="D28" s="34">
        <f t="shared" si="11"/>
        <v>0.56105739918125597</v>
      </c>
      <c r="E28" s="32">
        <f>SUM(E26:E27)</f>
        <v>519415.41200000001</v>
      </c>
      <c r="F28" s="34">
        <f>+E28/$E$20</f>
        <v>0.56144018102056326</v>
      </c>
      <c r="G28" s="34">
        <f>IF(C28=0,"",(E28-C28)/ABS(C28)+1)</f>
        <v>0.89595317170776301</v>
      </c>
      <c r="H28" s="32">
        <f>SUM(H26:H27)</f>
        <v>519640.13488000003</v>
      </c>
      <c r="I28" s="34">
        <f t="shared" si="12"/>
        <v>0.61602754364605095</v>
      </c>
      <c r="J28" s="34">
        <f>IF(H28=0,"",(E28-H28)/ABS(H28))</f>
        <v>-4.3245866690399263E-4</v>
      </c>
      <c r="K28" s="32">
        <f>SUM(K26:K27)</f>
        <v>5094744</v>
      </c>
      <c r="L28" s="34">
        <f t="shared" si="5"/>
        <v>0.54569583410184452</v>
      </c>
      <c r="M28" s="32">
        <f>SUM(M26:M27)</f>
        <v>4973389.1519400002</v>
      </c>
      <c r="N28" s="34">
        <f>+M28/$M$20</f>
        <v>0.5692773574254465</v>
      </c>
      <c r="O28" s="34">
        <f>IF(K28=0,"",(M28-K28)/ABS(K28)+1)</f>
        <v>0.97618038353644465</v>
      </c>
      <c r="P28" s="32">
        <f>SUM(P26:P27)</f>
        <v>4530227.7312700003</v>
      </c>
      <c r="Q28" s="34">
        <f t="shared" si="8"/>
        <v>0.53516408601178744</v>
      </c>
      <c r="R28" s="34">
        <f>IF(P28=0,"",(M28-P28)/ABS(P28))</f>
        <v>9.7823210434007116E-2</v>
      </c>
      <c r="S28" s="67"/>
      <c r="T28" s="3" t="s">
        <v>49</v>
      </c>
      <c r="U28" s="32">
        <v>81250</v>
      </c>
      <c r="V28" s="32">
        <v>81474.778000000006</v>
      </c>
      <c r="W28" s="32">
        <v>66560.298999999999</v>
      </c>
      <c r="X28" s="32">
        <v>487500</v>
      </c>
      <c r="Y28" s="32">
        <v>477378.80985000002</v>
      </c>
      <c r="Z28" s="63">
        <f>+Y28-X28</f>
        <v>-10121.19014999998</v>
      </c>
      <c r="AA28" s="68">
        <f>IF(X28=0,"",(Y28-X28)/ABS(X28)+1)</f>
        <v>0.97923858430769239</v>
      </c>
      <c r="AB28" s="32">
        <v>438471.51910000003</v>
      </c>
      <c r="AC28" s="34">
        <f>IF(AB28=0,"",(Y28-AB28)/ABS(AB28))</f>
        <v>8.8733906434471502E-2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56540</v>
      </c>
      <c r="D30" s="34">
        <f t="shared" si="11"/>
        <v>5.4718423675831566E-2</v>
      </c>
      <c r="E30" s="32">
        <v>60081.624360000002</v>
      </c>
      <c r="F30" s="34">
        <f>+E30/$E$20</f>
        <v>6.494269765081187E-2</v>
      </c>
      <c r="G30" s="34">
        <f>IF(C30=0,"",(E30-C30)/ABS(C30)+1)</f>
        <v>1.0626392706048815</v>
      </c>
      <c r="H30" s="32">
        <v>57937.961200000005</v>
      </c>
      <c r="I30" s="34">
        <f t="shared" si="12"/>
        <v>6.8684802281752902E-2</v>
      </c>
      <c r="J30" s="34">
        <f>IF(H30=0,"",(E30-H30)/ABS(H30))</f>
        <v>3.6999285366637928E-2</v>
      </c>
      <c r="K30" s="32">
        <v>532341</v>
      </c>
      <c r="L30" s="34">
        <f t="shared" si="5"/>
        <v>5.7018815081113006E-2</v>
      </c>
      <c r="M30" s="32">
        <v>504252.24513</v>
      </c>
      <c r="N30" s="34">
        <f>+M30/$M$20</f>
        <v>5.7719067785290817E-2</v>
      </c>
      <c r="O30" s="34">
        <f>IF(K30=0,"",(M30-K30)/ABS(K30)+1)</f>
        <v>0.94723540950255569</v>
      </c>
      <c r="P30" s="32">
        <v>479258.11395999999</v>
      </c>
      <c r="Q30" s="34">
        <f t="shared" si="8"/>
        <v>5.6615637388550133E-2</v>
      </c>
      <c r="R30" s="34">
        <f>IF(P30=0,"",(M30-P30)/ABS(P30))</f>
        <v>5.2151712077400693E-2</v>
      </c>
      <c r="S30" s="67"/>
      <c r="T30" s="20" t="s">
        <v>51</v>
      </c>
      <c r="U30" s="69">
        <f>U21-U23-U25-U27-U28</f>
        <v>1924</v>
      </c>
      <c r="V30" s="69">
        <f>V21-V23-V25-V27-V28</f>
        <v>144196.97940999991</v>
      </c>
      <c r="W30" s="69">
        <f>W21-W23-W25-W27-W28</f>
        <v>27117.228280000156</v>
      </c>
      <c r="X30" s="69">
        <f>X21-X23-X25-X27-X28</f>
        <v>1924</v>
      </c>
      <c r="Y30" s="69">
        <f>Y21-Y23-Y25-Y27-Y28</f>
        <v>144196.61677000049</v>
      </c>
      <c r="Z30" s="71">
        <f>+Y30-X30</f>
        <v>142272.61677000049</v>
      </c>
      <c r="AA30" s="72">
        <f>IF(U30=0,"",(V30-U30)/ABS(U30)+1)</f>
        <v>74.946454994802451</v>
      </c>
      <c r="AB30" s="69">
        <f>AB21-AB23-AB25-AB27-AB28</f>
        <v>27117.290190000902</v>
      </c>
      <c r="AC30" s="34">
        <f>IF(AB30=0,"",(Y30-AB30)/ABS(AB30))</f>
        <v>4.3175157163443583</v>
      </c>
      <c r="AD30" s="54"/>
      <c r="AE30" s="54"/>
    </row>
    <row r="31" spans="1:35" x14ac:dyDescent="0.2">
      <c r="B31" s="3" t="s">
        <v>52</v>
      </c>
      <c r="C31" s="32">
        <v>187701</v>
      </c>
      <c r="D31" s="34">
        <f t="shared" si="11"/>
        <v>0.18165374677002585</v>
      </c>
      <c r="E31" s="32">
        <v>194905.08171999999</v>
      </c>
      <c r="F31" s="34">
        <f>+E31/$E$20</f>
        <v>0.21067442712443901</v>
      </c>
      <c r="G31" s="34">
        <f>IF(C31=0,"",(E31-C31)/ABS(C31)+1)</f>
        <v>1.0383806251431797</v>
      </c>
      <c r="H31" s="32">
        <v>199950.75930000001</v>
      </c>
      <c r="I31" s="34">
        <f t="shared" si="12"/>
        <v>0.23703937943551359</v>
      </c>
      <c r="J31" s="34">
        <f>IF(H31=0,"",(E31-H31)/ABS(H31))</f>
        <v>-2.5234600747025108E-2</v>
      </c>
      <c r="K31" s="32">
        <v>1773180</v>
      </c>
      <c r="L31" s="34">
        <f t="shared" si="5"/>
        <v>0.18992454559300892</v>
      </c>
      <c r="M31" s="32">
        <v>1724154.88221</v>
      </c>
      <c r="N31" s="34">
        <f>+M31/$M$20</f>
        <v>0.19735482286838993</v>
      </c>
      <c r="O31" s="34">
        <f>IF(K31=0,"",(M31-K31)/ABS(K31)+1)</f>
        <v>0.97235186625723269</v>
      </c>
      <c r="P31" s="32">
        <v>1650966.07064</v>
      </c>
      <c r="Q31" s="34">
        <f t="shared" si="8"/>
        <v>0.1950316409331673</v>
      </c>
      <c r="R31" s="34">
        <f>IF(P31=0,"",(M31-P31)/ABS(P31))</f>
        <v>4.4330899872235485E-2</v>
      </c>
      <c r="S31" s="67"/>
      <c r="T31" s="54"/>
      <c r="U31" s="58" t="s">
        <v>61</v>
      </c>
      <c r="V31" s="58" t="s">
        <v>61</v>
      </c>
      <c r="W31" s="54" t="s">
        <v>81</v>
      </c>
      <c r="X31" s="58" t="s">
        <v>61</v>
      </c>
      <c r="Y31" s="58" t="s">
        <v>61</v>
      </c>
      <c r="Z31" s="58"/>
      <c r="AA31" s="58"/>
      <c r="AB31" s="73" t="s">
        <v>81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244241</v>
      </c>
      <c r="D32" s="34">
        <f t="shared" si="11"/>
        <v>0.2363721704458574</v>
      </c>
      <c r="E32" s="32">
        <f>SUM(E30:E31)</f>
        <v>254986.70607999997</v>
      </c>
      <c r="F32" s="34">
        <f>+E32/$E$20</f>
        <v>0.27561712477525085</v>
      </c>
      <c r="G32" s="34">
        <f>IF(C32=0,"",(E32-C32)/ABS(C32)+1)</f>
        <v>1.0439963236311676</v>
      </c>
      <c r="H32" s="32">
        <f>SUM(H30:H31)</f>
        <v>257888.7205</v>
      </c>
      <c r="I32" s="34">
        <f t="shared" si="12"/>
        <v>0.30572418171726651</v>
      </c>
      <c r="J32" s="34">
        <f>IF(H32=0,"",(E32-H32)/ABS(H32))</f>
        <v>-1.1252971492407794E-2</v>
      </c>
      <c r="K32" s="32">
        <f>SUM(K30:K31)</f>
        <v>2305521</v>
      </c>
      <c r="L32" s="34">
        <f t="shared" si="5"/>
        <v>0.24694336067412193</v>
      </c>
      <c r="M32" s="32">
        <f>SUM(M30:M31)</f>
        <v>2228407.1273400001</v>
      </c>
      <c r="N32" s="34">
        <f>+M32/$M$20</f>
        <v>0.25507389065368075</v>
      </c>
      <c r="O32" s="34">
        <f>IF(K32=0,"",(M32-K32)/ABS(K32)+1)</f>
        <v>0.96655251777797735</v>
      </c>
      <c r="P32" s="32">
        <f>SUM(P30:P31)</f>
        <v>2130224.1846000003</v>
      </c>
      <c r="Q32" s="34">
        <f t="shared" si="8"/>
        <v>0.25164727832171746</v>
      </c>
      <c r="R32" s="34">
        <f>IF(P32=0,"",(M32-P32)/ABS(P32))</f>
        <v>4.6090427218784022E-2</v>
      </c>
      <c r="S32" s="67"/>
      <c r="T32" s="54" t="s">
        <v>82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823976</v>
      </c>
      <c r="D34" s="34">
        <f t="shared" si="11"/>
        <v>0.79742956962711342</v>
      </c>
      <c r="E34" s="32">
        <f>E28+E32</f>
        <v>774402.11807999993</v>
      </c>
      <c r="F34" s="34">
        <f>+E34/$E$20</f>
        <v>0.83705730579581406</v>
      </c>
      <c r="G34" s="34">
        <f>IF(C34=0,"",(E34-C34)/ABS(C34)+1)</f>
        <v>0.93983576958552184</v>
      </c>
      <c r="H34" s="32">
        <f>H28+H32</f>
        <v>777528.85538000008</v>
      </c>
      <c r="I34" s="34">
        <f t="shared" si="12"/>
        <v>0.92175172536331751</v>
      </c>
      <c r="J34" s="34">
        <f>IF(H34=0,"",(E34-H34)/ABS(H34))</f>
        <v>-4.0213778284434593E-3</v>
      </c>
      <c r="K34" s="32">
        <f>K28+K32</f>
        <v>7400265</v>
      </c>
      <c r="L34" s="34">
        <f t="shared" si="5"/>
        <v>0.79263919477596645</v>
      </c>
      <c r="M34" s="32">
        <f>M28+M32</f>
        <v>7201796.2792800004</v>
      </c>
      <c r="N34" s="34">
        <f>+M34/$M$20</f>
        <v>0.8243512480791273</v>
      </c>
      <c r="O34" s="34">
        <f>IF(K34=0,"",(M34-K34)/ABS(K34)+1)</f>
        <v>0.97318086302044593</v>
      </c>
      <c r="P34" s="32">
        <f>P28+P32</f>
        <v>6660451.9158700006</v>
      </c>
      <c r="Q34" s="34">
        <f t="shared" si="8"/>
        <v>0.78681136433350496</v>
      </c>
      <c r="R34" s="34">
        <f>IF(P34=0,"",(M34-P34)/ABS(P34))</f>
        <v>8.1277422350295336E-2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107424</v>
      </c>
      <c r="D36" s="45">
        <f t="shared" si="11"/>
        <v>0.10396306941904015</v>
      </c>
      <c r="E36" s="69">
        <f>E24-E34</f>
        <v>47656.80793000001</v>
      </c>
      <c r="F36" s="45">
        <f>+E36/$E$20</f>
        <v>5.1512616400919232E-2</v>
      </c>
      <c r="G36" s="45">
        <f>IF(C36=0,"",(E36-C36)/ABS(C36)+1)</f>
        <v>0.44363278159442965</v>
      </c>
      <c r="H36" s="69">
        <f>H24-H34</f>
        <v>-3440.3854399998672</v>
      </c>
      <c r="I36" s="45">
        <f t="shared" si="12"/>
        <v>-4.0785382989868193E-3</v>
      </c>
      <c r="J36" s="45">
        <f>IF(H36=0,"",(E36-H36)/ABS(H36))</f>
        <v>14.852171148010047</v>
      </c>
      <c r="K36" s="69">
        <f>K24-K34</f>
        <v>1030372</v>
      </c>
      <c r="L36" s="45">
        <f t="shared" si="5"/>
        <v>0.11036270084918609</v>
      </c>
      <c r="M36" s="69">
        <f>+M24-M34</f>
        <v>483514.33818000089</v>
      </c>
      <c r="N36" s="45">
        <f>+M36/$M$20</f>
        <v>5.5345310070709967E-2</v>
      </c>
      <c r="O36" s="45">
        <f>IF(K36=0,"",(M36-K36)/ABS(K36)+1)</f>
        <v>0.46926191528884797</v>
      </c>
      <c r="P36" s="69">
        <f>P24-P34</f>
        <v>1123535.9730299991</v>
      </c>
      <c r="Q36" s="45">
        <f t="shared" si="8"/>
        <v>0.13272535902723867</v>
      </c>
      <c r="R36" s="45">
        <f>IF(P36=0,"",(M36-P36)/ABS(P36))</f>
        <v>-0.56964943732416584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3.1065818889179224E-4</v>
      </c>
      <c r="E38" s="32">
        <v>42.404849999999996</v>
      </c>
      <c r="F38" s="34">
        <f>+E38/$E$20</f>
        <v>4.5835734000418589E-5</v>
      </c>
      <c r="G38" s="34">
        <f>IF(C38=0,"",(E38-C38)/ABS(C38)+1)</f>
        <v>0.13210233644859815</v>
      </c>
      <c r="H38" s="32">
        <v>618.19551000000001</v>
      </c>
      <c r="I38" s="34">
        <f t="shared" si="12"/>
        <v>7.3286383394204416E-4</v>
      </c>
      <c r="J38" s="34">
        <f>IF(H38=0,"",(E38-H38)/ABS(H38))</f>
        <v>-0.9314054383863124</v>
      </c>
      <c r="K38" s="32">
        <v>2889</v>
      </c>
      <c r="L38" s="34">
        <f t="shared" si="5"/>
        <v>3.094395448957256E-4</v>
      </c>
      <c r="M38" s="32">
        <v>15475.43455</v>
      </c>
      <c r="N38" s="34">
        <f>+M38/$M$20</f>
        <v>1.7713905380193214E-3</v>
      </c>
      <c r="O38" s="34">
        <f>IF(K38=0,"",(M38-K38)/ABS(K38)+1)</f>
        <v>5.3566751644167532</v>
      </c>
      <c r="P38" s="32">
        <v>7030.6311699999997</v>
      </c>
      <c r="Q38" s="34">
        <f t="shared" si="8"/>
        <v>8.3054131654530447E-4</v>
      </c>
      <c r="R38" s="34">
        <f>IF(P38=0,"",(M38-P38)/ABS(P38))</f>
        <v>1.2011444173084109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33796</v>
      </c>
      <c r="D39" s="34">
        <f t="shared" si="11"/>
        <v>3.2707178042950188E-2</v>
      </c>
      <c r="E39" s="32">
        <v>32206.67945</v>
      </c>
      <c r="F39" s="34">
        <f>+E39/$E$20</f>
        <v>3.4812451696137302E-2</v>
      </c>
      <c r="G39" s="34">
        <f>IF(C39=0,"",(E39-C39)/ABS(C39)+1)</f>
        <v>0.95297311664102258</v>
      </c>
      <c r="H39" s="32">
        <v>27034.714960000001</v>
      </c>
      <c r="I39" s="34">
        <f t="shared" si="12"/>
        <v>3.2049350949048365E-2</v>
      </c>
      <c r="J39" s="34">
        <f>IF(H39=0,"",(E39-H39)/ABS(H39))</f>
        <v>0.1913082678198135</v>
      </c>
      <c r="K39" s="32">
        <v>291995</v>
      </c>
      <c r="L39" s="34">
        <f t="shared" si="5"/>
        <v>3.1275458605686188E-2</v>
      </c>
      <c r="M39" s="32">
        <v>282206.25430999999</v>
      </c>
      <c r="N39" s="34">
        <f>+M39/$M$20</f>
        <v>3.2302646303047328E-2</v>
      </c>
      <c r="O39" s="34">
        <f>IF(K39=0,"",(M39-K39)/ABS(K39)+1)</f>
        <v>0.96647632428637475</v>
      </c>
      <c r="P39" s="32">
        <v>248771.12387000001</v>
      </c>
      <c r="Q39" s="34">
        <f t="shared" si="8"/>
        <v>2.9387787773461717E-2</v>
      </c>
      <c r="R39" s="34">
        <f>IF(P39=0,"",(M39-P39)/ABS(P39))</f>
        <v>0.13440117132514193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73949</v>
      </c>
      <c r="D41" s="34">
        <f t="shared" si="11"/>
        <v>7.1566549564981763E-2</v>
      </c>
      <c r="E41" s="32">
        <f>E36+E38-E39</f>
        <v>15492.533330000009</v>
      </c>
      <c r="F41" s="34">
        <f>+E41/$E$20</f>
        <v>1.6746000438782348E-2</v>
      </c>
      <c r="G41" s="34">
        <f>IF(C41=0,"",(E41-C41)/ABS(C41)+1)</f>
        <v>0.2095029456787787</v>
      </c>
      <c r="H41" s="32">
        <f>H36+H38-H39</f>
        <v>-29856.904889999867</v>
      </c>
      <c r="I41" s="34">
        <f t="shared" si="12"/>
        <v>-3.5395025414093138E-2</v>
      </c>
      <c r="J41" s="34">
        <f>IF(H41=0,"",(E41-H41)/ABS(H41))</f>
        <v>1.5188928117994243</v>
      </c>
      <c r="K41" s="32">
        <f>K36+K38-K39</f>
        <v>741266</v>
      </c>
      <c r="L41" s="34">
        <f t="shared" si="5"/>
        <v>7.9396681788395623E-2</v>
      </c>
      <c r="M41" s="32">
        <f>M36+M38-M39</f>
        <v>216783.51842000091</v>
      </c>
      <c r="N41" s="34">
        <f>+M41/$M$20</f>
        <v>2.4814054305681961E-2</v>
      </c>
      <c r="O41" s="34">
        <f>IF(K41=0,"",(M41-K41)/ABS(K41)+1)</f>
        <v>0.29245037330728907</v>
      </c>
      <c r="P41" s="32">
        <f>P36+P38-P39</f>
        <v>881795.480329999</v>
      </c>
      <c r="Q41" s="34">
        <f t="shared" si="8"/>
        <v>0.10416811257032227</v>
      </c>
      <c r="R41" s="34">
        <f>IF(P41=0,"",(M41-P41)/ABS(P41))</f>
        <v>-0.75415669136921315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30836</v>
      </c>
      <c r="D42" s="34">
        <f t="shared" si="11"/>
        <v>2.9842541784010298E-2</v>
      </c>
      <c r="E42" s="32">
        <v>5946.0020000000004</v>
      </c>
      <c r="F42" s="34">
        <f>+E42/$E$20</f>
        <v>6.4270800636709469E-3</v>
      </c>
      <c r="G42" s="34">
        <f>IF(C42=0,"",(E42-C42)/ABS(C42)+1)</f>
        <v>0.19282663121027377</v>
      </c>
      <c r="H42" s="32">
        <v>-2318.79</v>
      </c>
      <c r="I42" s="34">
        <f t="shared" si="12"/>
        <v>-2.7488995018848852E-3</v>
      </c>
      <c r="J42" s="34">
        <f>IF(H42=0,"",(E42-H42)/ABS(H42))</f>
        <v>3.5642692956240114</v>
      </c>
      <c r="K42" s="32">
        <v>300747</v>
      </c>
      <c r="L42" s="34">
        <f t="shared" si="5"/>
        <v>3.2212881553739976E-2</v>
      </c>
      <c r="M42" s="32">
        <v>140378.15900000001</v>
      </c>
      <c r="N42" s="34">
        <f>+M42/$M$20</f>
        <v>1.6068339909535649E-2</v>
      </c>
      <c r="O42" s="34">
        <f>IF(K42=0,"",(M42-K42)/ABS(K42)+1)</f>
        <v>0.46676495193634526</v>
      </c>
      <c r="P42" s="32">
        <v>313177.18199999997</v>
      </c>
      <c r="Q42" s="34">
        <f t="shared" si="8"/>
        <v>3.6996193195301473E-2</v>
      </c>
      <c r="R42" s="34">
        <f>IF(P42=0,"",(M42-P42)/ABS(P42))</f>
        <v>-0.5517612167542908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43113</v>
      </c>
      <c r="D43" s="45">
        <f t="shared" si="11"/>
        <v>4.1724007780971462E-2</v>
      </c>
      <c r="E43" s="69">
        <f>E41-E42</f>
        <v>9546.5313300000089</v>
      </c>
      <c r="F43" s="45">
        <f>+E43/$E$20</f>
        <v>1.0318920375111403E-2</v>
      </c>
      <c r="G43" s="45">
        <f>IF(C43=0,"",(E43-C43)/ABS(C43)+1)</f>
        <v>0.22143045786653703</v>
      </c>
      <c r="H43" s="69">
        <f>+H41-H42</f>
        <v>-27538.114889999866</v>
      </c>
      <c r="I43" s="45">
        <f t="shared" si="12"/>
        <v>-3.2646125912208251E-2</v>
      </c>
      <c r="J43" s="45">
        <f>IF(H43=0,"",(E43-H43)/ABS(H43))</f>
        <v>1.3466661159681166</v>
      </c>
      <c r="K43" s="69">
        <f>+K41-K42</f>
        <v>440519</v>
      </c>
      <c r="L43" s="45">
        <f t="shared" si="5"/>
        <v>4.7183800234655647E-2</v>
      </c>
      <c r="M43" s="69">
        <f>+M41-M42</f>
        <v>76405.359420000896</v>
      </c>
      <c r="N43" s="45">
        <f>+M43/$M$20</f>
        <v>8.7457143961463119E-3</v>
      </c>
      <c r="O43" s="45">
        <f>IF(K43=0,"",(M43-K43)/ABS(K43)+1)</f>
        <v>0.17344395910278765</v>
      </c>
      <c r="P43" s="69">
        <f>P41-P42</f>
        <v>568618.29832999897</v>
      </c>
      <c r="Q43" s="45">
        <f t="shared" si="8"/>
        <v>6.7171919375020789E-2</v>
      </c>
      <c r="R43" s="45">
        <f>IF(P43=0,"",(M43-P43)/ABS(P43))</f>
        <v>-0.86562979129514595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155358</v>
      </c>
      <c r="D45" s="34">
        <f t="shared" si="11"/>
        <v>0.15035275672850798</v>
      </c>
      <c r="E45" s="32">
        <v>95169.587190000006</v>
      </c>
      <c r="F45" s="34">
        <f>+E45/$E$20</f>
        <v>0.10286955108603107</v>
      </c>
      <c r="G45" s="34">
        <f>IF(C45=0,"",(E45-C45)/ABS(C45)+1)</f>
        <v>0.61258246881396516</v>
      </c>
      <c r="H45" s="32">
        <v>18733.162470000134</v>
      </c>
      <c r="I45" s="34">
        <f t="shared" si="12"/>
        <v>2.2207953709698591E-2</v>
      </c>
      <c r="J45" s="34">
        <f>IF(H45=0,"",(E45-H45)/ABS(H45))</f>
        <v>4.0802734104509861</v>
      </c>
      <c r="K45" s="32">
        <v>1474599</v>
      </c>
      <c r="L45" s="34">
        <f t="shared" si="5"/>
        <v>0.15794366336576396</v>
      </c>
      <c r="M45" s="32">
        <v>911338.37013000087</v>
      </c>
      <c r="N45" s="34">
        <f>+M45/$M$20</f>
        <v>0.10431604751171487</v>
      </c>
      <c r="O45" s="34">
        <f>IF(K45=0,"",(M45-K45)/ABS(K45)+1)</f>
        <v>0.61802454099724802</v>
      </c>
      <c r="P45" s="32">
        <v>1534296.7573199992</v>
      </c>
      <c r="Q45" s="34">
        <f t="shared" si="8"/>
        <v>0.18124928160550111</v>
      </c>
      <c r="R45" s="34">
        <f>IF(P45=0,"",(M45-P45)/ABS(P45))</f>
        <v>-0.40602209723635069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433050</v>
      </c>
      <c r="D46" s="34">
        <f t="shared" si="11"/>
        <v>0.41909822024794591</v>
      </c>
      <c r="E46" s="32">
        <v>401754.95299999998</v>
      </c>
      <c r="F46" s="34">
        <f>+E46/$E$20</f>
        <v>0.43426007070084371</v>
      </c>
      <c r="G46" s="34">
        <f>IF(C46=0,"",(E46-C46)/ABS(C46)+1)</f>
        <v>0.92773340953700489</v>
      </c>
      <c r="H46" s="32">
        <v>414408.03200000001</v>
      </c>
      <c r="I46" s="34">
        <f t="shared" si="12"/>
        <v>0.49127606757916653</v>
      </c>
      <c r="J46" s="34">
        <f>IF(H46=0,"",(E46-H46)/ABS(H46))</f>
        <v>-3.0532899999390038E-2</v>
      </c>
      <c r="K46" s="32">
        <v>3866809</v>
      </c>
      <c r="L46" s="34">
        <f t="shared" si="5"/>
        <v>0.41417224546856901</v>
      </c>
      <c r="M46" s="32">
        <v>3845246.6</v>
      </c>
      <c r="N46" s="34">
        <f>+M46/$M$20</f>
        <v>0.44014489037989352</v>
      </c>
      <c r="O46" s="34">
        <f>IF(K46=0,"",(M46-K46)/ABS(K46)+1)</f>
        <v>0.99442372250607669</v>
      </c>
      <c r="P46" s="32">
        <v>3468242.3054499999</v>
      </c>
      <c r="Q46" s="34">
        <f t="shared" si="8"/>
        <v>0.40970980567973175</v>
      </c>
      <c r="R46" s="34">
        <f>IF(P46=0,"",(M46-P46)/ABS(P46))</f>
        <v>0.10870183261347549</v>
      </c>
      <c r="S46" s="67"/>
      <c r="X46" s="73"/>
      <c r="Y46" s="73"/>
      <c r="Z46" s="73"/>
      <c r="AA46" s="73"/>
    </row>
    <row r="47" spans="1:29" x14ac:dyDescent="0.2">
      <c r="B47" s="3" t="s">
        <v>82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F32DF-0526-463D-AA42-B1B3BC9904FF}">
  <sheetPr>
    <tabColor theme="2" tint="-0.249977111117893"/>
  </sheetPr>
  <dimension ref="A1:V48"/>
  <sheetViews>
    <sheetView showGridLines="0" zoomScale="93" zoomScaleNormal="93" workbookViewId="0">
      <selection activeCell="G23" sqref="G23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202309</v>
      </c>
      <c r="B6" s="79" t="str">
        <f>+'COLOMB$ '!B6</f>
        <v>SEPTIEMBRE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202409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34.454000000000001</v>
      </c>
      <c r="N10" s="68">
        <f t="shared" ref="N10:N20" si="6">IF($M$20=0,0,M10/$M$20)</f>
        <v>1.0121609727838156E-2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422</v>
      </c>
      <c r="D13" s="68">
        <f t="shared" si="0"/>
        <v>0.10007114062129475</v>
      </c>
      <c r="E13" s="32">
        <v>161.47999999999999</v>
      </c>
      <c r="F13" s="68">
        <f t="shared" si="1"/>
        <v>1</v>
      </c>
      <c r="G13" s="68">
        <f t="shared" si="2"/>
        <v>0.38265402843601903</v>
      </c>
      <c r="H13" s="32">
        <v>161.47999999999999</v>
      </c>
      <c r="I13" s="68">
        <f t="shared" si="3"/>
        <v>1</v>
      </c>
      <c r="J13" s="68">
        <f t="shared" si="4"/>
        <v>0</v>
      </c>
      <c r="K13" s="32">
        <v>3516</v>
      </c>
      <c r="L13" s="68">
        <f t="shared" si="5"/>
        <v>0.1000398338359984</v>
      </c>
      <c r="M13" s="32">
        <v>3117.4490000000001</v>
      </c>
      <c r="N13" s="68">
        <f t="shared" si="6"/>
        <v>0.91581825403260386</v>
      </c>
      <c r="O13" s="68">
        <f t="shared" si="7"/>
        <v>0.88664647326507395</v>
      </c>
      <c r="P13" s="32">
        <v>1544.0340000000001</v>
      </c>
      <c r="Q13" s="68">
        <f t="shared" si="8"/>
        <v>1</v>
      </c>
      <c r="R13" s="34">
        <f t="shared" si="9"/>
        <v>1.0190287260513693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252.101</v>
      </c>
      <c r="N15" s="68">
        <f t="shared" si="6"/>
        <v>7.4060136239557872E-2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3795</v>
      </c>
      <c r="D18" s="68">
        <f t="shared" si="0"/>
        <v>0.89992885937870526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31630</v>
      </c>
      <c r="L18" s="68">
        <f t="shared" si="5"/>
        <v>0.89996016616400154</v>
      </c>
      <c r="M18" s="32">
        <v>21434.021000000001</v>
      </c>
      <c r="N18" s="68">
        <f t="shared" si="6"/>
        <v>6.2967085232567293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4217</v>
      </c>
      <c r="D20" s="72">
        <f>+C20/$C$20</f>
        <v>1</v>
      </c>
      <c r="E20" s="69">
        <f>SUM(E10:E17)</f>
        <v>161.47999999999999</v>
      </c>
      <c r="F20" s="72">
        <f t="shared" si="1"/>
        <v>1</v>
      </c>
      <c r="G20" s="72">
        <f>IF(C20=0,"",(E20-C20)/ABS(C20)+1)</f>
        <v>3.8292625088925836E-2</v>
      </c>
      <c r="H20" s="69">
        <f>SUM(H10:H19)</f>
        <v>161.47999999999999</v>
      </c>
      <c r="I20" s="72">
        <f>+H22/$H$22</f>
        <v>1</v>
      </c>
      <c r="J20" s="68">
        <f t="shared" si="4"/>
        <v>0</v>
      </c>
      <c r="K20" s="69">
        <f>SUM(K10:K19)</f>
        <v>35146</v>
      </c>
      <c r="L20" s="72">
        <f t="shared" si="5"/>
        <v>1</v>
      </c>
      <c r="M20" s="69">
        <f>SUM(M10:M17)</f>
        <v>3404.0040000000004</v>
      </c>
      <c r="N20" s="68">
        <f t="shared" si="6"/>
        <v>1</v>
      </c>
      <c r="O20" s="72">
        <f>IF(K20=0,"",(M20-K20)/ABS(K20)+1)</f>
        <v>9.6853240767085902E-2</v>
      </c>
      <c r="P20" s="69">
        <f>SUM(P10:P17)</f>
        <v>1544.0340000000001</v>
      </c>
      <c r="Q20" s="72">
        <f>+P20/$P$20</f>
        <v>1</v>
      </c>
      <c r="R20" s="34">
        <f t="shared" si="9"/>
        <v>1.2046172558376307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2594</v>
      </c>
      <c r="D22" s="68">
        <f>+C22/$C$20</f>
        <v>0.6151292387953522</v>
      </c>
      <c r="E22" s="32">
        <v>1374.8278</v>
      </c>
      <c r="F22" s="68">
        <f>IF($E$20=0,0,E22/$E$20)</f>
        <v>8.5139199900916527</v>
      </c>
      <c r="G22" s="68">
        <f>IF(C22=0,"",(E22-C22)/ABS(C22)+1)</f>
        <v>0.53000300693909019</v>
      </c>
      <c r="H22" s="32">
        <v>982.78359999999998</v>
      </c>
      <c r="I22" s="68">
        <f>+H22/$H$20</f>
        <v>6.0861010651473872</v>
      </c>
      <c r="J22" s="68">
        <f t="shared" si="4"/>
        <v>0.39891202905705797</v>
      </c>
      <c r="K22" s="32">
        <v>21618</v>
      </c>
      <c r="L22" s="68">
        <f>+K22/$K$20</f>
        <v>0.61509133329539634</v>
      </c>
      <c r="M22" s="32">
        <v>8158.5758499999993</v>
      </c>
      <c r="N22" s="68">
        <f>IF($M$20=0,0,M22/$M$20)</f>
        <v>2.3967585966408964</v>
      </c>
      <c r="O22" s="68">
        <f>IF(K22=0,"",(M22-K22)/ABS(K22)+1)</f>
        <v>0.37739734711814221</v>
      </c>
      <c r="P22" s="63">
        <v>1438.5178000000001</v>
      </c>
      <c r="Q22" s="68"/>
      <c r="R22" s="34">
        <f t="shared" si="9"/>
        <v>4.6715153959165461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1623</v>
      </c>
      <c r="D24" s="68">
        <f>+C24/$C$20</f>
        <v>0.38487076120464786</v>
      </c>
      <c r="E24" s="32">
        <f>+E20-E22</f>
        <v>-1213.3478</v>
      </c>
      <c r="F24" s="68">
        <f>IF($E$20=0,0,E24/$E$20)</f>
        <v>-7.5139199900916527</v>
      </c>
      <c r="G24" s="68">
        <f>IF(C24=0,"",(E24-C24)/ABS(C24)+1)</f>
        <v>-0.74759568699938383</v>
      </c>
      <c r="H24" s="32">
        <f>+H20-H22</f>
        <v>-821.30359999999996</v>
      </c>
      <c r="I24" s="68">
        <f>+H24/$H$20</f>
        <v>-5.0861010651473864</v>
      </c>
      <c r="J24" s="68" t="str">
        <f t="shared" si="4"/>
        <v/>
      </c>
      <c r="K24" s="32">
        <f>+K20-K22</f>
        <v>13528</v>
      </c>
      <c r="L24" s="68">
        <f>+K24/$K$20</f>
        <v>0.38490866670460366</v>
      </c>
      <c r="M24" s="32">
        <f>+M20-M22</f>
        <v>-4754.5718499999984</v>
      </c>
      <c r="N24" s="68">
        <f>IF($M$20=0,0,M24/$M$20)</f>
        <v>-1.3967585966408964</v>
      </c>
      <c r="O24" s="68">
        <f>IF(K24=0,"",(M24-K24)/ABS(K24)+1)</f>
        <v>-0.35146155011827318</v>
      </c>
      <c r="P24" s="32">
        <f>+P20-P22</f>
        <v>105.51620000000003</v>
      </c>
      <c r="Q24" s="68">
        <f>+P24/$P$20</f>
        <v>6.8338002919624843E-2</v>
      </c>
      <c r="R24" s="34">
        <f t="shared" si="9"/>
        <v>-46.060112570392008</v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13</v>
      </c>
      <c r="D26" s="68">
        <f>+C26/$C$20</f>
        <v>3.0827602561062368E-3</v>
      </c>
      <c r="E26" s="32">
        <v>289.47399999999999</v>
      </c>
      <c r="F26" s="68">
        <f>IF($E$20=0,0,E26/$E$20)</f>
        <v>1.7926306663363885</v>
      </c>
      <c r="G26" s="68">
        <f>IF(C26=0,"",(E26-C26)/ABS(C26)+1)</f>
        <v>22.267230769230768</v>
      </c>
      <c r="H26" s="32">
        <v>289.49400000000003</v>
      </c>
      <c r="I26" s="68">
        <f>+H26/$H$20</f>
        <v>1.7927545206836764</v>
      </c>
      <c r="J26" s="68">
        <f t="shared" si="4"/>
        <v>-6.90860605057053E-5</v>
      </c>
      <c r="K26" s="32">
        <v>109</v>
      </c>
      <c r="L26" s="68">
        <f>+K26/$K$20</f>
        <v>3.1013486598759459E-3</v>
      </c>
      <c r="M26" s="32">
        <v>2760.6182899999999</v>
      </c>
      <c r="N26" s="68">
        <f>IF($M$20=0,0,M26/$M$20)</f>
        <v>0.8109914941345544</v>
      </c>
      <c r="O26" s="68">
        <f>IF(K26=0,"",(M26-K26)/ABS(K26)+1)</f>
        <v>25.326773302752294</v>
      </c>
      <c r="P26" s="32">
        <v>2613.08097</v>
      </c>
      <c r="Q26" s="68">
        <f>+P26/$P$20</f>
        <v>1.6923726873890081</v>
      </c>
      <c r="R26" s="34">
        <f t="shared" si="9"/>
        <v>5.6461059451977068E-2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13</v>
      </c>
      <c r="D28" s="68">
        <f>+C28/$C$20</f>
        <v>3.0827602561062368E-3</v>
      </c>
      <c r="E28" s="32">
        <f>SUM(E26:E27)</f>
        <v>289.47399999999999</v>
      </c>
      <c r="F28" s="68">
        <f>IF($E$20=0,0,E28/$E$20)</f>
        <v>1.7926306663363885</v>
      </c>
      <c r="G28" s="68">
        <f>IF(C28=0,"",(E28-C28)/ABS(C28)+1)</f>
        <v>22.267230769230768</v>
      </c>
      <c r="H28" s="32">
        <f>SUM(H26:H27)</f>
        <v>289.49400000000003</v>
      </c>
      <c r="I28" s="68">
        <f>+H28/$H$20</f>
        <v>1.7927545206836764</v>
      </c>
      <c r="J28" s="68">
        <f t="shared" si="4"/>
        <v>-6.90860605057053E-5</v>
      </c>
      <c r="K28" s="32">
        <f>SUM(K26:K27)</f>
        <v>109</v>
      </c>
      <c r="L28" s="68">
        <f>+K28/$K$20</f>
        <v>3.1013486598759459E-3</v>
      </c>
      <c r="M28" s="32">
        <f>SUM(M26:M27)</f>
        <v>2760.6182899999999</v>
      </c>
      <c r="N28" s="68">
        <f>IF($M$20=0,0,M28/$M$20)</f>
        <v>0.8109914941345544</v>
      </c>
      <c r="O28" s="68">
        <f>IF(K28=0,"",(M28-K28)/ABS(K28)+1)</f>
        <v>25.326773302752294</v>
      </c>
      <c r="P28" s="32">
        <f>SUM(P26:P27)</f>
        <v>2613.08097</v>
      </c>
      <c r="Q28" s="68">
        <f>+P28/$P$20</f>
        <v>1.6923726873890081</v>
      </c>
      <c r="R28" s="34">
        <f t="shared" si="9"/>
        <v>5.6461059451977068E-2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4.2060000000000004</v>
      </c>
      <c r="F30" s="68">
        <f>IF($E$20=0,0,E30/$E$20)</f>
        <v>2.6046569234580139E-2</v>
      </c>
      <c r="G30" s="68" t="str">
        <f>IF(C30=0,"",(E30-C30)/ABS(C30)+1)</f>
        <v/>
      </c>
      <c r="H30" s="32">
        <v>4.2030000000000003</v>
      </c>
      <c r="I30" s="68"/>
      <c r="J30" s="68">
        <f t="shared" si="4"/>
        <v>7.1377587437547311E-4</v>
      </c>
      <c r="K30" s="32">
        <v>0</v>
      </c>
      <c r="L30" s="68">
        <f>+K30/$K$20</f>
        <v>0</v>
      </c>
      <c r="M30" s="32">
        <v>37.840499999999999</v>
      </c>
      <c r="N30" s="68">
        <f>IF($M$20=0,0,M30/$M$20)</f>
        <v>1.1116467548216746E-2</v>
      </c>
      <c r="O30" s="68" t="str">
        <f>IF(K30=0,"",(M30-K30)/ABS(K30)+1)</f>
        <v/>
      </c>
      <c r="P30" s="32">
        <v>3534.1681100000001</v>
      </c>
      <c r="Q30" s="68">
        <f>+P30/$P$20</f>
        <v>2.2889185795131453</v>
      </c>
      <c r="R30" s="34">
        <f t="shared" si="9"/>
        <v>-0.98929295414869223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10.170278329363212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4.2060000000000004</v>
      </c>
      <c r="F32" s="68">
        <f>IF($E$20=0,0,E32/$E$20)</f>
        <v>2.6046569234580139E-2</v>
      </c>
      <c r="G32" s="68" t="str">
        <f>IF(C32=0,"",(E32-C32)/ABS(C32)+1)</f>
        <v/>
      </c>
      <c r="H32" s="32">
        <f>SUM(H30:H31)</f>
        <v>4.2030000000000003</v>
      </c>
      <c r="I32" s="68">
        <f>+H32/$H$20</f>
        <v>2.6027991082487E-2</v>
      </c>
      <c r="J32" s="68">
        <f>IF(H32&lt;=0,"",(E32-H32)/ABS(H32))</f>
        <v>7.1377587437547311E-4</v>
      </c>
      <c r="K32" s="32">
        <f>SUM(K30:K31)</f>
        <v>0</v>
      </c>
      <c r="L32" s="68">
        <f>+K32/$K$20</f>
        <v>0</v>
      </c>
      <c r="M32" s="32">
        <f>SUM(M30:M31)</f>
        <v>37.840499999999999</v>
      </c>
      <c r="N32" s="68">
        <f>IF($M$20=0,0,M32/$M$20)</f>
        <v>1.1116467548216746E-2</v>
      </c>
      <c r="O32" s="68" t="str">
        <f>IF(K32=0,"",(M32-K32)/ABS(K32)+1)</f>
        <v/>
      </c>
      <c r="P32" s="32">
        <f>+P30+P31</f>
        <v>3534.1681100000001</v>
      </c>
      <c r="Q32" s="68">
        <f>+P32/$P$20</f>
        <v>2.2889185795131453</v>
      </c>
      <c r="R32" s="34">
        <f>IF(P32&lt;=0,"",(M32-P32)/ABS(P32))</f>
        <v>-0.98929295414869223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13</v>
      </c>
      <c r="D34" s="68">
        <f>+C34/$C$20</f>
        <v>3.0827602561062368E-3</v>
      </c>
      <c r="E34" s="32">
        <f>E28+E32</f>
        <v>293.68</v>
      </c>
      <c r="F34" s="68">
        <f>IF($E$20=0,0,E34/$E$20)</f>
        <v>1.8186772355709686</v>
      </c>
      <c r="G34" s="68">
        <f>IF(C34=0,"",(E34-C34)/ABS(C34)+1)</f>
        <v>22.590769230769233</v>
      </c>
      <c r="H34" s="32">
        <f>+H32+H28</f>
        <v>293.697</v>
      </c>
      <c r="I34" s="68">
        <f>+H34/$H$20</f>
        <v>1.8187825117661631</v>
      </c>
      <c r="J34" s="68">
        <f>IF(H34&lt;=0,"",(E34-H34)/ABS(H34))</f>
        <v>-5.7882783957602244E-5</v>
      </c>
      <c r="K34" s="32">
        <f>K28+K32</f>
        <v>109</v>
      </c>
      <c r="L34" s="68">
        <f>+K34/$K$20</f>
        <v>3.1013486598759459E-3</v>
      </c>
      <c r="M34" s="32">
        <f>M28+M32</f>
        <v>2798.4587899999997</v>
      </c>
      <c r="N34" s="68">
        <f>IF($M$20=0,0,M34/$M$20)</f>
        <v>0.822107961682771</v>
      </c>
      <c r="O34" s="68">
        <f>IF(K34=0,"",(M34-K34)/ABS(K34)+1)</f>
        <v>25.673933853211008</v>
      </c>
      <c r="P34" s="32">
        <f>P28+P32</f>
        <v>6147.2490799999996</v>
      </c>
      <c r="Q34" s="68">
        <f>+P34/$P$20</f>
        <v>3.981291266902153</v>
      </c>
      <c r="R34" s="34">
        <f>IF(P34&lt;=0,"",(M34-P34)/ABS(P34))</f>
        <v>-0.54476242078676274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1610</v>
      </c>
      <c r="D36" s="72">
        <f>+C36/$C$20</f>
        <v>0.38178800094854159</v>
      </c>
      <c r="E36" s="69">
        <f>E24-E34</f>
        <v>-1507.0278000000001</v>
      </c>
      <c r="F36" s="72">
        <f>IF($E$20=0,0,E36/$E$20)</f>
        <v>-9.3325972256626226</v>
      </c>
      <c r="G36" s="72">
        <f>IF(C36=0,"",(E36-C36)/ABS(C36)+1)</f>
        <v>-0.93604211180124208</v>
      </c>
      <c r="H36" s="69">
        <f>+H24-H34</f>
        <v>-1115.0005999999998</v>
      </c>
      <c r="I36" s="72">
        <f>+H36/$H$20</f>
        <v>-6.9048835769135488</v>
      </c>
      <c r="J36" s="72" t="str">
        <f t="shared" si="4"/>
        <v/>
      </c>
      <c r="K36" s="69">
        <f>K24-K34</f>
        <v>13419</v>
      </c>
      <c r="L36" s="72">
        <f>+K36/$K$20</f>
        <v>0.38180731804472773</v>
      </c>
      <c r="M36" s="69">
        <f>M24-M34</f>
        <v>-7553.0306399999981</v>
      </c>
      <c r="N36" s="72">
        <f>IF($M$20=0,0,M36/$M$20)</f>
        <v>-2.2188665583236675</v>
      </c>
      <c r="O36" s="72">
        <f>IF(K36=0,"",(M36-K36)/ABS(K36)+1)</f>
        <v>-0.56286091661077564</v>
      </c>
      <c r="P36" s="69">
        <f>P24-P34</f>
        <v>-6041.7328799999996</v>
      </c>
      <c r="Q36" s="72">
        <f>+P36/$P$20</f>
        <v>-3.9129532639825282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75.200999999999993</v>
      </c>
      <c r="F38" s="68">
        <f>IF($E$20=0,0,E38/$E$20)</f>
        <v>0.46569853851870202</v>
      </c>
      <c r="G38" s="68" t="str">
        <f>IF(C38=0,"",(E38-C38)/ABS(C38)+1)</f>
        <v/>
      </c>
      <c r="H38" s="32">
        <v>0</v>
      </c>
      <c r="I38" s="68">
        <f>+H38/$H$20</f>
        <v>0</v>
      </c>
      <c r="J38" s="68" t="str">
        <f t="shared" si="4"/>
        <v/>
      </c>
      <c r="K38" s="32"/>
      <c r="L38" s="68">
        <f>+K38/$K$20</f>
        <v>0</v>
      </c>
      <c r="M38" s="32">
        <v>138.10300000000001</v>
      </c>
      <c r="N38" s="68">
        <f>IF($M$20=0,0,M38/$M$20)</f>
        <v>4.0570751385721047E-2</v>
      </c>
      <c r="O38" s="68" t="str">
        <f>IF(K38=0,"",(M38-K38)/ABS(K38)+1)</f>
        <v/>
      </c>
      <c r="P38" s="32">
        <v>30</v>
      </c>
      <c r="Q38" s="68">
        <f>+P38/$P$20</f>
        <v>1.9429623959057896E-2</v>
      </c>
      <c r="R38" s="34">
        <f t="shared" si="9"/>
        <v>3.6034333333333337</v>
      </c>
    </row>
    <row r="39" spans="1:21" x14ac:dyDescent="0.2">
      <c r="B39" s="3" t="s">
        <v>57</v>
      </c>
      <c r="C39" s="32"/>
      <c r="D39" s="68"/>
      <c r="E39" s="32">
        <v>527.61400000000003</v>
      </c>
      <c r="F39" s="68">
        <f>IF($E$20=0,0,E39/$E$20)</f>
        <v>3.2673643794897207</v>
      </c>
      <c r="G39" s="68" t="str">
        <f>IF(C39=0,"",(E39-C39)/ABS(C39)+1)</f>
        <v/>
      </c>
      <c r="H39" s="32">
        <v>19.110529999999997</v>
      </c>
      <c r="I39" s="68"/>
      <c r="J39" s="68">
        <f t="shared" si="4"/>
        <v>26.608548794826731</v>
      </c>
      <c r="K39" s="32">
        <v>0</v>
      </c>
      <c r="L39" s="68">
        <f>+K39/$K$20</f>
        <v>0</v>
      </c>
      <c r="M39" s="32">
        <v>3537.895</v>
      </c>
      <c r="N39" s="68">
        <f>IF($M$20=0,0,M39/$M$20)</f>
        <v>1.0393333850371502</v>
      </c>
      <c r="O39" s="68" t="str">
        <f>IF(K39=0,"",(M39-K39)/ABS(K39)+1)</f>
        <v/>
      </c>
      <c r="P39" s="32">
        <v>15703.255529999999</v>
      </c>
      <c r="Q39" s="68">
        <f>+P39/$P$20</f>
        <v>10.170278329363212</v>
      </c>
      <c r="R39" s="34">
        <f t="shared" si="9"/>
        <v>-0.77470308667899512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1610</v>
      </c>
      <c r="D41" s="68">
        <f>+C41/$C$20</f>
        <v>0.38178800094854159</v>
      </c>
      <c r="E41" s="32">
        <f>+E36-E39</f>
        <v>-2034.6418000000001</v>
      </c>
      <c r="F41" s="68">
        <f>IF($E$20=0,0,E41/$E$20)</f>
        <v>-12.599961605152343</v>
      </c>
      <c r="G41" s="68">
        <f>IF(C41=0,"",(E41-C41)/ABS(C41)+1)</f>
        <v>-1.2637526708074538</v>
      </c>
      <c r="H41" s="32">
        <f>+H36+H38-H39</f>
        <v>-1134.1111299999998</v>
      </c>
      <c r="I41" s="68">
        <f>+H41/$H$20</f>
        <v>-7.0232296878870439</v>
      </c>
      <c r="J41" s="68" t="str">
        <f t="shared" si="4"/>
        <v/>
      </c>
      <c r="K41" s="32">
        <f>K36+K38-K39</f>
        <v>13419</v>
      </c>
      <c r="L41" s="68">
        <f>+K41/$K$20</f>
        <v>0.38180731804472773</v>
      </c>
      <c r="M41" s="32">
        <f>M36+M38-M39</f>
        <v>-10952.822639999999</v>
      </c>
      <c r="N41" s="68">
        <f>IF($M$20=0,0,M41/$M$20)</f>
        <v>-3.2176291919750968</v>
      </c>
      <c r="O41" s="68">
        <f>IF(K41=0,"",(M41-K41)/ABS(K41)+1)</f>
        <v>-0.81621750055890896</v>
      </c>
      <c r="P41" s="32">
        <f>+P36-P39</f>
        <v>-21744.988409999998</v>
      </c>
      <c r="Q41" s="68">
        <f>+P41/$P$20</f>
        <v>-14.08323159334574</v>
      </c>
      <c r="R41" s="34" t="str">
        <f t="shared" si="9"/>
        <v/>
      </c>
    </row>
    <row r="42" spans="1:21" x14ac:dyDescent="0.2">
      <c r="B42" s="3" t="s">
        <v>44</v>
      </c>
      <c r="C42" s="32">
        <v>602</v>
      </c>
      <c r="D42" s="68">
        <f>+C42/$C$20</f>
        <v>0.14275551339815035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-2.3176657970027246</v>
      </c>
      <c r="J42" s="68" t="str">
        <f t="shared" si="4"/>
        <v/>
      </c>
      <c r="K42" s="32">
        <v>5016</v>
      </c>
      <c r="L42" s="68">
        <f>+K42/$K$20</f>
        <v>0.14271894383429123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1610</v>
      </c>
      <c r="D43" s="72">
        <f>+C43/$C$20</f>
        <v>0.38178800094854159</v>
      </c>
      <c r="E43" s="69">
        <f>E41-E42</f>
        <v>-2034.6418000000001</v>
      </c>
      <c r="F43" s="72">
        <f>IF($E$20=0,0,E43/$E$20)</f>
        <v>-12.599961605152343</v>
      </c>
      <c r="G43" s="72">
        <f>IF(C43=0,"",(E43-C43)/ABS(C43)+1)</f>
        <v>-1.2637526708074538</v>
      </c>
      <c r="H43" s="69">
        <f>+H41-H42</f>
        <v>-1134.1111299999998</v>
      </c>
      <c r="I43" s="72">
        <f>+H43/$H$20</f>
        <v>-7.0232296878870439</v>
      </c>
      <c r="J43" s="68" t="str">
        <f t="shared" si="4"/>
        <v/>
      </c>
      <c r="K43" s="69">
        <f>K41-K42</f>
        <v>8403</v>
      </c>
      <c r="L43" s="72">
        <f>+K43/$K$20</f>
        <v>0.23908837421043647</v>
      </c>
      <c r="M43" s="69">
        <f>+M41-M42</f>
        <v>-10952.822639999999</v>
      </c>
      <c r="N43" s="72">
        <f>IF($M$20=0,0,M43/$M$20)</f>
        <v>-3.2176291919750968</v>
      </c>
      <c r="O43" s="72">
        <f>IF(K43=0,"",(M43-K43)/ABS(K43)+1)</f>
        <v>-1.3034419421635128</v>
      </c>
      <c r="P43" s="69">
        <f>P41-P42</f>
        <v>-21744.988409999998</v>
      </c>
      <c r="Q43" s="72">
        <f>+P43/$P$20</f>
        <v>-14.08323159334574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1610</v>
      </c>
      <c r="D45" s="68">
        <f>+C45/$C$20</f>
        <v>0.38178800094854159</v>
      </c>
      <c r="E45" s="32">
        <v>-1213.3478</v>
      </c>
      <c r="F45" s="68">
        <f>IF($E$20=0,0,E45/$E$20)</f>
        <v>-7.5139199900916527</v>
      </c>
      <c r="G45" s="68">
        <f>IF(C45=0,"",(E45-C45)/ABS(C45)+1)</f>
        <v>-0.75363217391304338</v>
      </c>
      <c r="H45" s="32">
        <v>-840.41412999999977</v>
      </c>
      <c r="I45" s="68">
        <f>+H45/$H$20</f>
        <v>-5.2044471761208806</v>
      </c>
      <c r="J45" s="68" t="str">
        <f t="shared" si="4"/>
        <v/>
      </c>
      <c r="K45" s="32">
        <v>13419</v>
      </c>
      <c r="L45" s="68">
        <f>+K45/$K$20</f>
        <v>0.38180731804472773</v>
      </c>
      <c r="M45" s="32">
        <v>-4909.8338499999982</v>
      </c>
      <c r="N45" s="68">
        <f>IF($M$20=0,0,M45/$M$20)</f>
        <v>-1.4423701764157733</v>
      </c>
      <c r="O45" s="68">
        <f>IF(K45=0,"",(M45-K45)/ABS(K45)+1)</f>
        <v>-0.36588671659587146</v>
      </c>
      <c r="P45" s="32">
        <v>104.00820000000022</v>
      </c>
      <c r="Q45" s="68">
        <f>+P45/$P$20</f>
        <v>6.736134048861632E-2</v>
      </c>
      <c r="R45" s="34">
        <f t="shared" si="9"/>
        <v>-48.206218836591617</v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4E039-3304-43B7-9FAD-82998990CEA0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110.44999999999982</v>
      </c>
      <c r="AJ5" s="84">
        <f>+AI5/Paramet!G4</f>
        <v>2.7246309598989535E-2</v>
      </c>
    </row>
    <row r="6" spans="1:36" ht="13.5" thickBot="1" x14ac:dyDescent="0.25">
      <c r="B6" s="42" t="str">
        <f>+'COLOMB$ '!B6</f>
        <v>SEPTIEMBRE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SEPTIEMBRE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95897.383552788277</v>
      </c>
      <c r="D10" s="33">
        <f t="shared" ref="D10:D15" si="0">+C10/$C$20</f>
        <v>0.43368874135500923</v>
      </c>
      <c r="E10" s="35">
        <f>+'COL. CONS.$'!E10/Paramet!$G$3*1000</f>
        <v>87684.364621380766</v>
      </c>
      <c r="F10" s="33">
        <f t="shared" ref="F10:F18" si="1">+E10/$E$20</f>
        <v>0.4197933742139231</v>
      </c>
      <c r="G10" s="33">
        <f t="shared" ref="G10:G18" si="2">IF(C10=0,"",(E10-C10)/ABS(C10)+1)</f>
        <v>0.91435617295140781</v>
      </c>
      <c r="H10" s="35">
        <f>+'COL. CONS.$'!H10/Paramet!$G$4*1000</f>
        <v>94667.036775734116</v>
      </c>
      <c r="I10" s="33">
        <f t="shared" ref="I10:I18" si="3">+H10/$H$20</f>
        <v>0.44443029179382126</v>
      </c>
      <c r="J10" s="34">
        <f t="shared" ref="J10:J18" si="4">IF(H10=0,"",(E10-H10)/ABS(H10))</f>
        <v>-7.3760332975196796E-2</v>
      </c>
      <c r="K10" s="35">
        <f>+'COL. CONS.$'!K10/Paramet!$G$5*1000</f>
        <v>864801.01618409273</v>
      </c>
      <c r="L10" s="33">
        <f t="shared" ref="L10:L18" si="5">+K10/$K$20</f>
        <v>0.43260343277397312</v>
      </c>
      <c r="M10" s="35">
        <f>+'COL. CONS.$'!M10/Paramet!$G$3*1000</f>
        <v>838262.96920664422</v>
      </c>
      <c r="N10" s="33">
        <f t="shared" ref="N10:N18" si="6">+M10/$M$20</f>
        <v>0.41518291447623779</v>
      </c>
      <c r="O10" s="33">
        <f t="shared" ref="O10:O18" si="7">IF(K10=0,"",(M10-K10)/ABS(K10)+1)</f>
        <v>0.96931311772210116</v>
      </c>
      <c r="P10" s="35">
        <f>+'COL. CONS.$'!P10/Paramet!$G$4*1000</f>
        <v>880986.63561730331</v>
      </c>
      <c r="Q10" s="33">
        <f t="shared" ref="Q10:Q18" si="8">+P10/$P$20</f>
        <v>0.53238225441520448</v>
      </c>
      <c r="R10" s="34">
        <f t="shared" ref="R10:R18" si="9">IF(P10=0,"",(M10-P10)/ABS(P10))</f>
        <v>-4.8495249171087385E-2</v>
      </c>
      <c r="T10" s="37"/>
      <c r="U10" s="36" t="s">
        <v>95</v>
      </c>
      <c r="V10" s="19" t="s">
        <v>31</v>
      </c>
      <c r="W10" s="35">
        <f>+'COL. CONS.$'!U10/Paramet!G5*1000</f>
        <v>436.41477549816841</v>
      </c>
      <c r="X10" s="35">
        <f>'COLOMB$ '!V10/Paramet!$G$3*1000</f>
        <v>14814.814814814816</v>
      </c>
      <c r="Y10" s="35">
        <f>'COLOMB$ '!W10/Paramet!$G$4*1000</f>
        <v>29564.651089359013</v>
      </c>
      <c r="Z10" s="35">
        <f>'COLOMB$ '!X10/Paramet!$G$5*1000</f>
        <v>10377.553219239451</v>
      </c>
      <c r="AA10" s="35">
        <f>+'COL. CONS.$'!Y10/Paramet!G3*1000</f>
        <v>10986.717768796483</v>
      </c>
      <c r="AB10" s="36">
        <f>+AA10-Z10</f>
        <v>609.16454955703193</v>
      </c>
      <c r="AC10" s="37">
        <f>IF(Z10=0,"",(AA10-Z10)/ABS(Z10)+1)</f>
        <v>1.0587002096436058</v>
      </c>
      <c r="AD10" s="35">
        <f>'COLOMB$ '!AB10/Paramet!$G$4*1000</f>
        <v>7920.5478370697811</v>
      </c>
      <c r="AE10" s="34">
        <f>IF(Y10=0,"",(AA10-AD10)/ABS(AD10))</f>
        <v>0.38711589081962244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9416.4880405566328</v>
      </c>
      <c r="D11" s="33">
        <f t="shared" si="0"/>
        <v>4.2585362551059547E-2</v>
      </c>
      <c r="E11" s="35">
        <f>+'COL. CONS.$'!E11/Paramet!$G$3*1000</f>
        <v>3759.139668748694</v>
      </c>
      <c r="F11" s="33">
        <f t="shared" si="1"/>
        <v>1.7997073166914779E-2</v>
      </c>
      <c r="G11" s="33">
        <f t="shared" si="2"/>
        <v>0.39920824542633637</v>
      </c>
      <c r="H11" s="35">
        <f>+'COL. CONS.$'!H11/Paramet!$G$4*1000</f>
        <v>7764.4855640195765</v>
      </c>
      <c r="I11" s="33">
        <f t="shared" si="3"/>
        <v>3.6451680567767229E-2</v>
      </c>
      <c r="J11" s="34">
        <f t="shared" si="4"/>
        <v>-0.51585463869384351</v>
      </c>
      <c r="K11" s="35">
        <f>+'COL. CONS.$'!K11/Paramet!$G$5*1000</f>
        <v>92986.515146360005</v>
      </c>
      <c r="L11" s="33">
        <f t="shared" si="5"/>
        <v>4.6515076764712421E-2</v>
      </c>
      <c r="M11" s="35">
        <f>+'COL. CONS.$'!M11/Paramet!$G$3*1000</f>
        <v>113730.84498620387</v>
      </c>
      <c r="N11" s="33">
        <f t="shared" si="6"/>
        <v>5.6329702517942351E-2</v>
      </c>
      <c r="O11" s="33">
        <f t="shared" si="7"/>
        <v>1.223089657755132</v>
      </c>
      <c r="P11" s="35">
        <f>+'COL. CONS.$'!P11/Paramet!$G$4*1000</f>
        <v>77997.094055888854</v>
      </c>
      <c r="Q11" s="33">
        <f t="shared" si="8"/>
        <v>4.7133823706886298E-2</v>
      </c>
      <c r="R11" s="34">
        <f t="shared" si="9"/>
        <v>0.4581420803281463</v>
      </c>
      <c r="T11" s="37">
        <f>+E22/C22</f>
        <v>1.0584992940118543</v>
      </c>
      <c r="U11" s="36" t="s">
        <v>96</v>
      </c>
      <c r="V11" s="19" t="s">
        <v>32</v>
      </c>
      <c r="W11" s="35">
        <f>'COLOMB$ '!U11/Paramet!$G$5*1000</f>
        <v>286282.19522983226</v>
      </c>
      <c r="X11" s="35">
        <f>'COLOMB$ '!V11/Paramet!$G$3*1000</f>
        <v>265225.33273057791</v>
      </c>
      <c r="Y11" s="35">
        <f>'COLOMB$ '!W11/Paramet!$G$4*1000</f>
        <v>284396.42718611856</v>
      </c>
      <c r="Z11" s="35">
        <f>'COLOMB$ '!X11/Paramet!$G$5*1000</f>
        <v>2440838.8055300377</v>
      </c>
      <c r="AA11" s="35">
        <f>'COLOMB$ '!Y11/Paramet!$G$3*1000</f>
        <v>2414357.7404237539</v>
      </c>
      <c r="AB11" s="36">
        <f>+AA11-Z11</f>
        <v>-26481.065106283873</v>
      </c>
      <c r="AC11" s="37">
        <f>IF(Z11=0,"",(AA11-Z11)/ABS(Z11)+1)</f>
        <v>0.9891508341123193</v>
      </c>
      <c r="AD11" s="35">
        <f>'COLOMB$ '!AB11/Paramet!$G$4*1000</f>
        <v>2497069.7091194354</v>
      </c>
      <c r="AE11" s="34">
        <f>IF(AD11=0,"",(AA11-AD11)/ABS(AD11))</f>
        <v>-3.3123612205783803E-2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16743.901194243135</v>
      </c>
      <c r="D12" s="33">
        <f t="shared" si="0"/>
        <v>7.5723040246521975E-2</v>
      </c>
      <c r="E12" s="35">
        <f>+'COL. CONS.$'!E12/Paramet!$G$3*1000</f>
        <v>14909.843403670804</v>
      </c>
      <c r="F12" s="33">
        <f t="shared" si="1"/>
        <v>7.1381636834053963E-2</v>
      </c>
      <c r="G12" s="33">
        <f t="shared" si="2"/>
        <v>0.89046412963766686</v>
      </c>
      <c r="H12" s="35">
        <f>+'COL. CONS.$'!H12/Paramet!$G$4*1000</f>
        <v>19835.622730502051</v>
      </c>
      <c r="I12" s="33">
        <f t="shared" si="3"/>
        <v>9.3121659854139005E-2</v>
      </c>
      <c r="J12" s="34">
        <f t="shared" si="4"/>
        <v>-0.24832995634952634</v>
      </c>
      <c r="K12" s="35">
        <f>+'COL. CONS.$'!K12/Paramet!$G$5*1000</f>
        <v>152640.83109341862</v>
      </c>
      <c r="L12" s="33">
        <f t="shared" si="5"/>
        <v>7.6356232563015949E-2</v>
      </c>
      <c r="M12" s="35">
        <f>+'COL. CONS.$'!M12/Paramet!$G$3*1000</f>
        <v>144345.76186119334</v>
      </c>
      <c r="N12" s="33">
        <f t="shared" si="6"/>
        <v>7.1492951857986237E-2</v>
      </c>
      <c r="O12" s="33">
        <f t="shared" si="7"/>
        <v>0.94565628886579789</v>
      </c>
      <c r="P12" s="35">
        <f>+'COL. CONS.$'!P12/Paramet!$G$4*1000</f>
        <v>192768.48298863278</v>
      </c>
      <c r="Q12" s="33">
        <f t="shared" si="8"/>
        <v>0.11649043856582159</v>
      </c>
      <c r="R12" s="34">
        <f t="shared" si="9"/>
        <v>-0.25119625561557613</v>
      </c>
      <c r="T12" s="37">
        <f>+E24/C24</f>
        <v>0.93095114444424609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21149.331427988163</v>
      </c>
      <c r="D13" s="33">
        <f t="shared" si="0"/>
        <v>9.564626883125675E-2</v>
      </c>
      <c r="E13" s="35">
        <f>+'COL. CONS.$'!E13/Paramet!$G$3*1000</f>
        <v>16636.012035896365</v>
      </c>
      <c r="F13" s="33">
        <f t="shared" si="1"/>
        <v>7.9645757327064942E-2</v>
      </c>
      <c r="G13" s="33">
        <f t="shared" si="2"/>
        <v>0.78659753820307265</v>
      </c>
      <c r="H13" s="35">
        <f>+'COL. CONS.$'!H13/Paramet!$G$4*1000</f>
        <v>10487.6438170982</v>
      </c>
      <c r="I13" s="33">
        <f t="shared" si="3"/>
        <v>4.9236004005328425E-2</v>
      </c>
      <c r="J13" s="34">
        <f t="shared" si="4"/>
        <v>0.58624876340426113</v>
      </c>
      <c r="K13" s="35">
        <f>+'COL. CONS.$'!K13/Paramet!$G$5*1000</f>
        <v>208701.98360042193</v>
      </c>
      <c r="L13" s="33">
        <f t="shared" si="5"/>
        <v>0.10439996350913248</v>
      </c>
      <c r="M13" s="35">
        <f>+'COL. CONS.$'!M13/Paramet!$G$3*1000</f>
        <v>211625.77059754432</v>
      </c>
      <c r="N13" s="33">
        <f t="shared" si="6"/>
        <v>0.10481603916981394</v>
      </c>
      <c r="O13" s="33">
        <f t="shared" si="7"/>
        <v>1.0140093876765457</v>
      </c>
      <c r="P13" s="35">
        <f>+'COL. CONS.$'!P13/Paramet!$G$4*1000</f>
        <v>169533.58190914112</v>
      </c>
      <c r="Q13" s="33">
        <f t="shared" si="8"/>
        <v>0.10244953429132422</v>
      </c>
      <c r="R13" s="34">
        <f t="shared" si="9"/>
        <v>0.24828230616257405</v>
      </c>
      <c r="T13" s="37">
        <f>+E26/C26</f>
        <v>0.89721099107693336</v>
      </c>
      <c r="U13" s="36" t="s">
        <v>97</v>
      </c>
      <c r="V13" s="19" t="s">
        <v>33</v>
      </c>
      <c r="W13" s="35">
        <f>'COLOMB$ '!U13/Paramet!$G$5*1000</f>
        <v>27069.057421206038</v>
      </c>
      <c r="X13" s="35">
        <f>'COLOMB$ '!V13/Paramet!$G$3*1000</f>
        <v>38691.557822492141</v>
      </c>
      <c r="Y13" s="35">
        <f>'COLOMB$ '!W13/Paramet!$G$4*1000</f>
        <v>24939.01587661825</v>
      </c>
      <c r="Z13" s="35">
        <f>'COLOMB$ '!X13/Paramet!$G$5*1000</f>
        <v>325659.10199267353</v>
      </c>
      <c r="AA13" s="35">
        <f>'COLOMB$ '!Y13/Paramet!$G$3*1000</f>
        <v>390370.94983202091</v>
      </c>
      <c r="AB13" s="36">
        <f>+Z13-AA13</f>
        <v>-64711.847839347378</v>
      </c>
      <c r="AC13" s="37">
        <f>IF(Z13=0,"",(AA13-Z13)/ABS(Z13)+1)</f>
        <v>1.1987103920737434</v>
      </c>
      <c r="AD13" s="35">
        <f>'COLOMB$ '!AB13/Paramet!$G$4*1000</f>
        <v>292632.66670942528</v>
      </c>
      <c r="AE13" s="34">
        <f>IF(AD13=0,"",(AA13-AD13)/ABS(AD13))</f>
        <v>0.33399648857263969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2833.3885658984536</v>
      </c>
      <c r="Y14" s="35">
        <f>'COLOMB$ '!W14/Paramet!$G$4*1000</f>
        <v>2689.3851634038519</v>
      </c>
      <c r="Z14" s="35">
        <f>'COLOMB$ '!X14/Paramet!$G$5*1000</f>
        <v>24669.45663638529</v>
      </c>
      <c r="AA14" s="35">
        <f>'COLOMB$ '!Y14/Paramet!$G$3*1000</f>
        <v>26877.499213536303</v>
      </c>
      <c r="AB14" s="36">
        <f>+Z14-AA14</f>
        <v>-2208.0425771510127</v>
      </c>
      <c r="AC14" s="37">
        <f>IF(Z14=0,"",(AA14-Z14)/ABS(Z14)+1)</f>
        <v>1.0895051159697755</v>
      </c>
      <c r="AD14" s="35">
        <f>'COLOMB$ '!AB14/Paramet!$G$4*1000</f>
        <v>22008.087799968423</v>
      </c>
      <c r="AE14" s="34">
        <f>IF(AD14=0,"",(AA14-AD14)/ABS(AD14))</f>
        <v>0.2212555428634225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32655.801662640493</v>
      </c>
      <c r="D15" s="33">
        <f t="shared" si="0"/>
        <v>0.14768341946694949</v>
      </c>
      <c r="E15" s="35">
        <f>+'COL. CONS.$'!E15/Paramet!$G$3*1000</f>
        <v>30537.615538121277</v>
      </c>
      <c r="F15" s="33">
        <f t="shared" si="1"/>
        <v>0.14620039413582731</v>
      </c>
      <c r="G15" s="33">
        <f t="shared" si="2"/>
        <v>0.93513599370789591</v>
      </c>
      <c r="H15" s="35">
        <f>+'COL. CONS.$'!H15/Paramet!$G$4*1000</f>
        <v>31755.642169245337</v>
      </c>
      <c r="I15" s="33">
        <f t="shared" si="3"/>
        <v>0.14908219160605957</v>
      </c>
      <c r="J15" s="34">
        <f t="shared" si="4"/>
        <v>-3.835622736370585E-2</v>
      </c>
      <c r="K15" s="35">
        <f>+'COL. CONS.$'!K15/Paramet!$G$5*1000</f>
        <v>293456.2734623978</v>
      </c>
      <c r="L15" s="33">
        <f t="shared" si="5"/>
        <v>0.14679699594833365</v>
      </c>
      <c r="M15" s="35">
        <f>+'COL. CONS.$'!M15/Paramet!$G$3*1000</f>
        <v>290986.24132788694</v>
      </c>
      <c r="N15" s="33">
        <f t="shared" si="6"/>
        <v>0.1441224534364656</v>
      </c>
      <c r="O15" s="33">
        <f t="shared" si="7"/>
        <v>0.99158296360351161</v>
      </c>
      <c r="P15" s="35">
        <f>+'COL. CONS.$'!P15/Paramet!$G$4*1000</f>
        <v>299660.79417627095</v>
      </c>
      <c r="Q15" s="33">
        <f t="shared" si="8"/>
        <v>0.18108570858356882</v>
      </c>
      <c r="R15" s="34">
        <f t="shared" si="9"/>
        <v>-2.8947907156921377E-2</v>
      </c>
      <c r="T15" s="37"/>
      <c r="U15" s="89"/>
      <c r="V15" s="19" t="s">
        <v>35</v>
      </c>
      <c r="W15" s="35">
        <f>'COLOMB$ '!U15/Paramet!$G$5*1000</f>
        <v>92357.070758622256</v>
      </c>
      <c r="X15" s="35">
        <f>'COLOMB$ '!V15/Paramet!$G$3*1000</f>
        <v>99199.81389026971</v>
      </c>
      <c r="Y15" s="35">
        <f>'COLOMB$ '!W15/Paramet!$G$4*1000</f>
        <v>98347.145119592664</v>
      </c>
      <c r="Z15" s="35">
        <f>'COLOMB$ '!X15/Paramet!$G$5*1000</f>
        <v>905775.91779796546</v>
      </c>
      <c r="AA15" s="35">
        <f>'COLOMB$ '!Y15/Paramet!$G$3*1000</f>
        <v>969413.7644355112</v>
      </c>
      <c r="AB15" s="36">
        <f>+Z15-AA15</f>
        <v>-63637.846637545736</v>
      </c>
      <c r="AC15" s="37">
        <f>IF(Z15=0,"",(AA15-Z15)/ABS(Z15)+1)</f>
        <v>1.0702578257901312</v>
      </c>
      <c r="AD15" s="35">
        <f>'COLOMB$ '!AB15/Paramet!$G$4*1000</f>
        <v>871141.13020997785</v>
      </c>
      <c r="AE15" s="34">
        <f>IF(AD15=0,"",(AA15-AD15)/ABS(AD15))</f>
        <v>0.11280908548290669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75881.959329953621</v>
      </c>
      <c r="X16" s="35">
        <f>'COLOMB$ '!V16/Paramet!$G$3*1000</f>
        <v>44541.033682259054</v>
      </c>
      <c r="Y16" s="35">
        <f>'COLOMB$ '!W16/Paramet!$G$4*1000</f>
        <v>74144.94545557705</v>
      </c>
      <c r="Z16" s="35">
        <f>'COLOMB$ '!X16/Paramet!$G$5*1000</f>
        <v>631491.72649223695</v>
      </c>
      <c r="AA16" s="35">
        <f>'COLOMB$ '!Y16/Paramet!$G$3*1000</f>
        <v>530376.93792580103</v>
      </c>
      <c r="AB16" s="36">
        <f>+Z16-AA16</f>
        <v>101114.78856643592</v>
      </c>
      <c r="AC16" s="37">
        <f>IF(Z16=0,"",(AA16-Z16)/ABS(Z16)+1)</f>
        <v>0.83987947216965009</v>
      </c>
      <c r="AD16" s="35">
        <f>'COLOMB$ '!AB16/Paramet!$G$4*1000</f>
        <v>572892.96681845991</v>
      </c>
      <c r="AE16" s="34">
        <f>IF(AD16=0,"",(AA16-AD16)/ABS(AD16))</f>
        <v>-7.4212865849567142E-2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3746.2715343699319</v>
      </c>
      <c r="D17" s="33"/>
      <c r="E17" s="35">
        <f>+'COL. CONS.$'!E17/Paramet!$G$3*1000</f>
        <v>5611.1022258723751</v>
      </c>
      <c r="F17" s="33">
        <f t="shared" si="1"/>
        <v>2.6863438500458244E-2</v>
      </c>
      <c r="G17" s="33">
        <f t="shared" si="2"/>
        <v>1.4977831089908116</v>
      </c>
      <c r="H17" s="35">
        <f>+'COL. CONS.$'!H17/Paramet!$G$4*1000</f>
        <v>358.11098831701923</v>
      </c>
      <c r="I17" s="33">
        <f t="shared" si="3"/>
        <v>1.681212135216032E-3</v>
      </c>
      <c r="J17" s="34">
        <f t="shared" si="4"/>
        <v>14.668612270855883</v>
      </c>
      <c r="K17" s="35">
        <f>+'COL. CONS.$'!K17/Paramet!$G$5*1000</f>
        <v>34721.059734839466</v>
      </c>
      <c r="L17" s="33">
        <f t="shared" si="5"/>
        <v>1.7368677128894911E-2</v>
      </c>
      <c r="M17" s="35">
        <f>+'COL. CONS.$'!M17/Paramet!$G$3*1000</f>
        <v>35870.312496247781</v>
      </c>
      <c r="N17" s="33">
        <f t="shared" si="6"/>
        <v>1.776619203334304E-2</v>
      </c>
      <c r="O17" s="33">
        <f t="shared" si="7"/>
        <v>1.0330995876907278</v>
      </c>
      <c r="P17" s="35">
        <f>+'COL. CONS.$'!P17/Paramet!$G$4*1000</f>
        <v>33854.314759630564</v>
      </c>
      <c r="Q17" s="33">
        <f t="shared" si="8"/>
        <v>2.0458240437194727E-2</v>
      </c>
      <c r="R17" s="34">
        <f t="shared" si="9"/>
        <v>5.9549211110342282E-2</v>
      </c>
      <c r="V17" s="19" t="s">
        <v>37</v>
      </c>
      <c r="W17" s="35">
        <f>'COLOMB$ '!U17/Paramet!$G$5*1000</f>
        <v>198059.72349812303</v>
      </c>
      <c r="X17" s="35">
        <f>'COLOMB$ '!V17/Paramet!$G$3*1000</f>
        <v>185265.79396091934</v>
      </c>
      <c r="Y17" s="35">
        <f>'COLOMB$ '!W17/Paramet!$G$4*1000</f>
        <v>200120.4916151918</v>
      </c>
      <c r="Z17" s="35">
        <f>'COLOMB$ '!X17/Paramet!$G$5*1000</f>
        <v>1887596.2029192613</v>
      </c>
      <c r="AA17" s="35">
        <f>'COLOMB$ '!Y17/Paramet!$G$3*1000</f>
        <v>1917039.1514068695</v>
      </c>
      <c r="AB17" s="36">
        <f>+AA17-Z17</f>
        <v>29442.948487608228</v>
      </c>
      <c r="AC17" s="37">
        <f>IF(Z17=0,"",(AA17-Z17)/ABS(Z17)+1)</f>
        <v>1.0155981180943643</v>
      </c>
      <c r="AD17" s="35">
        <f>'COLOMB$ '!AB17/Paramet!$G$4*1000</f>
        <v>1758674.8515378316</v>
      </c>
      <c r="AE17" s="34">
        <f>IF(AD17=0,"",(AA17-AD17)/ABS(AD17))</f>
        <v>9.0047514883470375E-2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41511.120184183368</v>
      </c>
      <c r="D18" s="33"/>
      <c r="E18" s="35">
        <f>+'COL. CONS.$'!E18/Paramet!$G$3*1000</f>
        <v>49736.978682631277</v>
      </c>
      <c r="F18" s="33">
        <f t="shared" si="1"/>
        <v>0.23811832582175771</v>
      </c>
      <c r="G18" s="33">
        <f t="shared" si="2"/>
        <v>1.1981603594880135</v>
      </c>
      <c r="H18" s="35">
        <f>+'COL. CONS.$'!H18/Paramet!$G$4*1000</f>
        <v>34104.899155352068</v>
      </c>
      <c r="I18" s="33">
        <f t="shared" si="3"/>
        <v>0.1601111727952301</v>
      </c>
      <c r="J18" s="41">
        <f t="shared" si="4"/>
        <v>0.45835290279185809</v>
      </c>
      <c r="K18" s="35">
        <f>+'COL. CONS.$'!K18/Paramet!$G$5*1000</f>
        <v>351754.1651072324</v>
      </c>
      <c r="L18" s="33">
        <f t="shared" si="5"/>
        <v>0.17595962131193746</v>
      </c>
      <c r="M18" s="35">
        <f>+'COL. CONS.$'!M18/Paramet!$G$3*1000</f>
        <v>384198.96955244814</v>
      </c>
      <c r="N18" s="33">
        <f t="shared" si="6"/>
        <v>0.19028974650821118</v>
      </c>
      <c r="O18" s="33">
        <f t="shared" si="7"/>
        <v>1.092237157832445</v>
      </c>
      <c r="P18" s="35">
        <f>+'COL. CONS.$'!P18/Paramet!$G$4*1000</f>
        <v>305749.41511090938</v>
      </c>
      <c r="Q18" s="33">
        <f t="shared" si="8"/>
        <v>0.18476507624751881</v>
      </c>
      <c r="R18" s="41">
        <f t="shared" si="9"/>
        <v>0.2565812085464873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14034.174445453111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0.98286866726676636</v>
      </c>
      <c r="U19" s="36" t="s">
        <v>98</v>
      </c>
      <c r="V19" s="19" t="s">
        <v>38</v>
      </c>
      <c r="W19" s="35">
        <f>+W11-W17</f>
        <v>88222.471731709229</v>
      </c>
      <c r="X19" s="35">
        <f>+X11-X17</f>
        <v>79959.538769658568</v>
      </c>
      <c r="Y19" s="35">
        <f>+Y11-Y17</f>
        <v>84275.935570926755</v>
      </c>
      <c r="Z19" s="35">
        <f>+Z11-Z17</f>
        <v>553242.60261077643</v>
      </c>
      <c r="AA19" s="35">
        <f>+AA11-AA17</f>
        <v>497318.58901688433</v>
      </c>
      <c r="AB19" s="36">
        <f>+AA19-Z19</f>
        <v>-55924.013593892101</v>
      </c>
      <c r="AC19" s="37">
        <f>IF(Z19=0,"",(AA19-Z19)/ABS(Z19)+1)</f>
        <v>0.89891593067854103</v>
      </c>
      <c r="AD19" s="35">
        <f>+AD11-AD17</f>
        <v>738394.85758160381</v>
      </c>
      <c r="AE19" s="34">
        <f>IF(AD19=0,"",(AA19-AD19)/ABS(AD19))</f>
        <v>-0.32648692781297828</v>
      </c>
      <c r="AF19" s="83"/>
    </row>
    <row r="20" spans="2:33" x14ac:dyDescent="0.2">
      <c r="B20" s="42" t="s">
        <v>39</v>
      </c>
      <c r="C20" s="43">
        <f>SUM(C10:C19)</f>
        <v>221120.29759677005</v>
      </c>
      <c r="D20" s="44">
        <f>+C20/$C$20</f>
        <v>1</v>
      </c>
      <c r="E20" s="43">
        <f>SUM(E10:E19)</f>
        <v>208875.05617632155</v>
      </c>
      <c r="F20" s="44">
        <f>+E20/$E$20</f>
        <v>1</v>
      </c>
      <c r="G20" s="44">
        <f>IF(C20=0,"",(E20-C20)/ABS(C20)+1)</f>
        <v>0.94462181195695272</v>
      </c>
      <c r="H20" s="43">
        <f>+'COL. CONS.$'!H20/Paramet!$G$4*1000</f>
        <v>213007.61564572147</v>
      </c>
      <c r="I20" s="44">
        <f>+H20/$H$20</f>
        <v>1</v>
      </c>
      <c r="J20" s="45">
        <f>IF(H20=0,"",(E20-H20)/ABS(H20))</f>
        <v>-1.9400993982643659E-2</v>
      </c>
      <c r="K20" s="43">
        <f>SUM(K10:K19)</f>
        <v>1999061.844328763</v>
      </c>
      <c r="L20" s="44">
        <f>+K20/$K$20</f>
        <v>1</v>
      </c>
      <c r="M20" s="43">
        <f>SUM(M10:M19)</f>
        <v>2019020.8700281684</v>
      </c>
      <c r="N20" s="44">
        <f>+M20/$M$20</f>
        <v>1</v>
      </c>
      <c r="O20" s="44">
        <f>IF(K20=0,"",(M20-K20)/ABS(K20)+1)</f>
        <v>1.0099841962148537</v>
      </c>
      <c r="P20" s="43">
        <f>SUM(P10:P17)</f>
        <v>1654800.9035068674</v>
      </c>
      <c r="Q20" s="44">
        <f>+P20/$P$20</f>
        <v>1</v>
      </c>
      <c r="R20" s="45">
        <f>IF(P20=0,"",(M20-P20)/ABS(P20))</f>
        <v>0.22009896522865272</v>
      </c>
      <c r="T20" s="37">
        <f>+E28/C28</f>
        <v>0.94905316061634737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1.1250951750750287</v>
      </c>
      <c r="U21" s="36"/>
      <c r="V21" s="19" t="s">
        <v>40</v>
      </c>
      <c r="W21" s="35">
        <f>+'COL. CONS.$'!U21/Paramet!G5*1000</f>
        <v>88658.886507207426</v>
      </c>
      <c r="X21" s="35">
        <f>+X10+X19</f>
        <v>94774.353584473385</v>
      </c>
      <c r="Y21" s="35">
        <f>'COLOMB$ '!W21/Paramet!$G$4*1000</f>
        <v>113840.58666028577</v>
      </c>
      <c r="Z21" s="35">
        <f>'COLOMB$ '!X21/Paramet!$G$5*1000</f>
        <v>563620.15583001613</v>
      </c>
      <c r="AA21" s="35">
        <f>+'COL. CONS.$'!Y21/Paramet!G3*1000</f>
        <v>508305.30678568088</v>
      </c>
      <c r="AB21" s="36">
        <f>+AA21-Z21</f>
        <v>-55314.849044335249</v>
      </c>
      <c r="AC21" s="37">
        <f>IF(Z21=0,"",(AA21-Z21)/ABS(Z21)+1)</f>
        <v>0.90185792954321209</v>
      </c>
      <c r="AD21" s="35">
        <f>'COLOMB$ '!AB21/Paramet!$G$4*1000</f>
        <v>746315.40541867318</v>
      </c>
      <c r="AE21" s="34">
        <f>IF(AD21=0,"",(AA21-AD21)/ABS(AD21))</f>
        <v>-0.31891355438317898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23699.772039059579</v>
      </c>
      <c r="D22" s="33">
        <f>+C22/$C$20</f>
        <v>0.10718044565170559</v>
      </c>
      <c r="E22" s="35">
        <f>+'COL. CONS.$'!E22/Paramet!$G$3*1000</f>
        <v>25086.19197158645</v>
      </c>
      <c r="F22" s="33">
        <f>+E22/$E$20</f>
        <v>0.12010142537273565</v>
      </c>
      <c r="G22" s="33">
        <f>IF(C22=0,"",(E22-C22)/ABS(C22)+1)</f>
        <v>1.0584992940118543</v>
      </c>
      <c r="H22" s="35">
        <f>+'COL. CONS.$'!H22/Paramet!$G$4*1000</f>
        <v>17408.096103370695</v>
      </c>
      <c r="I22" s="33">
        <f>+H22/$H$20</f>
        <v>8.1725228699447955E-2</v>
      </c>
      <c r="J22" s="34">
        <f>IF(H22=0,"",(E22-H22)/ABS(H22))</f>
        <v>0.44106465305697962</v>
      </c>
      <c r="K22" s="35">
        <f>+'COL. CONS.$'!K22/Paramet!$G$5*1000</f>
        <v>210317.21728873919</v>
      </c>
      <c r="L22" s="33">
        <f>+K22/$K$20</f>
        <v>0.10520795936623896</v>
      </c>
      <c r="M22" s="35">
        <f>+'COL. CONS.$'!M22/Paramet!$G$3*1000</f>
        <v>254350.27017609583</v>
      </c>
      <c r="N22" s="33">
        <f>+M22/$M$20</f>
        <v>0.12597703864871257</v>
      </c>
      <c r="O22" s="33">
        <f>IF(K22=0,"",(M22-K22)/ABS(K22)+1)</f>
        <v>1.2093649462226612</v>
      </c>
      <c r="P22" s="35">
        <f>+'COL. CONS.$'!P22/Paramet!$G$4*1000</f>
        <v>168448.48696025417</v>
      </c>
      <c r="Q22" s="33">
        <f>+P22/$P$20</f>
        <v>0.10179380891276817</v>
      </c>
      <c r="R22" s="34">
        <f>IF(P22=0,"",(M22-P22)/ABS(P22))</f>
        <v>0.50995876998355227</v>
      </c>
      <c r="T22" s="37">
        <f>+E32/C32</f>
        <v>1.0993337855289427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1.1052973582498851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18828.360961622973</v>
      </c>
      <c r="Y23" s="35">
        <f>'COLOMB$ '!W23/Paramet!$G$4*1000</f>
        <v>25100.365253493052</v>
      </c>
      <c r="Z23" s="35">
        <f>'COLOMB$ '!X23/Paramet!$G$5*1000</f>
        <v>26138.61386138614</v>
      </c>
      <c r="AA23" s="35">
        <f>'COLOMB$ '!Y23/Paramet!$G$3*1000</f>
        <v>71180.255114415442</v>
      </c>
      <c r="AB23" s="36">
        <f>+AA23-Z23</f>
        <v>45041.641253029302</v>
      </c>
      <c r="AC23" s="37">
        <f>IF(Z23=0,"",(AA23-Z23)/ABS(Z23)+1)</f>
        <v>2.7231840024833178</v>
      </c>
      <c r="AD23" s="35">
        <f>'COLOMB$ '!AB23/Paramet!$G$4*1000</f>
        <v>48329.644137788127</v>
      </c>
      <c r="AE23" s="34">
        <f>IF(AD23=0,"",(AA23-AD23)/ABS(AD23))</f>
        <v>0.47280735011166386</v>
      </c>
      <c r="AF23" s="83"/>
    </row>
    <row r="24" spans="2:33" x14ac:dyDescent="0.2">
      <c r="B24" s="19" t="s">
        <v>43</v>
      </c>
      <c r="C24" s="35">
        <f>C20-C22</f>
        <v>197420.52555771047</v>
      </c>
      <c r="D24" s="33">
        <f>+C24/$C$20</f>
        <v>0.89281955434829441</v>
      </c>
      <c r="E24" s="35">
        <f>E20-E22</f>
        <v>183788.86420473509</v>
      </c>
      <c r="F24" s="33">
        <f>+E24/$E$20</f>
        <v>0.87989857462726428</v>
      </c>
      <c r="G24" s="33">
        <f>IF(C24=0,"",(E24-C24)/ABS(C24)+1)</f>
        <v>0.93095114444424609</v>
      </c>
      <c r="H24" s="35">
        <f>+'COL. CONS.$'!H24/Paramet!$G$4*1000</f>
        <v>195599.51954235078</v>
      </c>
      <c r="I24" s="33">
        <f>+H24/$H$20</f>
        <v>0.91827477130055213</v>
      </c>
      <c r="J24" s="34">
        <f>IF(H24=0,"",(E24-H24)/ABS(H24))</f>
        <v>-6.0381821822719138E-2</v>
      </c>
      <c r="K24" s="35">
        <f>K20-K22</f>
        <v>1788744.6270400237</v>
      </c>
      <c r="L24" s="33">
        <f>+K24/$K$20</f>
        <v>0.89479204063376105</v>
      </c>
      <c r="M24" s="35">
        <f>M20-M22</f>
        <v>1764670.5998520725</v>
      </c>
      <c r="N24" s="33">
        <f>+M24/$M$20</f>
        <v>0.87402296135128743</v>
      </c>
      <c r="O24" s="33">
        <f>IF(K24=0,"",(M24-K24)/ABS(K24)+1)</f>
        <v>0.98654138392701241</v>
      </c>
      <c r="P24" s="35">
        <f>P20-P22</f>
        <v>1486352.4165466132</v>
      </c>
      <c r="Q24" s="33">
        <f>+P24/$P$20</f>
        <v>0.89820619108723188</v>
      </c>
      <c r="R24" s="34">
        <f>IF(P24=0,"",(M24-P24)/ABS(P24))</f>
        <v>0.18724912087276244</v>
      </c>
      <c r="T24" s="37">
        <f>+E34/C34</f>
        <v>0.99536596221225815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-0.21371665684209729</v>
      </c>
      <c r="U25" s="89" t="s">
        <v>100</v>
      </c>
      <c r="V25" s="19" t="s">
        <v>44</v>
      </c>
      <c r="W25" s="35">
        <f>'COLOMB$ '!U25/Paramet!$G$5*1000</f>
        <v>76311.115647647239</v>
      </c>
      <c r="X25" s="35">
        <f>'COLOMB$ '!V25/Paramet!$G$3*1000</f>
        <v>70290.399612411493</v>
      </c>
      <c r="Y25" s="35">
        <f>'COLOMB$ '!W25/Paramet!$G$4*1000</f>
        <v>80497.126778595659</v>
      </c>
      <c r="Z25" s="35">
        <f>'COLOMB$ '!X25/Paramet!$G$5*1000</f>
        <v>424893.78834790702</v>
      </c>
      <c r="AA25" s="35">
        <f>'COLOMB$ '!Y25/Paramet!$G$3*1000</f>
        <v>426330.3447232488</v>
      </c>
      <c r="AB25" s="36">
        <f>+AA25-Z25</f>
        <v>1436.5563753417809</v>
      </c>
      <c r="AC25" s="37">
        <f>IF(Z25=0,"",(AA25-Z25)/ABS(Z25)+1)</f>
        <v>1.0033809775871929</v>
      </c>
      <c r="AD25" s="35">
        <f>'COLOMB$ '!AB25/Paramet!$G$4*1000</f>
        <v>439103.93076057779</v>
      </c>
      <c r="AE25" s="34">
        <f>IF(AD25=0,"",(AA25-AD25)/ABS(AD25))</f>
        <v>-2.9090119997795719E-2</v>
      </c>
    </row>
    <row r="26" spans="2:33" x14ac:dyDescent="0.2">
      <c r="B26" s="19" t="s">
        <v>45</v>
      </c>
      <c r="C26" s="35">
        <f>+'COL. CONS.$'!C26/Paramet!$G$5*1000</f>
        <v>51913.851178932331</v>
      </c>
      <c r="D26" s="33">
        <f>+C26/$C$20</f>
        <v>0.23477650737247674</v>
      </c>
      <c r="E26" s="35">
        <f>+'COL. CONS.$'!E26/Paramet!$G$3*1000</f>
        <v>46577.677866870305</v>
      </c>
      <c r="F26" s="33">
        <f>+E26/$E$20</f>
        <v>0.2229930118010445</v>
      </c>
      <c r="G26" s="33">
        <f>IF(C26=0,"",(E26-C26)/ABS(C26)+1)</f>
        <v>0.89721099107693336</v>
      </c>
      <c r="H26" s="35">
        <f>+'COL. CONS.$'!H26/Paramet!$G$4*1000</f>
        <v>51805.0137427968</v>
      </c>
      <c r="I26" s="33">
        <f>+H26/$H$20</f>
        <v>0.24320733127664287</v>
      </c>
      <c r="J26" s="34">
        <f>IF(H26=0,"",(E26-H26)/ABS(H26))</f>
        <v>-0.1009040534547359</v>
      </c>
      <c r="K26" s="35">
        <f>+'COL. CONS.$'!K26/Paramet!$G$5*1000</f>
        <v>460891.88300273335</v>
      </c>
      <c r="L26" s="33">
        <f>+K26/$K$20</f>
        <v>0.23055408931457536</v>
      </c>
      <c r="M26" s="35">
        <f>+'COL. CONS.$'!M26/Paramet!$G$3*1000</f>
        <v>455611.21871615498</v>
      </c>
      <c r="N26" s="33">
        <f>+M26/$M$20</f>
        <v>0.22565948944836736</v>
      </c>
      <c r="O26" s="33">
        <f>IF(K26=0,"",(M26-K26)/ABS(K26)+1)</f>
        <v>0.9885425096832372</v>
      </c>
      <c r="P26" s="35">
        <f>+'COL. CONS.$'!P26/Paramet!$G$4*1000</f>
        <v>445281.60005525727</v>
      </c>
      <c r="Q26" s="33">
        <f>+P26/$P$20</f>
        <v>0.26908469720533323</v>
      </c>
      <c r="R26" s="34">
        <f>IF(P26=0,"",(M26-P26)/ABS(P26))</f>
        <v>2.3197946332423933E-2</v>
      </c>
      <c r="T26" s="37">
        <f>+E38/C38</f>
        <v>0.38787955778914157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79588.536173204964</v>
      </c>
      <c r="D27" s="33">
        <f>+C27/$C$20</f>
        <v>0.35993319943129243</v>
      </c>
      <c r="E27" s="35">
        <f>+'COL. CONS.$'!E27/Paramet!$G$3*1000</f>
        <v>78225.078478270792</v>
      </c>
      <c r="F27" s="33">
        <f>+E27/$E$20</f>
        <v>0.37450655865886262</v>
      </c>
      <c r="G27" s="33">
        <f>IF(C27=0,"",(E27-C27)/ABS(C27)+1)</f>
        <v>0.98286866726676636</v>
      </c>
      <c r="H27" s="35">
        <f>+'COL. CONS.$'!H27/Paramet!$G$4*1000</f>
        <v>76456.915646214868</v>
      </c>
      <c r="I27" s="33">
        <f>+H27/$H$20</f>
        <v>0.35893982200795838</v>
      </c>
      <c r="J27" s="34">
        <f>IF(H27=0,"",(E27-H27)/ABS(H27))</f>
        <v>2.3126264211829485E-2</v>
      </c>
      <c r="K27" s="35">
        <f>+'COL. CONS.$'!K27/Paramet!$G$5*1000</f>
        <v>694757.3520238623</v>
      </c>
      <c r="L27" s="33">
        <f>+K27/$K$20</f>
        <v>0.3475417001204108</v>
      </c>
      <c r="M27" s="35">
        <f>+'COL. CONS.$'!M27/Paramet!$G$3*1000</f>
        <v>739369.28664500592</v>
      </c>
      <c r="N27" s="33">
        <f>+M27/$M$20</f>
        <v>0.3662019039133016</v>
      </c>
      <c r="O27" s="33">
        <f>IF(K27=0,"",(M27-K27)/ABS(K27)+1)</f>
        <v>1.0642122526536595</v>
      </c>
      <c r="P27" s="35">
        <f>+'COL. CONS.$'!P27/Paramet!$G$4*1000</f>
        <v>672985.19253729866</v>
      </c>
      <c r="Q27" s="33">
        <f>+P27/$P$20</f>
        <v>0.40668650295700409</v>
      </c>
      <c r="R27" s="34">
        <f>IF(P27=0,"",(M27-P27)/ABS(P27))</f>
        <v>9.8641240318267598E-2</v>
      </c>
      <c r="T27" s="37">
        <f>+E39/C39</f>
        <v>1.0254409793481569</v>
      </c>
      <c r="U27" s="36"/>
      <c r="V27" s="19" t="s">
        <v>47</v>
      </c>
      <c r="W27" s="35">
        <f>'COLOMB$ '!U27/Paramet!$G$5*1000</f>
        <v>-6518.3219352863125</v>
      </c>
      <c r="X27" s="35">
        <f>'COLOMB$ '!V27/Paramet!$G$3*1000</f>
        <v>-48537.581063394973</v>
      </c>
      <c r="Y27" s="35">
        <f>'COLOMB$ '!W27/Paramet!$G$4*1000</f>
        <v>-14865.704925797283</v>
      </c>
      <c r="Z27" s="35">
        <f>'COLOMB$ '!X27/Paramet!$G$5*1000</f>
        <v>1573.2707291347692</v>
      </c>
      <c r="AA27" s="35">
        <f>'COLOMB$ '!Y27/Paramet!$G$3*1000</f>
        <v>-138471.40273905496</v>
      </c>
      <c r="AB27" s="36">
        <f>+AA27-Z27</f>
        <v>-140044.67346818972</v>
      </c>
      <c r="AC27" s="37">
        <f>IF(Z27=0,"",(AA27-Z27)/ABS(Z27)+1)</f>
        <v>-88.0149869788833</v>
      </c>
      <c r="AD27" s="35">
        <f>'COLOMB$ '!AB27/Paramet!$G$4*1000</f>
        <v>144028.2601831386</v>
      </c>
      <c r="AE27" s="34">
        <f>IF(AD27=0,"",(AA27-AD27)/ABS(AD27))</f>
        <v>-1.9614182839047152</v>
      </c>
    </row>
    <row r="28" spans="2:33" x14ac:dyDescent="0.2">
      <c r="B28" s="19" t="s">
        <v>48</v>
      </c>
      <c r="C28" s="35">
        <f>SUM(C26:C27)</f>
        <v>131502.3873521373</v>
      </c>
      <c r="D28" s="33">
        <f>+C28/$C$20</f>
        <v>0.59470970680376922</v>
      </c>
      <c r="E28" s="35">
        <f>SUM(E26:E27)</f>
        <v>124802.7563451411</v>
      </c>
      <c r="F28" s="33">
        <f>+E28/$E$20</f>
        <v>0.59749957045990709</v>
      </c>
      <c r="G28" s="33">
        <f>IF(C28=0,"",(E28-C28)/ABS(C28)+1)</f>
        <v>0.94905316061634737</v>
      </c>
      <c r="H28" s="35">
        <f>+'COL. CONS.$'!H28/Paramet!$G$4*1000</f>
        <v>128261.92938901167</v>
      </c>
      <c r="I28" s="33">
        <f>+H28/$H$20</f>
        <v>0.60214715328460122</v>
      </c>
      <c r="J28" s="34">
        <f>IF(H28=0,"",(E28-H28)/ABS(H28))</f>
        <v>-2.6969600881170917E-2</v>
      </c>
      <c r="K28" s="35">
        <f>SUM(K26:K27)</f>
        <v>1155649.2350265956</v>
      </c>
      <c r="L28" s="33">
        <f>+K28/$K$20</f>
        <v>0.57809578943498618</v>
      </c>
      <c r="M28" s="35">
        <f>SUM(M26:M27)</f>
        <v>1194980.505361161</v>
      </c>
      <c r="N28" s="33">
        <f>+M28/$M$20</f>
        <v>0.59186139336166899</v>
      </c>
      <c r="O28" s="33">
        <f>IF(K28=0,"",(M28-K28)/ABS(K28)+1)</f>
        <v>1.0340339171631607</v>
      </c>
      <c r="P28" s="35">
        <f>SUM(P26:P27)</f>
        <v>1118266.792592556</v>
      </c>
      <c r="Q28" s="33">
        <f>+P28/$P$20</f>
        <v>0.67577120016233738</v>
      </c>
      <c r="R28" s="34">
        <f>IF(P28=0,"",(M28-P28)/ABS(P28))</f>
        <v>6.8600546199493434E-2</v>
      </c>
      <c r="T28" s="37">
        <f>+E41/C41</f>
        <v>-3.4466512844044583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19565.482528498804</v>
      </c>
      <c r="Y28" s="35">
        <f>'COLOMB$ '!W28/Paramet!$G$4*1000</f>
        <v>16419.398040337855</v>
      </c>
      <c r="Z28" s="35">
        <f>'COLOMB$ '!X28/Paramet!$G$5*1000</f>
        <v>110578.06811608997</v>
      </c>
      <c r="AA28" s="35">
        <f>'COLOMB$ '!Y28/Paramet!$G$3*1000</f>
        <v>114638.50522668166</v>
      </c>
      <c r="AB28" s="36">
        <f>+AA28-Z28</f>
        <v>4060.4371105916944</v>
      </c>
      <c r="AC28" s="37">
        <f>IF(Z28=0,"",(AA28-Z28)/ABS(Z28)+1)</f>
        <v>1.0367200944976618</v>
      </c>
      <c r="AD28" s="35">
        <f>'COLOMB$ '!AB28/Paramet!$G$4*1000</f>
        <v>108164.15355127092</v>
      </c>
      <c r="AE28" s="34">
        <f>IF(AD28=0,"",(AA28-AD28)/ABS(AD28))</f>
        <v>5.9856722054796377E-2</v>
      </c>
    </row>
    <row r="29" spans="2:33" x14ac:dyDescent="0.2">
      <c r="J29" s="34"/>
      <c r="R29" s="34"/>
      <c r="T29" s="24">
        <f>+E42/C42</f>
        <v>0.20023645155357528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12824.787633402517</v>
      </c>
      <c r="D30" s="33">
        <f>+C30/$C$20</f>
        <v>5.7999142425131447E-2</v>
      </c>
      <c r="E30" s="35">
        <f>+'COL. CONS.$'!E30/Paramet!$G$3*1000</f>
        <v>14429.106687703068</v>
      </c>
      <c r="F30" s="33">
        <f>+E30/$E$20</f>
        <v>6.9080085252126805E-2</v>
      </c>
      <c r="G30" s="33">
        <f>IF(C30=0,"",(E30-C30)/ABS(C30)+1)</f>
        <v>1.1250951750750287</v>
      </c>
      <c r="H30" s="35">
        <f>+'COL. CONS.$'!H30/Paramet!$G$4*1000</f>
        <v>14293.43725331544</v>
      </c>
      <c r="I30" s="33">
        <f>+H30/$H$20</f>
        <v>6.7102940005152545E-2</v>
      </c>
      <c r="J30" s="34">
        <f>IF(H30=0,"",(E30-H30)/ABS(H30))</f>
        <v>9.4917291049889801E-3</v>
      </c>
      <c r="K30" s="35">
        <f>+'COL. CONS.$'!K30/Paramet!$G$5*1000</f>
        <v>120749.20894151273</v>
      </c>
      <c r="L30" s="33">
        <f>+K30/$K$20</f>
        <v>6.0402938150248879E-2</v>
      </c>
      <c r="M30" s="35">
        <f>+'COL. CONS.$'!M30/Paramet!$G$3*1000</f>
        <v>121101.02171360234</v>
      </c>
      <c r="N30" s="33">
        <f>+M30/$M$20</f>
        <v>5.9980074258426462E-2</v>
      </c>
      <c r="O30" s="33">
        <f>IF(K30=0,"",(M30-K30)/ABS(K30)+1)</f>
        <v>1.002913582417422</v>
      </c>
      <c r="P30" s="35">
        <f>+'COL. CONS.$'!P30/Paramet!$G$4*1000</f>
        <v>119097.40144211793</v>
      </c>
      <c r="Q30" s="33">
        <f>+P30/$P$20</f>
        <v>7.1970834189010749E-2</v>
      </c>
      <c r="R30" s="34">
        <f>IF(P30=0,"",(M30-P30)/ABS(P30))</f>
        <v>1.6823375214094684E-2</v>
      </c>
      <c r="T30" s="37">
        <f>+E43/C43</f>
        <v>2.7359876631283773</v>
      </c>
      <c r="U30" s="17"/>
      <c r="V30" s="42" t="s">
        <v>51</v>
      </c>
      <c r="W30" s="43">
        <f>+W21-W23-W25-W27-W28</f>
        <v>436.41477549817137</v>
      </c>
      <c r="X30" s="43">
        <f>+X21-X23-X25-X27-X28</f>
        <v>34627.691545335081</v>
      </c>
      <c r="Y30" s="43">
        <f>+Y21-Y23-Y25-Y27-Y28</f>
        <v>6689.4015136564958</v>
      </c>
      <c r="Z30" s="43">
        <f>'COLOMB$ '!X30/Paramet!$G$5*1000</f>
        <v>436.41477549816841</v>
      </c>
      <c r="AA30" s="43">
        <f>+'COL. CONS.$'!Y30/Paramet!G3*1000</f>
        <v>34627.604460389957</v>
      </c>
      <c r="AB30" s="47">
        <f>+AA30-Z30</f>
        <v>34191.18968489179</v>
      </c>
      <c r="AC30" s="48">
        <f>IF(W30=0,"",(X30-W30)/ABS(W30)+1)</f>
        <v>79.345827615041827</v>
      </c>
      <c r="AD30" s="43">
        <f>+AD21-AD23-AD25-AD27-AD28</f>
        <v>6689.4167858977744</v>
      </c>
      <c r="AE30" s="34">
        <f>IF(AD30=0,"",(AA30-AD30)/ABS(AD30))</f>
        <v>4.1764758526318451</v>
      </c>
    </row>
    <row r="31" spans="2:33" x14ac:dyDescent="0.2">
      <c r="J31" s="34"/>
      <c r="R31" s="34"/>
      <c r="T31" s="37">
        <f>+E45/C45</f>
        <v>0.63541381025077481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42575.618386580929</v>
      </c>
      <c r="D32" s="33">
        <f>+C32/$C$20</f>
        <v>0.19254504832577993</v>
      </c>
      <c r="E32" s="35">
        <f>+'COL. CONS.$'!E31/Paramet!$G$3*1000</f>
        <v>46804.815732155672</v>
      </c>
      <c r="F32" s="33">
        <f>+E32/$E$20</f>
        <v>0.22408044593244997</v>
      </c>
      <c r="G32" s="33">
        <f>IF(C32=0,"",(E32-C32)/ABS(C32)+1)</f>
        <v>1.0993337855289429</v>
      </c>
      <c r="H32" s="35">
        <f>+'COL. CONS.$'!H31/Paramet!$G$4*1000</f>
        <v>49324.764983620145</v>
      </c>
      <c r="I32" s="33">
        <f>+H32/$H$20</f>
        <v>0.23156338722488723</v>
      </c>
      <c r="J32" s="34">
        <f>IF(H32=0,"",(E32-H32)/ABS(H32))</f>
        <v>-5.108892566039195E-2</v>
      </c>
      <c r="K32" s="35">
        <f>+'COL. CONS.$'!K31/Paramet!$G$5*1000</f>
        <v>402204.75655813009</v>
      </c>
      <c r="L32" s="33">
        <f>+K32/$K$20</f>
        <v>0.20119675521753597</v>
      </c>
      <c r="M32" s="35">
        <f>+'COL. CONS.$'!M31/Paramet!$G$3*1000</f>
        <v>414041.29047526419</v>
      </c>
      <c r="N32" s="33">
        <f>+M32/$M$20</f>
        <v>0.20507033712310646</v>
      </c>
      <c r="O32" s="33">
        <f>IF(K32=0,"",(M32-K32)/ABS(K32)+1)</f>
        <v>1.0294291246538836</v>
      </c>
      <c r="P32" s="35">
        <f>+'COL. CONS.$'!P31/Paramet!$G$4*1000</f>
        <v>407267.83791837696</v>
      </c>
      <c r="Q32" s="33">
        <f>+P32/$P$20</f>
        <v>0.24611289313130763</v>
      </c>
      <c r="R32" s="34">
        <f>IF(P32=0,"",(M32-P32)/ABS(P32))</f>
        <v>1.6631444779699849E-2</v>
      </c>
      <c r="T32" s="37">
        <f>+E46/C46</f>
        <v>0.98219155517020418</v>
      </c>
      <c r="U32" s="17"/>
    </row>
    <row r="33" spans="2:27" x14ac:dyDescent="0.2">
      <c r="B33" s="19" t="s">
        <v>53</v>
      </c>
      <c r="C33" s="35">
        <f>SUM(C30:C32)</f>
        <v>55400.406019983449</v>
      </c>
      <c r="D33" s="33">
        <f>+C33/$C$20</f>
        <v>0.25054419075091139</v>
      </c>
      <c r="E33" s="35">
        <f>SUM(E30:E32)</f>
        <v>61233.92241985874</v>
      </c>
      <c r="F33" s="33">
        <f>+E33/$E$20</f>
        <v>0.2931605311845768</v>
      </c>
      <c r="G33" s="33">
        <f>IF(C33=0,"",(E33-C33)/ABS(C33)+1)</f>
        <v>1.1052973582498851</v>
      </c>
      <c r="H33" s="35">
        <f>SUM(H30:H32)</f>
        <v>63618.202236935584</v>
      </c>
      <c r="I33" s="33">
        <f>+H33/$H$20</f>
        <v>0.29866632723003977</v>
      </c>
      <c r="J33" s="34">
        <f>IF(H33=0,"",(E33-H33)/ABS(H33))</f>
        <v>-3.7477950228725167E-2</v>
      </c>
      <c r="K33" s="35">
        <f>SUM(K30:K32)</f>
        <v>522953.96549964283</v>
      </c>
      <c r="L33" s="33">
        <f>+K33/$K$20</f>
        <v>0.26159969336778482</v>
      </c>
      <c r="M33" s="35">
        <f>SUM(M30:M32)</f>
        <v>535142.31218886655</v>
      </c>
      <c r="N33" s="33">
        <f>+M33/$M$20</f>
        <v>0.2650504113815329</v>
      </c>
      <c r="O33" s="33">
        <f>IF(K33=0,"",(M33-K33)/ABS(K33)+1)</f>
        <v>1.0233067296422136</v>
      </c>
      <c r="P33" s="35">
        <f>SUM(P30:P32)</f>
        <v>526365.23936049489</v>
      </c>
      <c r="Q33" s="33">
        <f>+P33/$P$20</f>
        <v>0.31808372732031837</v>
      </c>
      <c r="R33" s="34">
        <f>IF(P33=0,"",(M33-P33)/ABS(P33))</f>
        <v>1.667487168992262E-2</v>
      </c>
    </row>
    <row r="34" spans="2:27" x14ac:dyDescent="0.2">
      <c r="B34" s="19" t="s">
        <v>54</v>
      </c>
      <c r="C34" s="35">
        <f>+C28+C33</f>
        <v>186902.79337212077</v>
      </c>
      <c r="D34" s="33">
        <f>+C34/$C$20</f>
        <v>0.84525389755468061</v>
      </c>
      <c r="E34" s="35">
        <f>+E28+E33</f>
        <v>186036.67876499984</v>
      </c>
      <c r="F34" s="33">
        <f>+E34/$E$20</f>
        <v>0.89066010164448395</v>
      </c>
      <c r="G34" s="33">
        <f>IF(C34=0,"",(E34-C34)/ABS(C34)+1)</f>
        <v>0.99536596221225815</v>
      </c>
      <c r="H34" s="35">
        <f>+H28+H33</f>
        <v>191880.13162594725</v>
      </c>
      <c r="I34" s="33">
        <f>+H34/$H$20</f>
        <v>0.90081348051464094</v>
      </c>
      <c r="J34" s="34">
        <f>IF(H34=0,"",(E34-H34)/ABS(H34))</f>
        <v>-3.0453662979232701E-2</v>
      </c>
      <c r="K34" s="35">
        <f>+K28+K33</f>
        <v>1678603.2005262384</v>
      </c>
      <c r="L34" s="33">
        <f>+K34/$K$20</f>
        <v>0.83969548280277095</v>
      </c>
      <c r="M34" s="35">
        <f>+M28+M33</f>
        <v>1730122.8175500275</v>
      </c>
      <c r="N34" s="33">
        <f>+M34/$M$20</f>
        <v>0.85691180474320194</v>
      </c>
      <c r="O34" s="33">
        <f>IF(K34=0,"",(M34-K34)/ABS(K34)+1)</f>
        <v>1.0306919568648729</v>
      </c>
      <c r="P34" s="35">
        <f>+P28+P33</f>
        <v>1644632.0319530508</v>
      </c>
      <c r="Q34" s="33">
        <f>+P34/$P$20</f>
        <v>0.99385492748265569</v>
      </c>
      <c r="R34" s="34">
        <f>IF(P34=0,"",(M34-P34)/ABS(P34))</f>
        <v>5.1981710155221676E-2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10517.732185589703</v>
      </c>
      <c r="D36" s="33">
        <f>+C36/$C$20</f>
        <v>4.7565656793613763E-2</v>
      </c>
      <c r="E36" s="35">
        <f>E24-E34</f>
        <v>-2247.8145602647564</v>
      </c>
      <c r="F36" s="33">
        <f>+E36/$E$20</f>
        <v>-1.0761527017219649E-2</v>
      </c>
      <c r="G36" s="33">
        <f>IF(C36=0,"",(E36-C36)/ABS(C36)+1)</f>
        <v>-0.2137166568420974</v>
      </c>
      <c r="H36" s="35">
        <f>H24-H34</f>
        <v>3719.3879164035316</v>
      </c>
      <c r="I36" s="33">
        <f>+H36/$H$20</f>
        <v>1.7461290785911111E-2</v>
      </c>
      <c r="J36" s="34">
        <f>IF(H36=0,"",(E36-H36)/ABS(H36))</f>
        <v>-1.6043506648906589</v>
      </c>
      <c r="K36" s="35">
        <f>K24-K34</f>
        <v>110141.42651378526</v>
      </c>
      <c r="L36" s="33">
        <f>+K36/$K$20</f>
        <v>5.5096557830990024E-2</v>
      </c>
      <c r="M36" s="35">
        <f>M24-M34</f>
        <v>34547.782302045031</v>
      </c>
      <c r="N36" s="33">
        <f>+M36/$M$20</f>
        <v>1.7111156608085501E-2</v>
      </c>
      <c r="O36" s="33">
        <f>IF(K36=0,"",(M36-K36)/ABS(K36)+1)</f>
        <v>0.31366746732412298</v>
      </c>
      <c r="P36" s="35">
        <f>P24-P34</f>
        <v>-158279.61540643754</v>
      </c>
      <c r="Q36" s="33">
        <f>+P36/$P$20</f>
        <v>-9.5648736395423831E-2</v>
      </c>
      <c r="R36" s="34">
        <f>IF(P36=0,"",(M36-P36)/ABS(P36))</f>
        <v>1.2182705727034506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3.2928413014621851E-4</v>
      </c>
      <c r="E38" s="35">
        <f>+'COL. CONS.$'!E38/Paramet!$G$3*1000</f>
        <v>28.242055515932194</v>
      </c>
      <c r="F38" s="33">
        <f>+E38/$E$20</f>
        <v>1.3521028328098548E-4</v>
      </c>
      <c r="G38" s="33">
        <f>IF(C38=0,"",(E38-C38)/ABS(C38)+1)</f>
        <v>0.38787955778914152</v>
      </c>
      <c r="H38" s="35">
        <f>+'COL. CONS.$'!H38/Paramet!$G$4*1000</f>
        <v>152.49928708162298</v>
      </c>
      <c r="I38" s="33">
        <f>+H38/$H$20</f>
        <v>7.1593349664672481E-4</v>
      </c>
      <c r="J38" s="34">
        <f>IF(H38=0,"",(E38-H38)/ABS(H38))</f>
        <v>-0.81480532757627877</v>
      </c>
      <c r="K38" s="35">
        <f>+'COL. CONS.$'!K38/Paramet!$G$5*1000</f>
        <v>655.30264366642859</v>
      </c>
      <c r="L38" s="33">
        <f>+K38/$K$20</f>
        <v>3.2780508793436728E-4</v>
      </c>
      <c r="M38" s="35">
        <f>+'COL. CONS.$'!M38/Paramet!$G$3*1000</f>
        <v>3749.4596934352494</v>
      </c>
      <c r="N38" s="33">
        <f>+M38/$M$20</f>
        <v>1.8570683191516187E-3</v>
      </c>
      <c r="O38" s="33">
        <f>IF(K38=0,"",(M38-K38)/ABS(K38)+1)</f>
        <v>5.7217222144213604</v>
      </c>
      <c r="P38" s="35">
        <f>+'COL. CONS.$'!P38/Paramet!$G$4*1000</f>
        <v>1734.3481533193872</v>
      </c>
      <c r="Q38" s="33">
        <f>+P38/$P$20</f>
        <v>1.0480705864034413E-3</v>
      </c>
      <c r="R38" s="34">
        <f>IF(P38=0,"",(M38-P38)/ABS(P38))</f>
        <v>1.1618840982181802</v>
      </c>
    </row>
    <row r="39" spans="2:27" x14ac:dyDescent="0.2">
      <c r="B39" s="19" t="s">
        <v>57</v>
      </c>
      <c r="C39" s="35">
        <f>+'COL. CONS.$'!C39/Paramet!$G$5*1000</f>
        <v>7665.8387488233366</v>
      </c>
      <c r="D39" s="33">
        <f>+C39/$C$20</f>
        <v>3.4668182125923992E-2</v>
      </c>
      <c r="E39" s="35">
        <f>+'COL. CONS.$'!E39/Paramet!$G$3*1000</f>
        <v>7860.8651941184526</v>
      </c>
      <c r="F39" s="33">
        <f>+E39/$E$20</f>
        <v>3.7634293620405851E-2</v>
      </c>
      <c r="G39" s="33">
        <f>IF(C39=0,"",(E39-C39)/ABS(C39)+1)</f>
        <v>1.0254409793481569</v>
      </c>
      <c r="H39" s="35">
        <f>+'COL. CONS.$'!H39/Paramet!$G$4*1000</f>
        <v>6673.7610243329646</v>
      </c>
      <c r="I39" s="33">
        <f>+H39/$H$20</f>
        <v>3.1331091163580259E-2</v>
      </c>
      <c r="J39" s="34">
        <f>IF(H39=0,"",(E39-H39)/ABS(H39))</f>
        <v>0.17787633771380626</v>
      </c>
      <c r="K39" s="35">
        <f>+'COL. CONS.$'!K39/Paramet!$G$5*1000</f>
        <v>66232.293332426023</v>
      </c>
      <c r="L39" s="33">
        <f>+K39/$K$20</f>
        <v>3.3131688006713587E-2</v>
      </c>
      <c r="M39" s="35">
        <f>+'COL. CONS.$'!M39/Paramet!$G$3*1000</f>
        <v>68619.053628419322</v>
      </c>
      <c r="N39" s="33">
        <f>+M39/$M$20</f>
        <v>3.3986302294865323E-2</v>
      </c>
      <c r="O39" s="33">
        <f>IF(K39=0,"",(M39-K39)/ABS(K39)+1)</f>
        <v>1.0360362019176044</v>
      </c>
      <c r="P39" s="35">
        <f>+'COL. CONS.$'!P39/Paramet!$G$4*1000</f>
        <v>65241.745786627733</v>
      </c>
      <c r="Q39" s="33">
        <f>+P39/$P$20</f>
        <v>3.9425737349047189E-2</v>
      </c>
      <c r="R39" s="34">
        <f>IF(P39=0,"",(M39-P39)/ABS(P39))</f>
        <v>5.1766055630041385E-2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2924.7048416181915</v>
      </c>
      <c r="D41" s="33">
        <f>+C41/$C$20</f>
        <v>1.3226758797835995E-2</v>
      </c>
      <c r="E41" s="35">
        <f>E36+E38-E39</f>
        <v>-10080.437698867278</v>
      </c>
      <c r="F41" s="33">
        <f>+E41/$E$20</f>
        <v>-4.8260610354344521E-2</v>
      </c>
      <c r="G41" s="33">
        <f>IF(C41=0,"",(E41-C41)/ABS(C41)+1)</f>
        <v>-3.4466512844044583</v>
      </c>
      <c r="H41" s="35">
        <f>+H36+H38-H39</f>
        <v>-2801.8738208478098</v>
      </c>
      <c r="I41" s="33">
        <f>+H41/$H$20</f>
        <v>-1.3153866881022425E-2</v>
      </c>
      <c r="J41" s="34">
        <f>IF(H41=0,"",(E41-H41)/ABS(H41))</f>
        <v>-2.5977486294572221</v>
      </c>
      <c r="K41" s="35">
        <f>K36+K38-K39</f>
        <v>44564.435825025663</v>
      </c>
      <c r="L41" s="33">
        <f>+K41/$K$20</f>
        <v>2.2292674912210798E-2</v>
      </c>
      <c r="M41" s="35">
        <f>M36+M38-M39</f>
        <v>-30321.81163293904</v>
      </c>
      <c r="N41" s="33">
        <f>+M41/$M$20</f>
        <v>-1.5018077367628203E-2</v>
      </c>
      <c r="O41" s="33">
        <f>IF(K41=0,"",(M41-K41)/ABS(K41)+1)</f>
        <v>-0.68040380342729434</v>
      </c>
      <c r="P41" s="35">
        <f>P36+P38-P39</f>
        <v>-221787.01303974589</v>
      </c>
      <c r="Q41" s="33">
        <f>+P41/$P$20</f>
        <v>-0.13402640315806758</v>
      </c>
      <c r="R41" s="34">
        <f>IF(P41=0,"",(M41-P41)/ABS(P41))</f>
        <v>0.86328409757921609</v>
      </c>
    </row>
    <row r="42" spans="2:27" x14ac:dyDescent="0.2">
      <c r="B42" s="19" t="s">
        <v>44</v>
      </c>
      <c r="C42" s="35">
        <f>+'COL. CONS.$'!C42/Paramet!$G$5*1000</f>
        <v>7130.981139351049</v>
      </c>
      <c r="D42" s="33">
        <f>+C42/$C$20</f>
        <v>3.2249328609148961E-2</v>
      </c>
      <c r="E42" s="35">
        <f>+'COL. CONS.$'!E42/Paramet!$G$3*1000</f>
        <v>1427.8823594391254</v>
      </c>
      <c r="F42" s="33">
        <f>+E42/$E$20</f>
        <v>6.8360597266998733E-3</v>
      </c>
      <c r="G42" s="33">
        <f>IF(C42=0,"",(E42-C42)/ABS(C42)+1)</f>
        <v>0.20023645155357528</v>
      </c>
      <c r="H42" s="35">
        <f>+'COL. CONS.$'!H42/Paramet!$G$4*1000</f>
        <v>-572.00968976949798</v>
      </c>
      <c r="I42" s="33">
        <f>+H42/$H$20</f>
        <v>-2.6853954870837858E-3</v>
      </c>
      <c r="J42" s="34">
        <f>IF(H42=0,"",(E42-H42)/ABS(H42))</f>
        <v>3.4962555442277861</v>
      </c>
      <c r="K42" s="35">
        <f>+'COL. CONS.$'!K42/Paramet!$G$5*1000</f>
        <v>69355.244802830814</v>
      </c>
      <c r="L42" s="33">
        <f>+K42/$K$20</f>
        <v>3.4693896539313242E-2</v>
      </c>
      <c r="M42" s="35">
        <f>+'COL. CONS.$'!M42/Paramet!$G$3*1000</f>
        <v>33710.633949776791</v>
      </c>
      <c r="N42" s="33">
        <f>+M42/$M$20</f>
        <v>1.6696525751765248E-2</v>
      </c>
      <c r="O42" s="33">
        <f>IF(K42=0,"",(M42-K42)/ABS(K42)+1)</f>
        <v>0.48605745745130513</v>
      </c>
      <c r="P42" s="35">
        <f>+'COL. CONS.$'!P42/Paramet!$G$4*1000</f>
        <v>77255.975193400693</v>
      </c>
      <c r="Q42" s="33">
        <f>+P42/$P$20</f>
        <v>4.6685963870142448E-2</v>
      </c>
      <c r="R42" s="34">
        <f>IF(P42=0,"",(M42-P42)/ABS(P42))</f>
        <v>-0.56365014012979031</v>
      </c>
    </row>
    <row r="43" spans="2:27" x14ac:dyDescent="0.2">
      <c r="B43" s="42" t="s">
        <v>59</v>
      </c>
      <c r="C43" s="43">
        <f>C41-C42</f>
        <v>-4206.2762977328575</v>
      </c>
      <c r="D43" s="44">
        <f>+C43/$C$20</f>
        <v>-1.9022569811312968E-2</v>
      </c>
      <c r="E43" s="43">
        <f>E41-E42</f>
        <v>-11508.320058306403</v>
      </c>
      <c r="F43" s="44">
        <f>+E43/$E$20</f>
        <v>-5.5096670081044394E-2</v>
      </c>
      <c r="G43" s="44">
        <f>IF(C43=0,"",(E43-C43)/ABS(C43)+1)</f>
        <v>-0.73598766312837705</v>
      </c>
      <c r="H43" s="43">
        <f>H41-H42</f>
        <v>-2229.8641310783119</v>
      </c>
      <c r="I43" s="44">
        <f>+H43/$H$20</f>
        <v>-1.046847139393864E-2</v>
      </c>
      <c r="J43" s="45">
        <f>IF(H43=0,"",(E43-H43)/ABS(H43))</f>
        <v>-4.1609960884662689</v>
      </c>
      <c r="K43" s="43">
        <f>K41-K42</f>
        <v>-24790.808977805151</v>
      </c>
      <c r="L43" s="44">
        <f>+K43/$K$20</f>
        <v>-1.2401221627102442E-2</v>
      </c>
      <c r="M43" s="43">
        <f>M41-M42</f>
        <v>-64032.445582715831</v>
      </c>
      <c r="N43" s="44">
        <f>+M43/$M$20</f>
        <v>-3.1714603119393454E-2</v>
      </c>
      <c r="O43" s="44">
        <f>IF(K43=0,"",(M43-K43)/ABS(K43)+1)</f>
        <v>-0.58291069242811488</v>
      </c>
      <c r="P43" s="43">
        <f>P41-P42</f>
        <v>-299042.98823314661</v>
      </c>
      <c r="Q43" s="44">
        <f>+P43/$P$20</f>
        <v>-0.18071236702821003</v>
      </c>
      <c r="R43" s="45">
        <f>IF(P43=0,"",(M43-P43)/ABS(P43))</f>
        <v>0.78587544900804229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35508.82923343881</v>
      </c>
      <c r="D45" s="33">
        <f>+C45/$C$20</f>
        <v>0.16058602317093434</v>
      </c>
      <c r="E45" s="35">
        <f>+'COL. CONS.$'!E45/Paramet!$G$3*1000</f>
        <v>22562.800480763453</v>
      </c>
      <c r="F45" s="33">
        <f>+E45/$E$20</f>
        <v>0.10802055972503055</v>
      </c>
      <c r="G45" s="33">
        <f>IF(C45=0,"",(E45-C45)/ABS(C45)+1)</f>
        <v>0.63541381025077481</v>
      </c>
      <c r="H45" s="35">
        <f>+'COL. CONS.$'!H45/Paramet!$G$4*1000</f>
        <v>15206.248105462579</v>
      </c>
      <c r="I45" s="33">
        <f>+H45/$H$20</f>
        <v>7.1388283744530129E-2</v>
      </c>
      <c r="J45" s="34">
        <f>IF(H45=0,"",(E45-H45)/ABS(H45))</f>
        <v>0.48378484451126125</v>
      </c>
      <c r="K45" s="35">
        <f>+'COL. CONS.$'!K45/Paramet!$G$5*1000</f>
        <v>337522.37079378043</v>
      </c>
      <c r="L45" s="33">
        <f>+K45/$K$20</f>
        <v>0.16884038467910048</v>
      </c>
      <c r="M45" s="35">
        <f>+'COL. CONS.$'!M45/Paramet!$G$3*1000</f>
        <v>258963.73700653913</v>
      </c>
      <c r="N45" s="33">
        <f>+M45/$M$20</f>
        <v>0.12826204070041444</v>
      </c>
      <c r="O45" s="33">
        <f>IF(K45=0,"",(M45-K45)/ABS(K45)+1)</f>
        <v>0.76724910528896739</v>
      </c>
      <c r="P45" s="35">
        <f>+'COL. CONS.$'!P45/Paramet!$G$4*1000</f>
        <v>376842.8924109962</v>
      </c>
      <c r="Q45" s="33">
        <f>+P45/$P$20</f>
        <v>0.22772702843731094</v>
      </c>
      <c r="R45" s="34">
        <f>IF(P45=0,"",(M45-P45)/ABS(P45))</f>
        <v>-0.31280716122912705</v>
      </c>
    </row>
    <row r="46" spans="2:27" x14ac:dyDescent="0.2">
      <c r="B46" s="19" t="s">
        <v>35</v>
      </c>
      <c r="C46" s="35">
        <f>+'COL. CONS.$'!C46/Paramet!$G$5*1000</f>
        <v>98227.348508046693</v>
      </c>
      <c r="D46" s="33">
        <f>+C46/$C$20</f>
        <v>0.44422583351968825</v>
      </c>
      <c r="E46" s="35">
        <f>+'COL. CONS.$'!E46/Paramet!$G$3*1000</f>
        <v>96478.072191364015</v>
      </c>
      <c r="F46" s="33">
        <f>+E46/$E$20</f>
        <v>0.46189369835487776</v>
      </c>
      <c r="G46" s="33">
        <f>IF(C46=0,"",(E46-C46)/ABS(C46)+1)</f>
        <v>0.98219155517020418</v>
      </c>
      <c r="H46" s="35">
        <f>+'COL. CONS.$'!H46/Paramet!$G$4*1000</f>
        <v>102228.062835491</v>
      </c>
      <c r="I46" s="33">
        <f>+H46/$H$20</f>
        <v>0.47992679757290352</v>
      </c>
      <c r="J46" s="34">
        <f>IF(H46=0,"",(E46-H46)/ABS(H46))</f>
        <v>-5.6246694739585081E-2</v>
      </c>
      <c r="K46" s="35">
        <f>+'COL. CONS.$'!K46/Paramet!$G$5*1000</f>
        <v>877095.93639776355</v>
      </c>
      <c r="L46" s="33">
        <f>+K46/$K$20</f>
        <v>0.43875377787137515</v>
      </c>
      <c r="M46" s="35">
        <f>+'COL. CONS.$'!M46/Paramet!$G$3*1000</f>
        <v>923403.62277598877</v>
      </c>
      <c r="N46" s="33">
        <f>+M46/$M$20</f>
        <v>0.45735219307718494</v>
      </c>
      <c r="O46" s="33">
        <f>IF(K46=0,"",(M46-K46)/ABS(K46)+1)</f>
        <v>1.0527966034917584</v>
      </c>
      <c r="P46" s="35">
        <f>+'COL. CONS.$'!P46/Paramet!$G$4*1000</f>
        <v>855561.82542873768</v>
      </c>
      <c r="Q46" s="33">
        <f>+P46/$P$20</f>
        <v>0.51701798301875723</v>
      </c>
      <c r="R46" s="34">
        <f>IF(P46=0,"",(M46-P46)/ABS(P46))</f>
        <v>7.9295026181485276E-2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5892-F1B3-4A79-927B-ADC45D37130D}">
  <sheetPr>
    <tabColor theme="0" tint="-0.249977111117893"/>
  </sheetPr>
  <dimension ref="A1:AI68"/>
  <sheetViews>
    <sheetView showGridLines="0" topLeftCell="M5" zoomScaleNormal="100" workbookViewId="0">
      <selection activeCell="U34" sqref="U34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SEPTIEMBRE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SEPTIEMBRE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6451</v>
      </c>
      <c r="D10" s="34">
        <f>+C10/$C$20</f>
        <v>0.75956670198987397</v>
      </c>
      <c r="E10" s="32">
        <v>5990.69</v>
      </c>
      <c r="F10" s="34">
        <f>+E10/$E$20</f>
        <v>0.85758315379605043</v>
      </c>
      <c r="G10" s="34">
        <f>IF(C10=0,"",(E10-C10)/ABS(C10)+1)</f>
        <v>0.92864517129127266</v>
      </c>
      <c r="H10" s="32">
        <v>6219.16</v>
      </c>
      <c r="I10" s="34">
        <f>+H10/$H$20</f>
        <v>0.64942431514073107</v>
      </c>
      <c r="J10" s="34">
        <f>IF(H10=0,"",(E10-H10)/ABS(H10))</f>
        <v>-3.6736472449655624E-2</v>
      </c>
      <c r="K10" s="32">
        <v>57560</v>
      </c>
      <c r="L10" s="34">
        <f>+K10/$K$20</f>
        <v>0.75880615903817761</v>
      </c>
      <c r="M10" s="32">
        <v>53862.9</v>
      </c>
      <c r="N10" s="34">
        <f>+M10/$M$20</f>
        <v>0.78980592290290397</v>
      </c>
      <c r="O10" s="34">
        <f>IF(K10=0,"",(M10-K10)/ABS(K10)+1)</f>
        <v>0.93576963168867278</v>
      </c>
      <c r="P10" s="32">
        <v>56950.63</v>
      </c>
      <c r="Q10" s="34">
        <f>+P10/$P$20</f>
        <v>0.76458977560780195</v>
      </c>
      <c r="R10" s="34">
        <f t="shared" ref="R10:R17" si="0">IF(P10=0,"",(M10-P10)/ABS(P10))</f>
        <v>-5.4217661859052239E-2</v>
      </c>
      <c r="S10" s="34"/>
      <c r="T10" s="63"/>
      <c r="U10" s="3" t="s">
        <v>31</v>
      </c>
      <c r="V10" s="32">
        <v>13266</v>
      </c>
      <c r="W10" s="32">
        <v>18478.41</v>
      </c>
      <c r="X10" s="32">
        <v>17062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575</v>
      </c>
      <c r="D11" s="34">
        <f>+C11/$C$20</f>
        <v>6.7702814082185328E-2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950</v>
      </c>
      <c r="I11" s="34">
        <f>+H11/$H$20</f>
        <v>9.9201998241514058E-2</v>
      </c>
      <c r="J11" s="34">
        <f>IF(H11=0,"",(E11-H11)/ABS(H11))</f>
        <v>-1</v>
      </c>
      <c r="K11" s="32">
        <v>4371</v>
      </c>
      <c r="L11" s="34">
        <f>+K11/$K$20</f>
        <v>5.7622337059692046E-2</v>
      </c>
      <c r="M11" s="32">
        <v>1410</v>
      </c>
      <c r="N11" s="34">
        <f>+M11/$M$20</f>
        <v>2.0675202250400454E-2</v>
      </c>
      <c r="O11" s="34">
        <f>IF(K11=0,"",(M11-K11)/ABS(K11)+1)</f>
        <v>0.32258064516129037</v>
      </c>
      <c r="P11" s="32">
        <v>3686.24</v>
      </c>
      <c r="Q11" s="34">
        <f>+P11/$P$20</f>
        <v>4.9489556383072564E-2</v>
      </c>
      <c r="R11" s="34">
        <f t="shared" si="0"/>
        <v>-0.61749641911541298</v>
      </c>
      <c r="S11" s="34"/>
      <c r="T11" s="63"/>
      <c r="U11" s="3" t="s">
        <v>32</v>
      </c>
      <c r="V11" s="32">
        <v>9493.7212411111104</v>
      </c>
      <c r="W11" s="32">
        <v>11687.8</v>
      </c>
      <c r="X11" s="32">
        <v>8343.2000000000007</v>
      </c>
      <c r="Y11" s="32">
        <f>+AF11+V11</f>
        <v>86649.72124111111</v>
      </c>
      <c r="Z11" s="32">
        <f>+W11+AH11</f>
        <v>82498.8</v>
      </c>
      <c r="AA11" s="63">
        <f>+Z11-Y11</f>
        <v>-4150.9212411111075</v>
      </c>
      <c r="AB11" s="68">
        <f>IF(Y11=0,"",(Z11-Y11)/ABS(Y11)+1)</f>
        <v>0.95209538840222263</v>
      </c>
      <c r="AC11" s="32">
        <v>78714.2</v>
      </c>
      <c r="AD11" s="34">
        <f>IF(AC11=0,"",(Z11-AC11)/ABS(AC11))</f>
        <v>4.8080270141855043E-2</v>
      </c>
      <c r="AF11" s="32">
        <v>77156</v>
      </c>
      <c r="AG11" s="32"/>
      <c r="AH11" s="32">
        <v>70811</v>
      </c>
    </row>
    <row r="12" spans="1:34" x14ac:dyDescent="0.2">
      <c r="A12" s="94"/>
      <c r="B12" s="3" t="str">
        <f>+'COLOMB$ '!B12</f>
        <v>Voice Experience (Publihold)</v>
      </c>
      <c r="C12" s="32">
        <v>1026</v>
      </c>
      <c r="D12" s="34">
        <f>+C12/$C$20</f>
        <v>0.12080536912751678</v>
      </c>
      <c r="E12" s="32">
        <v>994.86</v>
      </c>
      <c r="F12" s="34">
        <f>+E12/$E$20</f>
        <v>0.14241684620394959</v>
      </c>
      <c r="G12" s="34">
        <f>IF(C12=0,"",(E12-C12)/ABS(C12)+1)</f>
        <v>0.96964912280701754</v>
      </c>
      <c r="H12" s="32">
        <v>1065.26</v>
      </c>
      <c r="I12" s="34">
        <f>+H12/$H$20</f>
        <v>0.11123781120711079</v>
      </c>
      <c r="J12" s="34">
        <f>IF(H12=0,"",(E12-H12)/ABS(H12))</f>
        <v>-6.6087152432270035E-2</v>
      </c>
      <c r="K12" s="32">
        <v>9087</v>
      </c>
      <c r="L12" s="34">
        <f>+K12/$K$20</f>
        <v>0.11979276523940097</v>
      </c>
      <c r="M12" s="32">
        <v>9601.74</v>
      </c>
      <c r="N12" s="34">
        <f>+M12/$M$20</f>
        <v>0.14079284855018442</v>
      </c>
      <c r="O12" s="34">
        <f>IF(K12=0,"",(M12-K12)/ABS(K12)+1)</f>
        <v>1.0566457576758006</v>
      </c>
      <c r="P12" s="32">
        <v>10100.34</v>
      </c>
      <c r="Q12" s="34">
        <f>+P12/$P$20</f>
        <v>0.13560195373014322</v>
      </c>
      <c r="R12" s="34">
        <f t="shared" si="0"/>
        <v>-4.9364674852529752E-2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275</v>
      </c>
      <c r="D13" s="34">
        <f>+C13/$C$20</f>
        <v>3.2379606734958204E-2</v>
      </c>
      <c r="E13" s="32">
        <v>0</v>
      </c>
      <c r="F13" s="34"/>
      <c r="G13" s="34">
        <f>IF(C13=0,"",(E13-C13)/ABS(C13)+1)</f>
        <v>0</v>
      </c>
      <c r="H13" s="32">
        <v>1342</v>
      </c>
      <c r="I13" s="34"/>
      <c r="J13" s="34">
        <f>IF(H13=0,"",(E13-H13)/ABS(H13))</f>
        <v>-1</v>
      </c>
      <c r="K13" s="32">
        <v>2091</v>
      </c>
      <c r="L13" s="34">
        <f>+K13/$K$20</f>
        <v>2.756538704914575E-2</v>
      </c>
      <c r="M13" s="32">
        <v>1667</v>
      </c>
      <c r="N13" s="34">
        <f>+M13/$M$20</f>
        <v>2.4443661100296138E-2</v>
      </c>
      <c r="O13" s="34">
        <f>IF(K13=0,"",(M13-K13)/ABS(K13)+1)</f>
        <v>0.79722620755619322</v>
      </c>
      <c r="P13" s="32">
        <v>2092</v>
      </c>
      <c r="Q13" s="34"/>
      <c r="R13" s="34">
        <f t="shared" si="0"/>
        <v>-0.20315487571701721</v>
      </c>
      <c r="S13" s="34"/>
      <c r="T13" s="63"/>
      <c r="U13" s="3" t="s">
        <v>33</v>
      </c>
      <c r="V13" s="32">
        <v>920</v>
      </c>
      <c r="W13" s="32">
        <v>0</v>
      </c>
      <c r="X13" s="32">
        <v>0</v>
      </c>
      <c r="Y13" s="32">
        <f>+AF13+V13</f>
        <v>10069</v>
      </c>
      <c r="Z13" s="32">
        <f t="shared" ref="Z13:Z16" si="1">+W13+AH13</f>
        <v>362</v>
      </c>
      <c r="AA13" s="63">
        <f>+Y13-Z13</f>
        <v>9707</v>
      </c>
      <c r="AB13" s="68">
        <f>IF(Y13=0,"",(Z13-Y13)/ABS(Y13)+1)</f>
        <v>3.595193167146693E-2</v>
      </c>
      <c r="AC13" s="32">
        <v>150</v>
      </c>
      <c r="AD13" s="34">
        <f>IF(AC13=0,"",(Z13-AC13)/ABS(AC13))</f>
        <v>1.4133333333333333</v>
      </c>
      <c r="AF13" s="32">
        <v>9149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166</v>
      </c>
      <c r="D15" s="34">
        <f>+C15/$C$20</f>
        <v>1.9545508065465678E-2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2747</v>
      </c>
      <c r="L15" s="34"/>
      <c r="M15" s="32">
        <v>1656</v>
      </c>
      <c r="N15" s="34"/>
      <c r="O15" s="34">
        <f>IF(K15=0,"",(M15-K15)/ABS(K15)+1)</f>
        <v>0.60283946123043319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5731</v>
      </c>
      <c r="W15" s="32">
        <v>4445.8999999999996</v>
      </c>
      <c r="X15" s="32">
        <v>4812.8</v>
      </c>
      <c r="Y15" s="32">
        <f t="shared" si="2"/>
        <v>51796.800000000003</v>
      </c>
      <c r="Z15" s="32">
        <f t="shared" si="1"/>
        <v>42403.9</v>
      </c>
      <c r="AA15" s="63">
        <f>+Y15-Z15</f>
        <v>9392.9000000000015</v>
      </c>
      <c r="AB15" s="68">
        <f>IF(Y15=0,"",(Z15-Y15)/ABS(Y15)+1)</f>
        <v>0.81865868161739719</v>
      </c>
      <c r="AC15" s="32">
        <v>45544.100000000006</v>
      </c>
      <c r="AD15" s="34">
        <f>IF(AC15=0,"",(Z15-AC15)/ABS(AC15))</f>
        <v>-6.8948557551911316E-2</v>
      </c>
      <c r="AF15" s="32">
        <v>46065.8</v>
      </c>
      <c r="AG15" s="32"/>
      <c r="AH15" s="32">
        <v>37958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1420</v>
      </c>
      <c r="W16" s="32">
        <v>2295.8000000000002</v>
      </c>
      <c r="X16" s="32">
        <v>1411.6</v>
      </c>
      <c r="Y16" s="32">
        <f t="shared" si="2"/>
        <v>14574</v>
      </c>
      <c r="Z16" s="32">
        <f t="shared" si="1"/>
        <v>15500.8</v>
      </c>
      <c r="AA16" s="63">
        <f>+Y16-Z16</f>
        <v>-926.79999999999927</v>
      </c>
      <c r="AB16" s="68">
        <f>IF(Y16=0,"",(Z16-Y16)/ABS(Y16)+1)</f>
        <v>1.0635926993275695</v>
      </c>
      <c r="AC16" s="32">
        <v>14723.16</v>
      </c>
      <c r="AD16" s="34">
        <f>IF(AC16=0,"",(Z16-AC16)/ABS(AC16))</f>
        <v>5.2817465815762341E-2</v>
      </c>
      <c r="AF16" s="32">
        <v>13154</v>
      </c>
      <c r="AG16" s="32"/>
      <c r="AH16" s="32">
        <v>13205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8071</v>
      </c>
      <c r="W17" s="32">
        <f>SUM(W13:W16)</f>
        <v>6741.7</v>
      </c>
      <c r="X17" s="32">
        <v>6224.4</v>
      </c>
      <c r="Y17" s="32">
        <f>SUM(Y13:Y16)</f>
        <v>76439.8</v>
      </c>
      <c r="Z17" s="32">
        <f>SUM(Z13:Z16)</f>
        <v>58266.7</v>
      </c>
      <c r="AA17" s="63">
        <f>+Z17-Y17</f>
        <v>-18173.100000000006</v>
      </c>
      <c r="AB17" s="68">
        <f>IF(Y17=0,"",(Z17-Y17)/ABS(Y17)+1)</f>
        <v>0.7622560498588431</v>
      </c>
      <c r="AC17" s="32">
        <v>60417.260000000009</v>
      </c>
      <c r="AD17" s="34">
        <f>IF(AC17=0,"",(Z17-AC17)/ABS(AC17))</f>
        <v>-3.5595126293380595E-2</v>
      </c>
      <c r="AF17" s="32">
        <v>68369</v>
      </c>
      <c r="AG17" s="32"/>
      <c r="AH17" s="32">
        <v>51525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1422.7212411111104</v>
      </c>
      <c r="W19" s="32">
        <f>W11-W17</f>
        <v>4946.0999999999995</v>
      </c>
      <c r="X19" s="32">
        <v>2118.8000000000011</v>
      </c>
      <c r="Y19" s="32">
        <f>Y11-Y17</f>
        <v>10209.921241111108</v>
      </c>
      <c r="Z19" s="32">
        <f>Z11-Z17</f>
        <v>24232.100000000006</v>
      </c>
      <c r="AA19" s="63">
        <f>+Z19-Y19</f>
        <v>14022.178758888898</v>
      </c>
      <c r="AB19" s="68">
        <f>IF(Y19=0,"",(Z19-Y19)/ABS(Y19)+1)</f>
        <v>2.373387553904668</v>
      </c>
      <c r="AC19" s="32">
        <v>18296.939999999988</v>
      </c>
      <c r="AD19" s="34">
        <f>IF(AC19=0,"",(Z19-AC19)/ABS(AC19))</f>
        <v>0.32437992363750562</v>
      </c>
      <c r="AF19" s="32">
        <v>8935.5192267444363</v>
      </c>
      <c r="AG19" s="32"/>
      <c r="AH19" s="32">
        <v>15528.799999999996</v>
      </c>
      <c r="AI19" s="55"/>
    </row>
    <row r="20" spans="1:35" x14ac:dyDescent="0.2">
      <c r="B20" s="20" t="s">
        <v>39</v>
      </c>
      <c r="C20" s="69">
        <f>SUM(C10:C19)</f>
        <v>8493</v>
      </c>
      <c r="D20" s="45">
        <f>+C20/$C$20</f>
        <v>1</v>
      </c>
      <c r="E20" s="69">
        <f>SUM(E10:E19)</f>
        <v>6985.5499999999993</v>
      </c>
      <c r="F20" s="45">
        <f>+E20/$E$20</f>
        <v>1</v>
      </c>
      <c r="G20" s="45">
        <f>IF(C20=0,"",(E20-C20)/ABS(C20)+1)</f>
        <v>0.82250677028140817</v>
      </c>
      <c r="H20" s="69">
        <f>SUM(H10:H19)</f>
        <v>9576.42</v>
      </c>
      <c r="I20" s="45">
        <f>+H20/$H$20</f>
        <v>1</v>
      </c>
      <c r="J20" s="45">
        <f>IF(H20=0,"",(E20-H20)/ABS(H20))</f>
        <v>-0.27054682229893851</v>
      </c>
      <c r="K20" s="69">
        <f>SUM(K10:K19)</f>
        <v>75856</v>
      </c>
      <c r="L20" s="45">
        <f>+K20/$K$20</f>
        <v>1</v>
      </c>
      <c r="M20" s="69">
        <f>SUM(M10:M19)</f>
        <v>68197.64</v>
      </c>
      <c r="N20" s="45">
        <f>+M20/$M$20</f>
        <v>1</v>
      </c>
      <c r="O20" s="45">
        <f>IF(K20=0,"",(M20-K20)/ABS(K20)+1)</f>
        <v>0.89904081417422488</v>
      </c>
      <c r="P20" s="69">
        <f>SUM(P10:P19)</f>
        <v>74485.209999999992</v>
      </c>
      <c r="Q20" s="45">
        <f>+P20/$P$20</f>
        <v>1</v>
      </c>
      <c r="R20" s="45">
        <f>IF(P20=0,"",(M20-P20)/ABS(P20))</f>
        <v>-8.4413670848212594E-2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14688.72124111111</v>
      </c>
      <c r="W21" s="32">
        <f>+W10+W19</f>
        <v>23424.51</v>
      </c>
      <c r="X21" s="32">
        <v>19180.800000000003</v>
      </c>
      <c r="Y21" s="32">
        <f>+Y10+Y19</f>
        <v>25377.921241111108</v>
      </c>
      <c r="Z21" s="32">
        <f>+Z10+Z19</f>
        <v>39400.100000000006</v>
      </c>
      <c r="AA21" s="63">
        <f>+Z21-Y21</f>
        <v>14022.178758888898</v>
      </c>
      <c r="AB21" s="68">
        <f>IF(Y21=0,"",(Z21-Y21)/ABS(Y21)+1)</f>
        <v>1.5525345683622658</v>
      </c>
      <c r="AC21" s="32">
        <v>29555.939999999988</v>
      </c>
      <c r="AD21" s="34">
        <f>IF(AC21=0,"",(Z21-AC21)/ABS(AC21))</f>
        <v>0.33306875030873734</v>
      </c>
      <c r="AF21" s="32">
        <v>24103.519226744436</v>
      </c>
      <c r="AG21" s="32"/>
      <c r="AH21" s="32">
        <v>30696.799999999996</v>
      </c>
    </row>
    <row r="22" spans="1:35" x14ac:dyDescent="0.2">
      <c r="A22" s="94"/>
      <c r="B22" s="3" t="s">
        <v>41</v>
      </c>
      <c r="C22" s="32">
        <v>132</v>
      </c>
      <c r="D22" s="34">
        <f>+C22/$C$20</f>
        <v>1.5542211232779936E-2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724.16</v>
      </c>
      <c r="I22" s="34">
        <f>+H22/$H$20</f>
        <v>7.5619072680605068E-2</v>
      </c>
      <c r="J22" s="34">
        <f>IF(H22=0,"",(E22-H22)/ABS(H22))</f>
        <v>-1</v>
      </c>
      <c r="K22" s="32">
        <v>1005</v>
      </c>
      <c r="L22" s="34">
        <f>+K22/$K$20</f>
        <v>1.3248787175701328E-2</v>
      </c>
      <c r="M22" s="32">
        <v>621.66</v>
      </c>
      <c r="N22" s="34">
        <f>+M22/$M$20</f>
        <v>9.1155647028254936E-3</v>
      </c>
      <c r="O22" s="34">
        <f>IF(K22=0,"",(M22-K22)/ABS(K22)+1)</f>
        <v>0.6185671641791044</v>
      </c>
      <c r="P22" s="32">
        <v>987.63</v>
      </c>
      <c r="Q22" s="34">
        <f>+P22/$P$20</f>
        <v>1.3259410828001963E-2</v>
      </c>
      <c r="R22" s="34">
        <f>IF(P22=0,"",(M22-P22)/ABS(P22))</f>
        <v>-0.37055374988609097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>
        <v>462</v>
      </c>
      <c r="Y23" s="32">
        <f>+AF23+V23</f>
        <v>0</v>
      </c>
      <c r="Z23" s="32">
        <f>+W23+AH23</f>
        <v>6730</v>
      </c>
      <c r="AA23" s="63">
        <f>+Z23-Y23</f>
        <v>6730</v>
      </c>
      <c r="AB23" s="68" t="str">
        <f>IF(Y23=0,"",(Z23-Y23)/ABS(Y23)+1)</f>
        <v/>
      </c>
      <c r="AC23" s="32">
        <v>542</v>
      </c>
      <c r="AD23" s="34">
        <f>IF(AC23=0,"",(Z23-AC23)/ABS(AC23))</f>
        <v>11.416974169741698</v>
      </c>
      <c r="AF23" s="32">
        <v>0</v>
      </c>
      <c r="AG23" s="32"/>
      <c r="AH23" s="32">
        <v>6730</v>
      </c>
    </row>
    <row r="24" spans="1:35" x14ac:dyDescent="0.2">
      <c r="B24" s="3" t="s">
        <v>43</v>
      </c>
      <c r="C24" s="32">
        <f>+C20-C22</f>
        <v>8361</v>
      </c>
      <c r="D24" s="34">
        <f>+C24/$C$20</f>
        <v>0.98445778876722001</v>
      </c>
      <c r="E24" s="32">
        <f>+E20-E22</f>
        <v>6985.5499999999993</v>
      </c>
      <c r="F24" s="34">
        <f>+E24/$E$20</f>
        <v>1</v>
      </c>
      <c r="G24" s="34">
        <f>IF(C24=0,"",(E24-C24)/ABS(C24)+1)</f>
        <v>0.83549216600885057</v>
      </c>
      <c r="H24" s="32">
        <f>+H20-H22</f>
        <v>8852.26</v>
      </c>
      <c r="I24" s="34">
        <f>+H24/$H$20</f>
        <v>0.92438092731939492</v>
      </c>
      <c r="J24" s="34">
        <f>IF(H24=0,"",(E24-H24)/ABS(H24))</f>
        <v>-0.21087383334877205</v>
      </c>
      <c r="K24" s="32">
        <f>+K20-K22</f>
        <v>74851</v>
      </c>
      <c r="L24" s="34">
        <f>+K24/$K$20</f>
        <v>0.98675121282429867</v>
      </c>
      <c r="M24" s="32">
        <f>+M20-M22</f>
        <v>67575.98</v>
      </c>
      <c r="N24" s="34">
        <f>+M24/$M$20</f>
        <v>0.9908844352971744</v>
      </c>
      <c r="O24" s="34">
        <f>IF(K24=0,"",(M24-K24)/ABS(K24)+1)</f>
        <v>0.9028066425298259</v>
      </c>
      <c r="P24" s="32">
        <f>+P20-P22</f>
        <v>73497.579999999987</v>
      </c>
      <c r="Q24" s="34">
        <f>+P24/$P$20</f>
        <v>0.98674058917199803</v>
      </c>
      <c r="R24" s="34">
        <f>IF(P24=0,"",(M24-P24)/ABS(P24))</f>
        <v>-8.0568639130703251E-2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1221.4376173999999</v>
      </c>
      <c r="W25" s="32">
        <v>1067</v>
      </c>
      <c r="X25" s="32">
        <v>1197.5</v>
      </c>
      <c r="Y25" s="32">
        <f>+AF25+V25</f>
        <v>11910.437617399999</v>
      </c>
      <c r="Z25" s="32">
        <f t="shared" ref="Z25" si="3">+W25+AH25</f>
        <v>10312</v>
      </c>
      <c r="AA25" s="63">
        <f>+Z25-Y25</f>
        <v>-1598.437617399999</v>
      </c>
      <c r="AB25" s="68">
        <f>IF(Y25=0,"",(Z25-Y25)/ABS(Y25)+1)</f>
        <v>0.86579522358902783</v>
      </c>
      <c r="AC25" s="32">
        <v>11492.900000000001</v>
      </c>
      <c r="AD25" s="34">
        <f>IF(AC25=0,"",(Z25-AC25)/ABS(AC25))</f>
        <v>-0.10275039372134112</v>
      </c>
      <c r="AF25" s="32">
        <v>10689</v>
      </c>
      <c r="AG25" s="32"/>
      <c r="AH25" s="32">
        <v>9245</v>
      </c>
    </row>
    <row r="26" spans="1:35" x14ac:dyDescent="0.2">
      <c r="B26" s="3" t="s">
        <v>45</v>
      </c>
      <c r="C26" s="32">
        <v>554</v>
      </c>
      <c r="D26" s="34">
        <f>+C26/$C$20</f>
        <v>6.5230189567879432E-2</v>
      </c>
      <c r="E26" s="32">
        <v>572</v>
      </c>
      <c r="F26" s="34">
        <f>+E26/$E$20</f>
        <v>8.1883316274309115E-2</v>
      </c>
      <c r="G26" s="34">
        <f>IF(C26=0,"",(E26-C26)/ABS(C26)+1)</f>
        <v>1.0324909747292419</v>
      </c>
      <c r="H26" s="32">
        <v>471.51</v>
      </c>
      <c r="I26" s="34">
        <f>+H26/$H$20</f>
        <v>4.9236562306164515E-2</v>
      </c>
      <c r="J26" s="34">
        <f>IF(H26=0,"",(E26-H26)/ABS(H26))</f>
        <v>0.21312379376895507</v>
      </c>
      <c r="K26" s="32">
        <v>6027</v>
      </c>
      <c r="L26" s="34">
        <f>+K26/$K$20</f>
        <v>7.9453174435773044E-2</v>
      </c>
      <c r="M26" s="32">
        <v>4762.55</v>
      </c>
      <c r="N26" s="34">
        <f>+M26/$M$20</f>
        <v>6.9834527998329565E-2</v>
      </c>
      <c r="O26" s="34">
        <f>IF(K26=0,"",(M26-K26)/ABS(K26)+1)</f>
        <v>0.79020242243238759</v>
      </c>
      <c r="P26" s="32">
        <v>5708.97</v>
      </c>
      <c r="Q26" s="34">
        <f>+P26/$P$20</f>
        <v>7.6645685767684629E-2</v>
      </c>
      <c r="R26" s="34">
        <f>IF(P26=0,"",(M26-P26)/ABS(P26))</f>
        <v>-0.16577771471911745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1090</v>
      </c>
      <c r="D27" s="34">
        <f>+C27/$C$20</f>
        <v>0.12834098669492522</v>
      </c>
      <c r="E27" s="32">
        <v>1013.54</v>
      </c>
      <c r="F27" s="34">
        <f>+E27/$E$20</f>
        <v>0.14509093772143927</v>
      </c>
      <c r="G27" s="34">
        <f>IF(C27=0,"",(E27-C27)/ABS(C27)+1)</f>
        <v>0.92985321100917429</v>
      </c>
      <c r="H27" s="32">
        <v>1062.98</v>
      </c>
      <c r="I27" s="34">
        <f>+H27/$H$20</f>
        <v>0.11099972641133117</v>
      </c>
      <c r="J27" s="34">
        <f>IF(H27=0,"",(E27-H27)/ABS(H27))</f>
        <v>-4.6510752789328168E-2</v>
      </c>
      <c r="K27" s="32">
        <v>10339</v>
      </c>
      <c r="L27" s="34">
        <f>+K27/$K$20</f>
        <v>0.13629772199957815</v>
      </c>
      <c r="M27" s="32">
        <v>10447.33</v>
      </c>
      <c r="N27" s="34">
        <f>+M27/$M$20</f>
        <v>0.15319195796218169</v>
      </c>
      <c r="O27" s="34">
        <f>IF(K27=0,"",(M27-K27)/ABS(K27)+1)</f>
        <v>1.0104778024954058</v>
      </c>
      <c r="P27" s="32">
        <v>10213.06</v>
      </c>
      <c r="Q27" s="34">
        <f>+P27/$P$20</f>
        <v>0.13711527429405113</v>
      </c>
      <c r="R27" s="34">
        <f>IF(P27=0,"",(M27-P27)/ABS(P27))</f>
        <v>2.2938277068772772E-2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>
        <v>0</v>
      </c>
      <c r="AG27" s="32"/>
      <c r="AH27" s="2">
        <v>0</v>
      </c>
    </row>
    <row r="28" spans="1:35" x14ac:dyDescent="0.2">
      <c r="B28" s="3" t="s">
        <v>48</v>
      </c>
      <c r="C28" s="32">
        <f>SUM(C26:C27)</f>
        <v>1644</v>
      </c>
      <c r="D28" s="34">
        <f>+C28/$C$20</f>
        <v>0.19357117626280465</v>
      </c>
      <c r="E28" s="32">
        <f>SUM(E26:E27)</f>
        <v>1585.54</v>
      </c>
      <c r="F28" s="34">
        <f>+E28/$E$20</f>
        <v>0.22697425399574839</v>
      </c>
      <c r="G28" s="34">
        <f>IF(C28=0,"",(E28-C28)/ABS(C28)+1)</f>
        <v>0.9644403892944039</v>
      </c>
      <c r="H28" s="32">
        <f>SUM(H26:H27)</f>
        <v>1534.49</v>
      </c>
      <c r="I28" s="34">
        <f>+H28/$H$20</f>
        <v>0.16023628871749568</v>
      </c>
      <c r="J28" s="34">
        <f>IF(H28=0,"",(E28-H28)/ABS(H28))</f>
        <v>3.3268382328982236E-2</v>
      </c>
      <c r="K28" s="32">
        <f>SUM(K26:K27)</f>
        <v>16366</v>
      </c>
      <c r="L28" s="34">
        <f>+K28/$K$20</f>
        <v>0.2157508964353512</v>
      </c>
      <c r="M28" s="32">
        <f>SUM(M26:M27)</f>
        <v>15209.880000000001</v>
      </c>
      <c r="N28" s="34">
        <f>+M28/$M$20</f>
        <v>0.22302648596051125</v>
      </c>
      <c r="O28" s="34">
        <f>IF(K28=0,"",(M28-K28)/ABS(K28)+1)</f>
        <v>0.92935842600513263</v>
      </c>
      <c r="P28" s="32">
        <f>SUM(P26:P27)</f>
        <v>15922.029999999999</v>
      </c>
      <c r="Q28" s="34">
        <f>+P28/$P$20</f>
        <v>0.21376096006173576</v>
      </c>
      <c r="R28" s="34">
        <f>IF(P28=0,"",(M28-P28)/ABS(P28))</f>
        <v>-4.4727336903648461E-2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>
        <v>0</v>
      </c>
      <c r="AG28" s="32"/>
      <c r="AH28" s="2">
        <v>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6118</v>
      </c>
      <c r="D30" s="34">
        <f>+C30/$C$20</f>
        <v>0.7203579418344519</v>
      </c>
      <c r="E30" s="32">
        <v>6073.67</v>
      </c>
      <c r="F30" s="34">
        <f>+E30/$E$20</f>
        <v>0.86946196076185855</v>
      </c>
      <c r="G30" s="34">
        <f>IF(C30=0,"",(E30-C30)/ABS(C30)+1)</f>
        <v>0.99275416802876759</v>
      </c>
      <c r="H30" s="32">
        <v>5806.43</v>
      </c>
      <c r="I30" s="34">
        <f>+H30/$H$20</f>
        <v>0.60632574594681521</v>
      </c>
      <c r="J30" s="34">
        <f>IF(H30=0,"",(E30-H30)/ABS(H30))</f>
        <v>4.6024837981341334E-2</v>
      </c>
      <c r="K30" s="32">
        <v>56722</v>
      </c>
      <c r="L30" s="34">
        <f>+K30/$K$20</f>
        <v>0.74775891162202068</v>
      </c>
      <c r="M30" s="32">
        <v>51025.36</v>
      </c>
      <c r="N30" s="34">
        <f>+M30/$M$20</f>
        <v>0.74819832475141368</v>
      </c>
      <c r="O30" s="34">
        <f>IF(K30=0,"",(M30-K30)/ABS(K30)+1)</f>
        <v>0.89956912661753818</v>
      </c>
      <c r="P30" s="32">
        <v>53862.99</v>
      </c>
      <c r="Q30" s="34">
        <f>+P30/$P$20</f>
        <v>0.72313671398657542</v>
      </c>
      <c r="R30" s="34">
        <f>IF(P30=0,"",(M30-P30)/ABS(P30))</f>
        <v>-5.2682370585071449E-2</v>
      </c>
      <c r="S30" s="34"/>
      <c r="T30" s="63"/>
      <c r="U30" s="20" t="s">
        <v>51</v>
      </c>
      <c r="V30" s="69">
        <f>V21-V23-V25-V27-V28</f>
        <v>13467.283623711111</v>
      </c>
      <c r="W30" s="69">
        <f>W21-W23-W25-W27-W28</f>
        <v>22357.51</v>
      </c>
      <c r="X30" s="69">
        <v>17521.300000000003</v>
      </c>
      <c r="Y30" s="69">
        <f>Y21-Y23-Y25-Y27-Y28</f>
        <v>13467.483623711109</v>
      </c>
      <c r="Z30" s="69">
        <f>Z21-Z23-Z25-Z27-Z28</f>
        <v>22358.100000000006</v>
      </c>
      <c r="AA30" s="71">
        <f>+Z30-Y30</f>
        <v>8890.6163762888973</v>
      </c>
      <c r="AB30" s="72">
        <f>IF(V30=0,"",(W30-V30)/ABS(V30)+1)</f>
        <v>1.6601350817796954</v>
      </c>
      <c r="AC30" s="69">
        <v>17521.039999999986</v>
      </c>
      <c r="AD30" s="34">
        <f>IF(AC30=0,"",(Z30-AC30)/ABS(AC30))</f>
        <v>0.27607151173674754</v>
      </c>
      <c r="AF30" s="67">
        <v>14643.115391944437</v>
      </c>
      <c r="AH30" s="2">
        <v>22004.099999999995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61</v>
      </c>
      <c r="W31" s="63" t="s">
        <v>61</v>
      </c>
      <c r="X31" s="61" t="s">
        <v>81</v>
      </c>
      <c r="Y31" s="32" t="s">
        <v>61</v>
      </c>
      <c r="Z31" s="32" t="s">
        <v>61</v>
      </c>
      <c r="AA31" s="95"/>
      <c r="AB31" s="61"/>
      <c r="AC31" s="32" t="s">
        <v>81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6118</v>
      </c>
      <c r="D32" s="34">
        <f>+C32/$C$20</f>
        <v>0.7203579418344519</v>
      </c>
      <c r="E32" s="32">
        <f>SUM(E30:E31)</f>
        <v>6073.67</v>
      </c>
      <c r="F32" s="34">
        <f>+E32/$E$20</f>
        <v>0.86946196076185855</v>
      </c>
      <c r="G32" s="34">
        <f>IF(C32=0,"",(E32-C32)/ABS(C32)+1)</f>
        <v>0.99275416802876759</v>
      </c>
      <c r="H32" s="32">
        <f>SUM(H30:H31)</f>
        <v>5806.43</v>
      </c>
      <c r="I32" s="34">
        <f>+H32/$H$20</f>
        <v>0.60632574594681521</v>
      </c>
      <c r="J32" s="34">
        <f>IF(H32=0,"",(E32-H32)/ABS(H32))</f>
        <v>4.6024837981341334E-2</v>
      </c>
      <c r="K32" s="32">
        <f>SUM(K30:K31)</f>
        <v>56722</v>
      </c>
      <c r="L32" s="34">
        <f>+K32/$K$20</f>
        <v>0.74775891162202068</v>
      </c>
      <c r="M32" s="32">
        <f>SUM(M30:M31)</f>
        <v>51025.36</v>
      </c>
      <c r="N32" s="34">
        <f>+M32/$M$20</f>
        <v>0.74819832475141368</v>
      </c>
      <c r="O32" s="34">
        <f>IF(K32=0,"",(M32-K32)/ABS(K32)+1)</f>
        <v>0.89956912661753818</v>
      </c>
      <c r="P32" s="32">
        <f>SUM(P30:P31)</f>
        <v>53862.99</v>
      </c>
      <c r="Q32" s="34">
        <f>+P32/$P$20</f>
        <v>0.72313671398657542</v>
      </c>
      <c r="R32" s="34">
        <f>IF(P32=0,"",(M32-P32)/ABS(P32))</f>
        <v>-5.2682370585071449E-2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7762</v>
      </c>
      <c r="D34" s="34">
        <f>+C34/$C$20</f>
        <v>0.91392911809725652</v>
      </c>
      <c r="E34" s="32">
        <f>E28+E32</f>
        <v>7659.21</v>
      </c>
      <c r="F34" s="34">
        <f>+E34/$E$20</f>
        <v>1.096436214757607</v>
      </c>
      <c r="G34" s="34">
        <f>IF(C34=0,"",(E34-C34)/ABS(C34)+1)</f>
        <v>0.98675727905179078</v>
      </c>
      <c r="H34" s="32">
        <f>H28+H32</f>
        <v>7340.92</v>
      </c>
      <c r="I34" s="34">
        <f>+H34/$H$20</f>
        <v>0.76656203466431083</v>
      </c>
      <c r="J34" s="34">
        <f>IF(H34=0,"",(E34-H34)/ABS(H34))</f>
        <v>4.3358325659454126E-2</v>
      </c>
      <c r="K34" s="32">
        <f>K28+K32</f>
        <v>73088</v>
      </c>
      <c r="L34" s="34">
        <f>+K34/$K$20</f>
        <v>0.96350980805737185</v>
      </c>
      <c r="M34" s="32">
        <f>M28+M32</f>
        <v>66235.240000000005</v>
      </c>
      <c r="N34" s="34">
        <f>+M34/$M$20</f>
        <v>0.97122481071192501</v>
      </c>
      <c r="O34" s="34">
        <f>IF(K34=0,"",(M34-K34)/ABS(K34)+1)</f>
        <v>0.90623960157618222</v>
      </c>
      <c r="P34" s="32">
        <f>P28+P32</f>
        <v>69785.01999999999</v>
      </c>
      <c r="Q34" s="34">
        <f>+P34/$P$20</f>
        <v>0.93689767404831104</v>
      </c>
      <c r="R34" s="34">
        <f>IF(P34=0,"",(M34-P34)/ABS(P34))</f>
        <v>-5.0867363798132961E-2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599</v>
      </c>
      <c r="D36" s="45">
        <f>+C36/$C$20</f>
        <v>7.0528670669963503E-2</v>
      </c>
      <c r="E36" s="69">
        <f>E24-E34</f>
        <v>-673.66000000000076</v>
      </c>
      <c r="F36" s="45">
        <f>+E36/$E$20</f>
        <v>-9.64362147576069E-2</v>
      </c>
      <c r="G36" s="45">
        <f>IF(C36=0,"",(E36-C36)/ABS(C36)+1)</f>
        <v>-1.1246410684474135</v>
      </c>
      <c r="H36" s="69">
        <f>H24-H34</f>
        <v>1511.3400000000001</v>
      </c>
      <c r="I36" s="45">
        <f>+H36/$H$20</f>
        <v>0.15781889265508406</v>
      </c>
      <c r="J36" s="45">
        <f>IF(H36=0,"",(E36-H36)/ABS(H36))</f>
        <v>-1.4457368957349113</v>
      </c>
      <c r="K36" s="69">
        <f>K24-K34</f>
        <v>1763</v>
      </c>
      <c r="L36" s="45">
        <f>+K36/$K$20</f>
        <v>2.3241404766926807E-2</v>
      </c>
      <c r="M36" s="69">
        <f>M24-M34</f>
        <v>1340.7399999999907</v>
      </c>
      <c r="N36" s="45">
        <f>+M36/$M$20</f>
        <v>1.965962458524944E-2</v>
      </c>
      <c r="O36" s="45">
        <f>IF(K36=0,"",(M36-K36)/ABS(K36)+1)</f>
        <v>0.76048780487804346</v>
      </c>
      <c r="P36" s="69">
        <f>P24-P34</f>
        <v>3712.5599999999977</v>
      </c>
      <c r="Q36" s="45">
        <f>+P36/$P$20</f>
        <v>4.9842915123686944E-2</v>
      </c>
      <c r="R36" s="45">
        <f>IF(P36=0,"",(M36-P36)/ABS(P36))</f>
        <v>-0.63886374900338538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2" t="s">
        <v>108</v>
      </c>
      <c r="V37" s="54" t="s">
        <v>8</v>
      </c>
      <c r="W37" s="54" t="s">
        <v>109</v>
      </c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5451.75</v>
      </c>
      <c r="F38" s="34">
        <f>+E38/$E$20</f>
        <v>0.78043246415815515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5470.85</v>
      </c>
      <c r="N38" s="34">
        <f>+M38/$M$20</f>
        <v>8.0220517894754137E-2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U38" s="2" t="s">
        <v>110</v>
      </c>
      <c r="V38" s="55">
        <f>+V30</f>
        <v>13467.283623711111</v>
      </c>
      <c r="W38" s="55">
        <f>+W30</f>
        <v>22357.51</v>
      </c>
      <c r="X38" s="96">
        <f>+W38/V38</f>
        <v>1.6601350817796954</v>
      </c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9.8000000000000007</v>
      </c>
      <c r="F39" s="34">
        <f>+E39/$E$20</f>
        <v>1.4028959781262752E-3</v>
      </c>
      <c r="G39" s="34" t="str">
        <f>IF(C39=0,"",(E39-C39)/ABS(C39)+1)</f>
        <v/>
      </c>
      <c r="H39" s="32">
        <v>0</v>
      </c>
      <c r="I39" s="34">
        <f>+H39/$H$20</f>
        <v>0</v>
      </c>
      <c r="J39" s="34" t="str">
        <f>IF(H39=0,"",(E39-H39)/ABS(H39))</f>
        <v/>
      </c>
      <c r="K39" s="32">
        <v>0</v>
      </c>
      <c r="L39" s="34">
        <f>+K39/$K$20</f>
        <v>0</v>
      </c>
      <c r="M39" s="32">
        <v>54.52</v>
      </c>
      <c r="N39" s="34">
        <f>+M39/$M$20</f>
        <v>7.994411536821509E-4</v>
      </c>
      <c r="O39" s="34" t="str">
        <f>IF(K39=0,"",(M39-K39)/ABS(K39)+1)</f>
        <v/>
      </c>
      <c r="P39" s="32">
        <v>11.31</v>
      </c>
      <c r="Q39" s="34">
        <f>+P39/$P$20</f>
        <v>1.5184222478529632E-4</v>
      </c>
      <c r="R39" s="34">
        <f>IF(P39=0,"",(M39-P39)/ABS(P39))</f>
        <v>3.8205128205128203</v>
      </c>
      <c r="S39" s="34"/>
      <c r="T39" s="63"/>
      <c r="U39" s="2" t="s">
        <v>111</v>
      </c>
      <c r="V39" s="55">
        <f>+'VENEZUELA USD'!W24</f>
        <v>0</v>
      </c>
      <c r="W39" s="55">
        <f>+'VENEZUELA USD'!Y24</f>
        <v>0</v>
      </c>
    </row>
    <row r="40" spans="1:34" x14ac:dyDescent="0.2">
      <c r="J40" s="34"/>
      <c r="R40" s="34"/>
      <c r="S40" s="34"/>
      <c r="U40" s="2" t="s">
        <v>112</v>
      </c>
      <c r="V40" s="55">
        <f>+'PANAMA USD'!U30</f>
        <v>0</v>
      </c>
      <c r="W40" s="55">
        <f>+'PANAMA USD'!V30</f>
        <v>0</v>
      </c>
      <c r="AG40" s="55"/>
    </row>
    <row r="41" spans="1:34" x14ac:dyDescent="0.2">
      <c r="B41" s="3" t="s">
        <v>58</v>
      </c>
      <c r="C41" s="32">
        <f>C36+C38-C39</f>
        <v>599</v>
      </c>
      <c r="D41" s="34">
        <f>+C41/$C$20</f>
        <v>7.0528670669963503E-2</v>
      </c>
      <c r="E41" s="32">
        <f>E36+E38-E39</f>
        <v>4768.2899999999991</v>
      </c>
      <c r="F41" s="34">
        <f>+E41/$E$20</f>
        <v>0.68259335342242189</v>
      </c>
      <c r="G41" s="34">
        <f>IF(C41=0,"",(E41-C41)/ABS(C41)+1)</f>
        <v>7.9604173622704488</v>
      </c>
      <c r="H41" s="32">
        <f>H36+H38-H39</f>
        <v>1511.3400000000001</v>
      </c>
      <c r="I41" s="34">
        <f>+H41/$H$20</f>
        <v>0.15781889265508406</v>
      </c>
      <c r="J41" s="34">
        <f>IF(H41=0,"",(E41-H41)/ABS(H41))</f>
        <v>2.1550081384731423</v>
      </c>
      <c r="K41" s="32">
        <f>K36+K38-K39</f>
        <v>1763</v>
      </c>
      <c r="L41" s="34">
        <f>+K41/$K$20</f>
        <v>2.3241404766926807E-2</v>
      </c>
      <c r="M41" s="32">
        <f>M36+M38-M39</f>
        <v>6757.0699999999906</v>
      </c>
      <c r="N41" s="34">
        <f>+M41/$M$20</f>
        <v>9.9080701326321421E-2</v>
      </c>
      <c r="O41" s="34">
        <f>IF(K41=0,"",(M41-K41)/ABS(K41)+1)</f>
        <v>3.8327112875779865</v>
      </c>
      <c r="P41" s="32">
        <f>P36+P38-P39</f>
        <v>3701.2499999999977</v>
      </c>
      <c r="Q41" s="34">
        <f>+P41/$P$20</f>
        <v>4.969107289890165E-2</v>
      </c>
      <c r="R41" s="34">
        <f>IF(P41=0,"",(M41-P41)/ABS(P41))</f>
        <v>0.8256183721715622</v>
      </c>
      <c r="S41" s="34"/>
      <c r="T41" s="63"/>
      <c r="U41" s="2" t="s">
        <v>113</v>
      </c>
      <c r="V41" s="55">
        <f>SUM(V38:V40)</f>
        <v>13467.283623711111</v>
      </c>
      <c r="W41" s="55">
        <f>SUM(W38:W40)</f>
        <v>22357.51</v>
      </c>
      <c r="X41" s="2" t="s">
        <v>114</v>
      </c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0</v>
      </c>
      <c r="L42" s="34">
        <f>+K42/$K$20</f>
        <v>0</v>
      </c>
      <c r="M42" s="32">
        <v>362.9</v>
      </c>
      <c r="N42" s="34">
        <f>+M42/$M$20</f>
        <v>5.3212985082768255E-3</v>
      </c>
      <c r="O42" s="34" t="str">
        <f>IF(K42=0,"",(M42-K42)/ABS(K42)+1)</f>
        <v/>
      </c>
      <c r="P42" s="32">
        <v>547.48</v>
      </c>
      <c r="Q42" s="34">
        <f>+P42/$P$20</f>
        <v>7.3501840163973505E-3</v>
      </c>
      <c r="R42" s="34">
        <f>IF(P42=0,"",(M42-P42)/ABS(P42))</f>
        <v>-0.33714473588076282</v>
      </c>
      <c r="S42" s="34"/>
      <c r="T42" s="63"/>
      <c r="U42" s="2" t="s">
        <v>115</v>
      </c>
      <c r="V42" s="55">
        <f>+V41-V39</f>
        <v>13467.283623711111</v>
      </c>
      <c r="W42" s="55">
        <f>+W41-W39</f>
        <v>22357.51</v>
      </c>
      <c r="X42" s="97">
        <f>+W42/V42</f>
        <v>1.6601350817796954</v>
      </c>
    </row>
    <row r="43" spans="1:34" x14ac:dyDescent="0.2">
      <c r="B43" s="20" t="s">
        <v>59</v>
      </c>
      <c r="C43" s="69">
        <f>C41-C42</f>
        <v>599</v>
      </c>
      <c r="D43" s="45">
        <f>+C43/$C$20</f>
        <v>7.0528670669963503E-2</v>
      </c>
      <c r="E43" s="69">
        <f>E41-E42</f>
        <v>4768.2899999999991</v>
      </c>
      <c r="F43" s="45">
        <f>+E43/$E$20</f>
        <v>0.68259335342242189</v>
      </c>
      <c r="G43" s="45">
        <f>IF(C43=0,"",(E43-C43)/ABS(C43)+1)</f>
        <v>7.9604173622704488</v>
      </c>
      <c r="H43" s="69">
        <f>H41-H42</f>
        <v>1511.3400000000001</v>
      </c>
      <c r="I43" s="45">
        <f>+H43/$H$20</f>
        <v>0.15781889265508406</v>
      </c>
      <c r="J43" s="45">
        <f>IF(H43=0,"",(E43-H43)/ABS(H43))</f>
        <v>2.1550081384731423</v>
      </c>
      <c r="K43" s="69">
        <f>K41-K42</f>
        <v>1763</v>
      </c>
      <c r="L43" s="45">
        <f>+K43/$K$20</f>
        <v>2.3241404766926807E-2</v>
      </c>
      <c r="M43" s="69">
        <f>M41-M42</f>
        <v>6394.169999999991</v>
      </c>
      <c r="N43" s="45">
        <f>+M43/$M$20</f>
        <v>9.3759402818044596E-2</v>
      </c>
      <c r="O43" s="45">
        <f>IF(K43=0,"",(M43-K43)/ABS(K43)+1)</f>
        <v>3.626868973340891</v>
      </c>
      <c r="P43" s="69">
        <f>P41-P42</f>
        <v>3153.7699999999977</v>
      </c>
      <c r="Q43" s="45">
        <f>+P43/$P$20</f>
        <v>4.2340888882504299E-2</v>
      </c>
      <c r="R43" s="45">
        <f>IF(P43=0,"",(M43-P43)/ABS(P43))</f>
        <v>1.0274687120493871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884</v>
      </c>
      <c r="D45" s="34">
        <f>+C45/$C$20</f>
        <v>0.10408571764982927</v>
      </c>
      <c r="E45" s="32">
        <v>-344.50000000000074</v>
      </c>
      <c r="F45" s="34">
        <f>+E45/$E$20</f>
        <v>-4.931608821066355E-2</v>
      </c>
      <c r="G45" s="34">
        <f>IF(C45=0,"",(E45-C45)/ABS(C45)+1)</f>
        <v>-0.38970588235294201</v>
      </c>
      <c r="H45" s="32">
        <v>1782.2700000000002</v>
      </c>
      <c r="I45" s="34">
        <f>+H45/$H$20</f>
        <v>0.18611025832200345</v>
      </c>
      <c r="J45" s="34">
        <f>IF(H45=0,"",(E45-H45)/ABS(H45))</f>
        <v>-1.1932928231973834</v>
      </c>
      <c r="K45" s="32">
        <v>4340</v>
      </c>
      <c r="L45" s="34">
        <f>+K45/$K$20</f>
        <v>5.721366800253111E-2</v>
      </c>
      <c r="M45" s="32">
        <v>3784.9899999999907</v>
      </c>
      <c r="N45" s="34">
        <f>+M45/$M$20</f>
        <v>5.5500307635278738E-2</v>
      </c>
      <c r="O45" s="34">
        <f>IF(K45=0,"",(M45-K45)/ABS(K45)+1)</f>
        <v>0.87211751152073513</v>
      </c>
      <c r="P45" s="32">
        <v>6412.659999999998</v>
      </c>
      <c r="Q45" s="34">
        <f>+P45/$P$20</f>
        <v>8.6093064650015733E-2</v>
      </c>
      <c r="R45" s="34">
        <f>IF(P45=0,"",(M45-P45)/ABS(P45))</f>
        <v>-0.40976287531227418</v>
      </c>
      <c r="S45" s="34"/>
      <c r="T45" s="63"/>
    </row>
    <row r="46" spans="1:34" x14ac:dyDescent="0.2">
      <c r="B46" s="3" t="s">
        <v>35</v>
      </c>
      <c r="C46" s="32">
        <v>5935</v>
      </c>
      <c r="D46" s="34">
        <f>+C46/$C$20</f>
        <v>0.6988107853526434</v>
      </c>
      <c r="E46" s="32">
        <v>4920.58</v>
      </c>
      <c r="F46" s="34">
        <f>+E46/$E$20</f>
        <v>0.70439407061720272</v>
      </c>
      <c r="G46" s="34">
        <f>IF(C46=0,"",(E46-C46)/ABS(C46)+1)</f>
        <v>0.82907834877843301</v>
      </c>
      <c r="H46" s="32">
        <v>5628.55</v>
      </c>
      <c r="I46" s="34">
        <f>+H46/$H$20</f>
        <v>0.58775095494976204</v>
      </c>
      <c r="J46" s="34">
        <f>IF(H46=0,"",(E46-H46)/ABS(H46))</f>
        <v>-0.12578195094651379</v>
      </c>
      <c r="K46" s="32">
        <v>53415</v>
      </c>
      <c r="L46" s="34">
        <f>+K46/$K$20</f>
        <v>0.70416315123391693</v>
      </c>
      <c r="M46" s="32">
        <v>48060.07</v>
      </c>
      <c r="N46" s="34">
        <f>+M46/$M$20</f>
        <v>0.70471749462298106</v>
      </c>
      <c r="O46" s="34">
        <f>IF(K46=0,"",(M46-K46)/ABS(K46)+1)</f>
        <v>0.89974857249836182</v>
      </c>
      <c r="P46" s="32">
        <v>51041.03</v>
      </c>
      <c r="Q46" s="34">
        <f>+P46/$P$20</f>
        <v>0.68525053497197641</v>
      </c>
      <c r="R46" s="34">
        <f>IF(P46=0,"",(M46-P46)/ABS(P46))</f>
        <v>-5.8403210123306668E-2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116</v>
      </c>
      <c r="C56" s="55" t="s">
        <v>117</v>
      </c>
      <c r="E56" s="55" t="s">
        <v>118</v>
      </c>
      <c r="N56" s="55" t="s">
        <v>119</v>
      </c>
      <c r="R56" s="55" t="s">
        <v>120</v>
      </c>
      <c r="S56" s="55"/>
    </row>
    <row r="57" spans="2:19" x14ac:dyDescent="0.2">
      <c r="B57" s="2" t="s">
        <v>110</v>
      </c>
      <c r="C57" s="55">
        <f>+C36</f>
        <v>599</v>
      </c>
      <c r="E57" s="55">
        <f>+E36</f>
        <v>-673.66000000000076</v>
      </c>
      <c r="N57" s="55">
        <f>+K36</f>
        <v>1763</v>
      </c>
      <c r="R57" s="55">
        <f>+M36</f>
        <v>1340.7399999999907</v>
      </c>
      <c r="S57" s="55"/>
    </row>
    <row r="58" spans="2:19" x14ac:dyDescent="0.2">
      <c r="B58" s="2" t="s">
        <v>121</v>
      </c>
      <c r="C58" s="55">
        <f>+'VENEZUELA USD'!C36</f>
        <v>7334.0310002850465</v>
      </c>
      <c r="E58" s="55">
        <f>+'VENEZUELA USD'!E36</f>
        <v>-678.01786542923446</v>
      </c>
      <c r="N58" s="55">
        <f>+'VENEZUELA USD'!K36</f>
        <v>49973.81862727362</v>
      </c>
      <c r="R58" s="55">
        <f>+'VENEZUELA USD'!O36</f>
        <v>3.6393344257231175E-2</v>
      </c>
      <c r="S58" s="55"/>
    </row>
    <row r="59" spans="2:19" x14ac:dyDescent="0.2">
      <c r="B59" s="2" t="s">
        <v>122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-2250</v>
      </c>
      <c r="S59" s="55"/>
    </row>
    <row r="60" spans="2:19" x14ac:dyDescent="0.2">
      <c r="B60" s="2" t="s">
        <v>123</v>
      </c>
      <c r="C60" s="55">
        <f>SUM(C57:C59)</f>
        <v>7933.0310002850465</v>
      </c>
      <c r="E60" s="55">
        <f>SUM(E57:E59)</f>
        <v>-1351.6778654292352</v>
      </c>
      <c r="N60" s="55">
        <f>SUM(N57:N59)</f>
        <v>51736.81862727362</v>
      </c>
      <c r="R60" s="55">
        <f>SUM(R57:R59)</f>
        <v>-909.22360665575206</v>
      </c>
      <c r="S60" s="55"/>
    </row>
    <row r="61" spans="2:19" x14ac:dyDescent="0.2">
      <c r="B61" s="2" t="s">
        <v>124</v>
      </c>
      <c r="C61" s="55">
        <f>+C60-C58</f>
        <v>599</v>
      </c>
      <c r="E61" s="55">
        <f>+E60-E58</f>
        <v>-673.66000000000076</v>
      </c>
    </row>
    <row r="62" spans="2:19" x14ac:dyDescent="0.2">
      <c r="B62" s="79" t="s">
        <v>125</v>
      </c>
    </row>
    <row r="63" spans="2:19" x14ac:dyDescent="0.2">
      <c r="B63" s="2" t="s">
        <v>110</v>
      </c>
      <c r="C63" s="55">
        <f>+C43</f>
        <v>599</v>
      </c>
      <c r="E63" s="55">
        <f>+E43</f>
        <v>4768.2899999999991</v>
      </c>
      <c r="K63" s="2">
        <f>+E63/C63</f>
        <v>7.9604173622704488</v>
      </c>
    </row>
    <row r="64" spans="2:19" x14ac:dyDescent="0.2">
      <c r="B64" s="2" t="s">
        <v>126</v>
      </c>
      <c r="C64" s="55">
        <f>+'VENEZUELA USD'!C43</f>
        <v>0</v>
      </c>
      <c r="E64" s="55">
        <f>+'VENEZUELA USD'!E43</f>
        <v>-681.74802784222754</v>
      </c>
    </row>
    <row r="65" spans="2:6" x14ac:dyDescent="0.2">
      <c r="B65" s="2" t="s">
        <v>122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127</v>
      </c>
      <c r="C66" s="55">
        <f>SUM(C63:C65)</f>
        <v>599</v>
      </c>
      <c r="E66" s="55">
        <f>SUM(E63:E65)</f>
        <v>4086.5419721577714</v>
      </c>
    </row>
    <row r="68" spans="2:6" x14ac:dyDescent="0.2">
      <c r="B68" s="79" t="s">
        <v>128</v>
      </c>
      <c r="C68" s="98">
        <f>+C63+C65</f>
        <v>599</v>
      </c>
      <c r="D68" s="79"/>
      <c r="E68" s="98">
        <f>+E63+E65</f>
        <v>4768.2899999999991</v>
      </c>
      <c r="F68" s="96">
        <f>+E68/C68</f>
        <v>7.9604173622704488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FF4E8-F70A-471C-AA06-CC6C3849D349}">
  <sheetPr>
    <tabColor theme="0" tint="-0.14999847407452621"/>
  </sheetPr>
  <dimension ref="A1:AH48"/>
  <sheetViews>
    <sheetView showGridLines="0" tabSelected="1" topLeftCell="F6" zoomScale="98" zoomScaleNormal="98" workbookViewId="0">
      <selection activeCell="P22" sqref="P22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129</v>
      </c>
      <c r="T3" s="18" t="s">
        <v>129</v>
      </c>
    </row>
    <row r="4" spans="1:34" x14ac:dyDescent="0.2">
      <c r="B4" s="3" t="s">
        <v>103</v>
      </c>
      <c r="C4" s="91"/>
      <c r="S4" s="99"/>
      <c r="T4" s="3" t="s">
        <v>21</v>
      </c>
    </row>
    <row r="5" spans="1:34" ht="15.75" customHeight="1" thickBot="1" x14ac:dyDescent="0.25">
      <c r="B5" s="3" t="s">
        <v>130</v>
      </c>
      <c r="E5" s="100"/>
      <c r="T5" s="3" t="s">
        <v>130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SEPTIEMBRE de 2024</v>
      </c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SEPTIEMBRE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>
        <v>277724</v>
      </c>
      <c r="D10" s="68">
        <f t="shared" ref="D10:D20" si="0">IF($C$20=0," ",C10/$C$20)</f>
        <v>0.57982790808569773</v>
      </c>
      <c r="E10" s="32">
        <v>102610</v>
      </c>
      <c r="F10" s="68">
        <f t="shared" ref="F10:F15" si="1">+E10/$E$20</f>
        <v>0.51201347991126767</v>
      </c>
      <c r="G10" s="68">
        <f t="shared" ref="G10:G15" si="2">IF(C10=0,"",(E10-C10)/ABS(C10)+1)</f>
        <v>0.36946752891359769</v>
      </c>
      <c r="H10" s="32">
        <v>111203</v>
      </c>
      <c r="I10" s="68">
        <f t="shared" ref="I10:I15" si="3">+H10/$H$20</f>
        <v>0.61086600224695942</v>
      </c>
      <c r="J10" s="68">
        <f t="shared" ref="J10:J15" si="4">IF(H10=0,"",(E10-H10)/ABS(H10))</f>
        <v>-7.7273095150310694E-2</v>
      </c>
      <c r="K10" s="32">
        <v>1672843</v>
      </c>
      <c r="L10" s="68">
        <f t="shared" ref="L10:L20" si="5">IF($K$20=0," ",K10/$K$20)</f>
        <v>0.5410148656556123</v>
      </c>
      <c r="M10" s="32">
        <v>885912</v>
      </c>
      <c r="N10" s="68">
        <f t="shared" ref="N10:N15" si="6">+M10/$M$20</f>
        <v>0.42932629197997901</v>
      </c>
      <c r="O10" s="68">
        <f>IF(K10=0,"",(M10-K10)/ABS(K10)+1)</f>
        <v>0.52958466514789493</v>
      </c>
      <c r="P10" s="32">
        <v>766006</v>
      </c>
      <c r="Q10" s="68">
        <f t="shared" ref="Q10:Q15" si="7">+P10/$P$20</f>
        <v>0.47117342941226531</v>
      </c>
      <c r="R10" s="68">
        <f t="shared" ref="R10:R15" si="8">IF(P10=0,"",(M10-P10)/ABS(P10))</f>
        <v>0.1565340219267212</v>
      </c>
      <c r="T10" s="3" t="s">
        <v>31</v>
      </c>
      <c r="U10" s="32">
        <v>236652</v>
      </c>
      <c r="V10" s="32">
        <v>262999.15000000002</v>
      </c>
      <c r="W10" s="32">
        <v>146374.92000000001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>
        <v>31881.599999999995</v>
      </c>
      <c r="D11" s="68">
        <f t="shared" si="0"/>
        <v>6.6561915550780559E-2</v>
      </c>
      <c r="E11" s="32">
        <v>26718.84</v>
      </c>
      <c r="F11" s="68">
        <f t="shared" si="1"/>
        <v>0.13332429829054063</v>
      </c>
      <c r="G11" s="68">
        <f t="shared" si="2"/>
        <v>0.83806458897922331</v>
      </c>
      <c r="H11" s="32">
        <v>6026.58</v>
      </c>
      <c r="I11" s="68">
        <f t="shared" si="3"/>
        <v>3.3105517223649371E-2</v>
      </c>
      <c r="J11" s="68">
        <f t="shared" si="4"/>
        <v>3.4334995967862372</v>
      </c>
      <c r="K11" s="32">
        <v>241719.16768000001</v>
      </c>
      <c r="L11" s="68">
        <f t="shared" si="5"/>
        <v>7.8174498759765038E-2</v>
      </c>
      <c r="M11" s="32">
        <v>263222.77</v>
      </c>
      <c r="N11" s="68">
        <f t="shared" si="6"/>
        <v>0.12756171697504817</v>
      </c>
      <c r="O11" s="68">
        <f>IF(K11=0,"",(M11-K11)/ABS(K11)+1)</f>
        <v>1.0889610969886656</v>
      </c>
      <c r="P11" s="32">
        <v>285651.21000000002</v>
      </c>
      <c r="Q11" s="68">
        <f t="shared" si="7"/>
        <v>0.17570522976512348</v>
      </c>
      <c r="R11" s="68">
        <f t="shared" si="8"/>
        <v>-7.8516873777639523E-2</v>
      </c>
      <c r="T11" s="3" t="s">
        <v>32</v>
      </c>
      <c r="U11" s="32"/>
      <c r="V11" s="32">
        <v>156855.04999999999</v>
      </c>
      <c r="W11" s="32">
        <v>189761.68</v>
      </c>
      <c r="X11" s="32">
        <f>+AD8+U11</f>
        <v>0</v>
      </c>
      <c r="Y11" s="32">
        <v>1983590</v>
      </c>
      <c r="Z11" s="63">
        <f>+Y11-X11</f>
        <v>1983590</v>
      </c>
      <c r="AA11" s="68" t="str">
        <f>IF(X11=0,"",(Y11-X11)/ABS(X11)+1)</f>
        <v/>
      </c>
      <c r="AB11" s="32">
        <v>1419683</v>
      </c>
      <c r="AC11" s="68">
        <f>IF(AB11=0,"",(Y11-AB11)/ABS(AB11))</f>
        <v>0.39720627773946721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>
        <v>83888.46</v>
      </c>
      <c r="D12" s="68">
        <f t="shared" si="0"/>
        <v>0.17514104029299138</v>
      </c>
      <c r="E12" s="32">
        <v>33593.24</v>
      </c>
      <c r="F12" s="68">
        <f t="shared" si="1"/>
        <v>0.16762685619232426</v>
      </c>
      <c r="G12" s="68">
        <f t="shared" si="2"/>
        <v>0.40045126588329305</v>
      </c>
      <c r="H12" s="32">
        <v>30101.58</v>
      </c>
      <c r="I12" s="68">
        <f t="shared" si="3"/>
        <v>0.16535553749374596</v>
      </c>
      <c r="J12" s="68">
        <f t="shared" si="4"/>
        <v>0.1159959045339147</v>
      </c>
      <c r="K12" s="32">
        <v>604844.95107249997</v>
      </c>
      <c r="L12" s="68">
        <f t="shared" si="5"/>
        <v>0.19561316270980836</v>
      </c>
      <c r="M12" s="32">
        <v>337074.04999999993</v>
      </c>
      <c r="N12" s="68">
        <f t="shared" si="6"/>
        <v>0.16335115904195227</v>
      </c>
      <c r="O12" s="68">
        <f>IF(K12=0,"",(M12-K12)/ABS(K12)+1)</f>
        <v>0.5572900119316635</v>
      </c>
      <c r="P12" s="32">
        <v>238752.97999999998</v>
      </c>
      <c r="Q12" s="68">
        <f t="shared" si="7"/>
        <v>0.1468579363203395</v>
      </c>
      <c r="R12" s="68">
        <f t="shared" si="8"/>
        <v>0.41181085991052324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>
        <v>31881.599999999995</v>
      </c>
      <c r="D13" s="68">
        <f t="shared" si="0"/>
        <v>6.6561915550780559E-2</v>
      </c>
      <c r="E13" s="32">
        <v>0</v>
      </c>
      <c r="F13" s="68">
        <f t="shared" si="1"/>
        <v>0</v>
      </c>
      <c r="G13" s="68">
        <f t="shared" si="2"/>
        <v>0</v>
      </c>
      <c r="H13" s="32">
        <v>1199.4000000000001</v>
      </c>
      <c r="I13" s="68">
        <f t="shared" si="3"/>
        <v>6.588605371213036E-3</v>
      </c>
      <c r="J13" s="68">
        <f t="shared" si="4"/>
        <v>-1</v>
      </c>
      <c r="K13" s="32">
        <v>189902.57167999999</v>
      </c>
      <c r="L13" s="68">
        <f t="shared" si="5"/>
        <v>6.141647142326595E-2</v>
      </c>
      <c r="M13" s="32">
        <v>251986.59</v>
      </c>
      <c r="N13" s="68">
        <f t="shared" si="6"/>
        <v>0.12211649499428755</v>
      </c>
      <c r="O13" s="68">
        <f>IF(K13=0,"",(M13-K13)/ABS(K13)+1)</f>
        <v>1.3269256322901</v>
      </c>
      <c r="P13" s="32">
        <v>83547.320000000007</v>
      </c>
      <c r="Q13" s="68">
        <f t="shared" si="7"/>
        <v>5.139029887834292E-2</v>
      </c>
      <c r="R13" s="68">
        <f t="shared" si="8"/>
        <v>2.0160942325857967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>
        <v>53600.94</v>
      </c>
      <c r="D15" s="68">
        <f t="shared" si="0"/>
        <v>0.11190722051974983</v>
      </c>
      <c r="E15" s="32">
        <v>37482.800000000003</v>
      </c>
      <c r="F15" s="68">
        <f t="shared" si="1"/>
        <v>0.1870353656058675</v>
      </c>
      <c r="G15" s="68">
        <f t="shared" si="2"/>
        <v>0.6992937064163427</v>
      </c>
      <c r="H15" s="32">
        <v>33511</v>
      </c>
      <c r="I15" s="68">
        <f t="shared" si="3"/>
        <v>0.18408433766443225</v>
      </c>
      <c r="J15" s="68">
        <f t="shared" si="4"/>
        <v>0.11852227626749434</v>
      </c>
      <c r="K15" s="32">
        <v>382736.58443799999</v>
      </c>
      <c r="L15" s="68">
        <f t="shared" si="5"/>
        <v>0.12378100145154834</v>
      </c>
      <c r="M15" s="32">
        <v>325298.05999999994</v>
      </c>
      <c r="N15" s="68">
        <f t="shared" si="6"/>
        <v>0.15764433700873304</v>
      </c>
      <c r="O15" s="68"/>
      <c r="P15" s="32">
        <v>251783.57</v>
      </c>
      <c r="Q15" s="68">
        <f t="shared" si="7"/>
        <v>0.15487310562392875</v>
      </c>
      <c r="R15" s="68">
        <f t="shared" si="8"/>
        <v>0.29197492910280021</v>
      </c>
      <c r="T15" s="3" t="s">
        <v>35</v>
      </c>
      <c r="U15" s="32"/>
      <c r="V15" s="32">
        <v>111005.41</v>
      </c>
      <c r="W15" s="32">
        <v>49789.56</v>
      </c>
      <c r="X15" s="32">
        <f>+AD11+U15</f>
        <v>0</v>
      </c>
      <c r="Y15" s="32">
        <v>749673</v>
      </c>
      <c r="Z15" s="63">
        <f>+X15-Y15</f>
        <v>-749673</v>
      </c>
      <c r="AA15" s="68" t="str">
        <f>IF(X15=0,"",(Y15-X15)/ABS(X15)+1)</f>
        <v/>
      </c>
      <c r="AB15" s="32">
        <v>326823</v>
      </c>
      <c r="AC15" s="68">
        <f>IF(AB15=0,"",(Y15-AB15)/ABS(AB15))</f>
        <v>1.2938195904205028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>
        <f t="shared" si="0"/>
        <v>0</v>
      </c>
      <c r="E16" s="32"/>
      <c r="F16" s="68"/>
      <c r="G16" s="68"/>
      <c r="H16" s="32"/>
      <c r="I16" s="68"/>
      <c r="J16" s="68"/>
      <c r="K16" s="32"/>
      <c r="L16" s="68">
        <f t="shared" si="5"/>
        <v>0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100314.37</v>
      </c>
      <c r="W16" s="32">
        <v>70474.080000000002</v>
      </c>
      <c r="X16" s="32">
        <f>+AD13+U16</f>
        <v>0</v>
      </c>
      <c r="Y16" s="32">
        <v>880471</v>
      </c>
      <c r="Z16" s="63">
        <f>+X16-Y16</f>
        <v>-880471</v>
      </c>
      <c r="AA16" s="68" t="str">
        <f>IF(X16=0,"",(Y16-X16)/ABS(X16)+1)</f>
        <v/>
      </c>
      <c r="AB16" s="32">
        <v>749514</v>
      </c>
      <c r="AC16" s="68">
        <f>IF(AB16=0,"",(Y16-AB16)/ABS(AB16))</f>
        <v>0.17472255354803246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>
        <f t="shared" si="0"/>
        <v>0</v>
      </c>
      <c r="E17" s="32"/>
      <c r="F17" s="68"/>
      <c r="G17" s="68"/>
      <c r="H17" s="32"/>
      <c r="I17" s="68"/>
      <c r="J17" s="68"/>
      <c r="K17" s="32"/>
      <c r="L17" s="68">
        <f t="shared" si="5"/>
        <v>0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211319.78</v>
      </c>
      <c r="W17" s="32">
        <v>120263.64</v>
      </c>
      <c r="X17" s="32">
        <f>X13+X14+X15+X16</f>
        <v>0</v>
      </c>
      <c r="Y17" s="32">
        <f>Y13+Y14+Y15+Y16</f>
        <v>1630144</v>
      </c>
      <c r="Z17" s="63">
        <f>+Y17-X17</f>
        <v>1630144</v>
      </c>
      <c r="AA17" s="68" t="str">
        <f>IF(X17=0,"",(Y17-X17)/ABS(X17)+1)</f>
        <v/>
      </c>
      <c r="AB17" s="32">
        <v>1076337</v>
      </c>
      <c r="AC17" s="68">
        <f>IF(AB17=0,"",(Y17-AB17)/ABS(AB17))</f>
        <v>0.51452937137718024</v>
      </c>
      <c r="AD17" s="67"/>
      <c r="AE17" s="67"/>
      <c r="AF17" s="67"/>
      <c r="AG17" s="67"/>
      <c r="AH17" s="67"/>
    </row>
    <row r="18" spans="2:34" x14ac:dyDescent="0.2">
      <c r="B18" s="3" t="s">
        <v>131</v>
      </c>
      <c r="C18" s="32"/>
      <c r="D18" s="68">
        <f t="shared" si="0"/>
        <v>0</v>
      </c>
      <c r="E18" s="32"/>
      <c r="F18" s="68"/>
      <c r="G18" s="68"/>
      <c r="H18" s="32"/>
      <c r="I18" s="68"/>
      <c r="J18" s="68"/>
      <c r="K18" s="32"/>
      <c r="L18" s="68">
        <f t="shared" si="5"/>
        <v>0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>
        <f t="shared" si="0"/>
        <v>0</v>
      </c>
      <c r="E19" s="32"/>
      <c r="F19" s="68"/>
      <c r="G19" s="68"/>
      <c r="H19" s="32"/>
      <c r="I19" s="68"/>
      <c r="J19" s="68"/>
      <c r="K19" s="32"/>
      <c r="L19" s="68">
        <f t="shared" si="5"/>
        <v>0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-54464.73000000001</v>
      </c>
      <c r="W19" s="32">
        <v>69498.039999999994</v>
      </c>
      <c r="X19" s="32">
        <f>X11-X17</f>
        <v>0</v>
      </c>
      <c r="Y19" s="32">
        <f>+Y11-Y17</f>
        <v>353446</v>
      </c>
      <c r="Z19" s="63">
        <f>+Y19-X19</f>
        <v>353446</v>
      </c>
      <c r="AA19" s="68" t="str">
        <f>IF(X19=0,"",(Y19-X19)/ABS(X19)+1)</f>
        <v/>
      </c>
      <c r="AB19" s="32">
        <v>343346</v>
      </c>
      <c r="AC19" s="68">
        <f>IF(AB19=0,"",(Y19-AB19)/ABS(AB19))</f>
        <v>2.9416390463264462E-2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478976.6</v>
      </c>
      <c r="D20" s="68">
        <f t="shared" si="0"/>
        <v>1</v>
      </c>
      <c r="E20" s="32">
        <f>SUM(E10:E16)</f>
        <v>200404.88</v>
      </c>
      <c r="F20" s="68">
        <f>+E20/$E$20</f>
        <v>1</v>
      </c>
      <c r="G20" s="68">
        <f>IF(C20=0,"",(E20-C20)/ABS(C20)+1)</f>
        <v>0.41840223509875019</v>
      </c>
      <c r="H20" s="32">
        <v>182041.56</v>
      </c>
      <c r="I20" s="68">
        <f>+H20/$H$20</f>
        <v>1</v>
      </c>
      <c r="J20" s="68">
        <f>IF(H20=0,"",(E20-H20)/ABS(H20))</f>
        <v>0.100874327818329</v>
      </c>
      <c r="K20" s="32">
        <f>SUM(K10:K16)</f>
        <v>3092046.2748705</v>
      </c>
      <c r="L20" s="68">
        <f t="shared" si="5"/>
        <v>1</v>
      </c>
      <c r="M20" s="32">
        <f>SUM(M10:M19)</f>
        <v>2063493.4699999997</v>
      </c>
      <c r="N20" s="68">
        <f>+M20/$M$20</f>
        <v>1</v>
      </c>
      <c r="O20" s="68">
        <f>IF(K20=0,"",(M20-K20)/ABS(K20)+1)</f>
        <v>0.66735530020048683</v>
      </c>
      <c r="P20" s="32">
        <v>1625741.08</v>
      </c>
      <c r="Q20" s="68">
        <f>+P20/$P$20</f>
        <v>1</v>
      </c>
      <c r="R20" s="68">
        <f>IF(P20=0,"",(M20-P20)/ABS(P20))</f>
        <v>0.26926328883809691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208534.42</v>
      </c>
      <c r="W21" s="32">
        <v>215872.96000000002</v>
      </c>
      <c r="X21" s="32">
        <f>+X10+X19</f>
        <v>236652</v>
      </c>
      <c r="Y21" s="32">
        <f>+Y10+Y19</f>
        <v>607425</v>
      </c>
      <c r="Z21" s="63">
        <f>+Y21-X21</f>
        <v>370773</v>
      </c>
      <c r="AA21" s="68">
        <f>IF(X21=0,"",(Y21-X21)/ABS(X21)+1)</f>
        <v>2.5667435728411339</v>
      </c>
      <c r="AB21" s="32">
        <v>380372</v>
      </c>
      <c r="AC21" s="68">
        <f>IF(AB21=0,"",(Y21-AB21)/ABS(AB21))</f>
        <v>0.59692353801015852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>
        <f>IF($C$20=0," ",C22/$C$20)</f>
        <v>0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>
        <f>IF($K$20=0," ",K22/$K$20)</f>
        <v>0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478976.6</v>
      </c>
      <c r="D24" s="68">
        <f>IF($C$20=0," ",C24/$C$20)</f>
        <v>1</v>
      </c>
      <c r="E24" s="32">
        <f>+E20-E22</f>
        <v>200404.88</v>
      </c>
      <c r="F24" s="68">
        <f>+E24/$E$20</f>
        <v>1</v>
      </c>
      <c r="G24" s="68">
        <f>IF(C24=0,"",(E24-C24)/ABS(C24)+1)</f>
        <v>0.41840223509875019</v>
      </c>
      <c r="H24" s="32">
        <v>182041.56</v>
      </c>
      <c r="I24" s="68">
        <f>+H24/$H$20</f>
        <v>1</v>
      </c>
      <c r="J24" s="68">
        <f>IF(H24=0,"",(E24-H24)/ABS(H24))</f>
        <v>0.100874327818329</v>
      </c>
      <c r="K24" s="32">
        <f>+K20-K22</f>
        <v>3092046.2748705</v>
      </c>
      <c r="L24" s="68">
        <f>IF($K$20=0," ",K24/$K$20)</f>
        <v>1</v>
      </c>
      <c r="M24" s="32">
        <f>+M20-M22</f>
        <v>2063493.4699999997</v>
      </c>
      <c r="N24" s="68">
        <f>+M24/$M$20</f>
        <v>1</v>
      </c>
      <c r="O24" s="68">
        <f>IF(K24=0,"",(M24-K24)/ABS(K24)+1)</f>
        <v>0.66735530020048683</v>
      </c>
      <c r="P24" s="32">
        <v>1625741.08</v>
      </c>
      <c r="Q24" s="68">
        <f>+P24/$P$20</f>
        <v>1</v>
      </c>
      <c r="R24" s="68">
        <f>IF(P24=0,"",(M24-P24)/ABS(P24))</f>
        <v>0.26926328883809691</v>
      </c>
    </row>
    <row r="25" spans="2:34" x14ac:dyDescent="0.2">
      <c r="T25" s="3" t="s">
        <v>44</v>
      </c>
      <c r="U25" s="32"/>
      <c r="V25" s="32">
        <v>24257.35</v>
      </c>
      <c r="W25" s="32">
        <v>7013.69</v>
      </c>
      <c r="X25" s="32">
        <f>+AD22+U25</f>
        <v>0</v>
      </c>
      <c r="Y25" s="32">
        <f>400549+41392</f>
        <v>441941</v>
      </c>
      <c r="Z25" s="63">
        <f>+Y25-X25</f>
        <v>441941</v>
      </c>
      <c r="AA25" s="68" t="str">
        <f>IF(X25=0,"",(Y25-X25)/ABS(X25)+1)</f>
        <v/>
      </c>
      <c r="AB25" s="32">
        <v>171513</v>
      </c>
      <c r="AC25" s="68">
        <f>IF(AB25=0,"",(Y25-AB25)/ABS(AB25))</f>
        <v>1.5767201320016559</v>
      </c>
      <c r="AD25" s="67"/>
      <c r="AE25" s="67"/>
      <c r="AF25" s="67"/>
    </row>
    <row r="26" spans="2:34" x14ac:dyDescent="0.2">
      <c r="B26" s="3" t="s">
        <v>45</v>
      </c>
      <c r="C26" s="32">
        <v>12324.517159500001</v>
      </c>
      <c r="D26" s="68">
        <f>IF($C$20=0," ",C26/$C$20)</f>
        <v>2.5730937919514234E-2</v>
      </c>
      <c r="E26" s="32">
        <v>3856.62</v>
      </c>
      <c r="F26" s="68">
        <f>+E26/$E$20</f>
        <v>1.92441421586141E-2</v>
      </c>
      <c r="G26" s="68">
        <f>IF(C26=0,"",(E26-C26)/ABS(C26)+1)</f>
        <v>0.31292260378957204</v>
      </c>
      <c r="H26" s="32">
        <v>2433.08</v>
      </c>
      <c r="I26" s="68">
        <f>+H26/$H$20</f>
        <v>1.3365519390187604E-2</v>
      </c>
      <c r="J26" s="68">
        <f>IF(H26=0,"",(E26-H26)/ABS(H26))</f>
        <v>0.58507735051868415</v>
      </c>
      <c r="K26" s="32">
        <v>79004.366718752004</v>
      </c>
      <c r="L26" s="68">
        <f>IF($K$20=0," ",K26/$K$20)</f>
        <v>2.555083582054762E-2</v>
      </c>
      <c r="M26" s="32">
        <v>33128.110000000008</v>
      </c>
      <c r="N26" s="68">
        <f>+M26/$M$20</f>
        <v>1.6054380826317813E-2</v>
      </c>
      <c r="O26" s="68">
        <f>IF(K26=0,"",(M26-K26)/ABS(K26)+1)</f>
        <v>0.41931998667786197</v>
      </c>
      <c r="P26" s="32">
        <v>36612.32</v>
      </c>
      <c r="Q26" s="68">
        <f>+P26/$P$20</f>
        <v>2.2520388055888949E-2</v>
      </c>
      <c r="R26" s="68">
        <f>IF(P26=0,"",(M26-P26)/ABS(P26))</f>
        <v>-9.5164960865631892E-2</v>
      </c>
      <c r="AF26" s="67"/>
    </row>
    <row r="27" spans="2:34" x14ac:dyDescent="0.2">
      <c r="B27" s="3" t="s">
        <v>46</v>
      </c>
      <c r="C27" s="32">
        <v>44175.235488820967</v>
      </c>
      <c r="D27" s="68">
        <f>IF($C$20=0," ",C27/$C$20)</f>
        <v>9.2228379191845636E-2</v>
      </c>
      <c r="E27" s="32">
        <v>40275.100000000006</v>
      </c>
      <c r="F27" s="68">
        <f>+E27/$E$20</f>
        <v>0.20096865904662603</v>
      </c>
      <c r="G27" s="68">
        <f>IF(C27=0,"",(E27-C27)/ABS(C27)+1)</f>
        <v>0.91171217435144325</v>
      </c>
      <c r="H27" s="32">
        <v>28369.7</v>
      </c>
      <c r="I27" s="68">
        <f>+H27/$H$20</f>
        <v>0.15584188577597335</v>
      </c>
      <c r="J27" s="68">
        <f>IF(H27=0,"",(E27-H27)/ABS(H27))</f>
        <v>0.41965195261141303</v>
      </c>
      <c r="K27" s="32">
        <v>278724.38516957843</v>
      </c>
      <c r="L27" s="68">
        <f>IF($K$20=0," ",K27/$K$20)</f>
        <v>9.0142371876776609E-2</v>
      </c>
      <c r="M27" s="32">
        <v>291751.05999999994</v>
      </c>
      <c r="N27" s="68">
        <f>+M27/$M$20</f>
        <v>0.14138695578232191</v>
      </c>
      <c r="O27" s="68">
        <f>IF(K27=0,"",(M27-K27)/ABS(K27)+1)</f>
        <v>1.0467367604829265</v>
      </c>
      <c r="P27" s="32">
        <v>173569.41</v>
      </c>
      <c r="Q27" s="68">
        <f>+P27/$P$20</f>
        <v>0.10676325531492382</v>
      </c>
      <c r="R27" s="68">
        <f>IF(P27=0,"",(M27-P27)/ABS(P27))</f>
        <v>0.68088985265318314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56499.752648320966</v>
      </c>
      <c r="D28" s="68">
        <f>IF($C$20=0," ",C28/$C$20)</f>
        <v>0.11795931711135986</v>
      </c>
      <c r="E28" s="32">
        <f>SUM(E26:E27)</f>
        <v>44131.720000000008</v>
      </c>
      <c r="F28" s="68">
        <f>+E28/$E$20</f>
        <v>0.22021280120524014</v>
      </c>
      <c r="G28" s="68">
        <f>IF(C28=0,"",(E28-C28)/ABS(C28)+1)</f>
        <v>0.78109580894442188</v>
      </c>
      <c r="H28" s="32">
        <v>30802.78</v>
      </c>
      <c r="I28" s="68">
        <f>+H28/$H$20</f>
        <v>0.16920740516616095</v>
      </c>
      <c r="J28" s="68">
        <f>IF(H28=0,"",(E28-H28)/ABS(H28))</f>
        <v>0.43271873512715442</v>
      </c>
      <c r="K28" s="32">
        <f>+K26+K27</f>
        <v>357728.75188833044</v>
      </c>
      <c r="L28" s="68">
        <f>IF($K$20=0," ",K28/$K$20)</f>
        <v>0.11569320769732423</v>
      </c>
      <c r="M28" s="32">
        <f>SUM(M26:M27)</f>
        <v>324879.16999999993</v>
      </c>
      <c r="N28" s="68">
        <f>+M28/$M$20</f>
        <v>0.15744133660863971</v>
      </c>
      <c r="O28" s="68">
        <f>IF(K28=0,"",(M28-K28)/ABS(K28)+1)</f>
        <v>0.90817181533514268</v>
      </c>
      <c r="P28" s="32">
        <v>210181.73</v>
      </c>
      <c r="Q28" s="68">
        <f>+P28/$P$20</f>
        <v>0.12928364337081277</v>
      </c>
      <c r="R28" s="68">
        <f>IF(P28=0,"",(M28-P28)/ABS(P28))</f>
        <v>0.54570604209985285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>
        <v>316096.73611228552</v>
      </c>
      <c r="D30" s="68">
        <f>IF($C$20=0," ",C30/$C$20)</f>
        <v>0.65994191806506941</v>
      </c>
      <c r="E30" s="32">
        <v>143440.23000000001</v>
      </c>
      <c r="F30" s="68">
        <f>+E30/$E$20</f>
        <v>0.71575218128420826</v>
      </c>
      <c r="G30" s="68">
        <f>IF(C30=0,"",(E30-C30)/ABS(C30)+1)</f>
        <v>0.45378586240462293</v>
      </c>
      <c r="H30" s="32">
        <v>114954.43000000001</v>
      </c>
      <c r="I30" s="68">
        <f>+H30/$H$20</f>
        <v>0.63147354922689092</v>
      </c>
      <c r="J30" s="68">
        <f>IF(H30=0,"",(E30-H30)/ABS(H30))</f>
        <v>0.24780080245711281</v>
      </c>
      <c r="K30" s="32">
        <v>2153871.5828354931</v>
      </c>
      <c r="L30" s="68">
        <f>IF($K$20=0," ",K30/$K$20)</f>
        <v>0.69658452408694982</v>
      </c>
      <c r="M30" s="32">
        <v>1289176.0600000003</v>
      </c>
      <c r="N30" s="68">
        <f>+M30/$M$20</f>
        <v>0.62475412631182226</v>
      </c>
      <c r="O30" s="68">
        <f>IF(K30=0,"",(M30-K30)/ABS(K30)+1)</f>
        <v>0.59853896131674067</v>
      </c>
      <c r="P30" s="32">
        <v>791946.50999999989</v>
      </c>
      <c r="Q30" s="68">
        <f>+P30/$P$20</f>
        <v>0.4871295434079822</v>
      </c>
      <c r="R30" s="68">
        <f>IF(P30=0,"",(M30-P30)/ABS(P30))</f>
        <v>0.62785749254706669</v>
      </c>
      <c r="T30" s="3" t="s">
        <v>51</v>
      </c>
      <c r="U30" s="32">
        <f>+U21-U25-U23+U27</f>
        <v>236652</v>
      </c>
      <c r="V30" s="32">
        <f>+V21-V25-V23+V27</f>
        <v>184277.07</v>
      </c>
      <c r="W30" s="32">
        <v>208859.27000000002</v>
      </c>
      <c r="X30" s="32">
        <f>+X21-X25-X23-X27</f>
        <v>236652</v>
      </c>
      <c r="Y30" s="32">
        <f>+Y21-Y25-Y23+Y27+18793</f>
        <v>184277</v>
      </c>
      <c r="Z30" s="63">
        <f>+Y30-X30</f>
        <v>-52375</v>
      </c>
      <c r="AA30" s="68">
        <f>IF(U30=0,"",(V30-U30)/ABS(U30)+1)</f>
        <v>0.77868376350083668</v>
      </c>
      <c r="AB30" s="32">
        <v>208859</v>
      </c>
      <c r="AC30" s="68">
        <f>IF(AB30=0,"",(Y30-AB30)/ABS(AB30))</f>
        <v>-0.11769662786856204</v>
      </c>
      <c r="AD30" s="55"/>
      <c r="AF30" s="67"/>
    </row>
    <row r="31" spans="2:34" x14ac:dyDescent="0.2">
      <c r="B31" s="3" t="s">
        <v>52</v>
      </c>
      <c r="C31" s="32">
        <v>42435</v>
      </c>
      <c r="D31" s="68">
        <f>IF($C$20=0," ",C31/$C$20)</f>
        <v>8.859514222615468E-2</v>
      </c>
      <c r="E31" s="32">
        <v>42055.5</v>
      </c>
      <c r="F31" s="68">
        <f>+E31/$E$20</f>
        <v>0.20985267424625587</v>
      </c>
      <c r="G31" s="68">
        <f>IF(C31=0,"",(E31-C31)/ABS(C31)+1)</f>
        <v>0.99105691056910572</v>
      </c>
      <c r="H31" s="32">
        <v>32517.25</v>
      </c>
      <c r="I31" s="68">
        <f>+H31/$H$20</f>
        <v>0.17862541938225535</v>
      </c>
      <c r="J31" s="68">
        <f>IF(H31=0,"",(E31-H31)/ABS(H31))</f>
        <v>0.29332892541650968</v>
      </c>
      <c r="K31" s="32">
        <v>377522</v>
      </c>
      <c r="L31" s="68">
        <f>IF($K$20=0," ",K31/$K$20)</f>
        <v>0.12209455048204647</v>
      </c>
      <c r="M31" s="32">
        <v>371051.65</v>
      </c>
      <c r="N31" s="68">
        <f>+M31/$M$20</f>
        <v>0.17981721551074259</v>
      </c>
      <c r="O31" s="68">
        <f>IF(K31=0,"",(M31-K31)/ABS(K31)+1)</f>
        <v>0.98286099882920741</v>
      </c>
      <c r="P31" s="32">
        <v>209330.95</v>
      </c>
      <c r="Q31" s="68">
        <f>+P31/$P$20</f>
        <v>0.12876032510662769</v>
      </c>
      <c r="R31" s="68">
        <f>IF(P31=0,"",(M31-P31)/ABS(P31))</f>
        <v>0.7725599105149048</v>
      </c>
      <c r="T31" s="61"/>
      <c r="U31" s="61"/>
      <c r="V31" s="61" t="s">
        <v>61</v>
      </c>
      <c r="W31" s="61" t="s">
        <v>81</v>
      </c>
      <c r="X31" s="32"/>
      <c r="Y31" s="32" t="s">
        <v>61</v>
      </c>
      <c r="Z31" s="61"/>
      <c r="AA31" s="61"/>
      <c r="AB31" s="32" t="s">
        <v>81</v>
      </c>
      <c r="AC31" s="61"/>
      <c r="AD31" s="55"/>
    </row>
    <row r="32" spans="2:34" x14ac:dyDescent="0.2">
      <c r="B32" s="3" t="s">
        <v>53</v>
      </c>
      <c r="C32" s="32">
        <f>SUM(C30:C31)</f>
        <v>358531.73611228552</v>
      </c>
      <c r="D32" s="68">
        <f>IF($C$20=0," ",C32/$C$20)</f>
        <v>0.74853706029122413</v>
      </c>
      <c r="E32" s="32">
        <f>SUM(E30:E31)</f>
        <v>185495.73</v>
      </c>
      <c r="F32" s="68">
        <f>+E32/$E$20</f>
        <v>0.92560485553046412</v>
      </c>
      <c r="G32" s="68">
        <f>IF(C32=0,"",(E32-C32)/ABS(C32)+1)</f>
        <v>0.5173760404348311</v>
      </c>
      <c r="H32" s="32">
        <v>147471.67999999999</v>
      </c>
      <c r="I32" s="68">
        <f>+H32/$H$20</f>
        <v>0.8100989686091461</v>
      </c>
      <c r="J32" s="68">
        <f>IF(H32=0,"",(E32-H32)/ABS(H32))</f>
        <v>0.25783967470906971</v>
      </c>
      <c r="K32" s="32">
        <f>+K30+K31</f>
        <v>2531393.5828354931</v>
      </c>
      <c r="L32" s="68">
        <f>IF($K$20=0," ",K32/$K$20)</f>
        <v>0.81867907456899625</v>
      </c>
      <c r="M32" s="32">
        <f>+M30+M31</f>
        <v>1660227.7100000004</v>
      </c>
      <c r="N32" s="68">
        <f>+M32/$M$20</f>
        <v>0.80457134182256496</v>
      </c>
      <c r="O32" s="68">
        <f>IF(K32=0,"",(M32-K32)/ABS(K32)+1)</f>
        <v>0.65585522585560452</v>
      </c>
      <c r="P32" s="32">
        <v>1001277.46</v>
      </c>
      <c r="Q32" s="68">
        <f>+P32/$P$20</f>
        <v>0.61588986851460992</v>
      </c>
      <c r="R32" s="68">
        <f>IF(P32=0,"",(M32-P32)/ABS(P32))</f>
        <v>0.65810954138526245</v>
      </c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415031.4887606065</v>
      </c>
      <c r="D34" s="68">
        <f>IF($C$20=0," ",C34/$C$20)</f>
        <v>0.86649637740258401</v>
      </c>
      <c r="E34" s="32">
        <f>E28+E32</f>
        <v>229627.45</v>
      </c>
      <c r="F34" s="68">
        <f>+E34/$E$20</f>
        <v>1.1458176567357043</v>
      </c>
      <c r="G34" s="68">
        <f>IF(C34=0,"",(E34-C34)/ABS(C34)+1)</f>
        <v>0.55327717587339731</v>
      </c>
      <c r="H34" s="32">
        <v>178274.46</v>
      </c>
      <c r="I34" s="68">
        <f>+H34/$H$20</f>
        <v>0.97930637377530705</v>
      </c>
      <c r="J34" s="68">
        <f>IF(H34=0,"",(E34-H34)/ABS(H34))</f>
        <v>0.28805578768826462</v>
      </c>
      <c r="K34" s="32">
        <f>K28+K32</f>
        <v>2889122.3347238237</v>
      </c>
      <c r="L34" s="68">
        <f>IF($K$20=0," ",K34/$K$20)</f>
        <v>0.93437228226632052</v>
      </c>
      <c r="M34" s="32">
        <f>M28+M32</f>
        <v>1985106.8800000004</v>
      </c>
      <c r="N34" s="68">
        <f>+M34/$M$20</f>
        <v>0.96201267843120464</v>
      </c>
      <c r="O34" s="68">
        <f>IF(K34=0,"",(M34-K34)/ABS(K34)+1)</f>
        <v>0.68709685849621871</v>
      </c>
      <c r="P34" s="32">
        <v>1211459.19</v>
      </c>
      <c r="Q34" s="68">
        <f>+P34/$P$20</f>
        <v>0.74517351188542269</v>
      </c>
      <c r="R34" s="68">
        <f>IF(P34=0,"",(M34-P34)/ABS(P34))</f>
        <v>0.63860813173574627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63945.111239393475</v>
      </c>
      <c r="D36" s="68">
        <f>IF($C$20=0," ",C36/$C$20)</f>
        <v>0.13350362259741599</v>
      </c>
      <c r="E36" s="32">
        <f>E24-E34</f>
        <v>-29222.570000000007</v>
      </c>
      <c r="F36" s="68">
        <f>+E36/$E$20</f>
        <v>-0.14581765673570427</v>
      </c>
      <c r="G36" s="68">
        <f>IF(C36=0,"",(E36-C36)/ABS(C36)+1)</f>
        <v>-0.45699459166782086</v>
      </c>
      <c r="H36" s="32">
        <v>3767.1000000000058</v>
      </c>
      <c r="I36" s="68">
        <f>+H36/$H$20</f>
        <v>2.0693626224692899E-2</v>
      </c>
      <c r="J36" s="68">
        <f>IF(H36=0,"",(E36-H36)/ABS(H36))</f>
        <v>-8.757311990655932</v>
      </c>
      <c r="K36" s="32">
        <f>K24-K34</f>
        <v>202923.94014667626</v>
      </c>
      <c r="L36" s="68">
        <f>IF($K$20=0," ",K36/$K$20)</f>
        <v>6.5627717733679466E-2</v>
      </c>
      <c r="M36" s="32">
        <f>M24-M34</f>
        <v>78386.589999999385</v>
      </c>
      <c r="N36" s="68">
        <f>+M36/$M$20</f>
        <v>3.7987321568795369E-2</v>
      </c>
      <c r="O36" s="68">
        <f>IF(K36=0,"",(M36-K36)/ABS(K36)+1)</f>
        <v>0.38628557056077495</v>
      </c>
      <c r="P36" s="32">
        <v>414281.89000000013</v>
      </c>
      <c r="Q36" s="68">
        <f>+P36/$P$20</f>
        <v>0.25482648811457731</v>
      </c>
      <c r="R36" s="68">
        <f>IF(P36=0,"",(M36-P36)/ABS(P36))</f>
        <v>-0.81078924304415201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>
        <f>IF($C$20=0," ",C38/$C$20)</f>
        <v>0</v>
      </c>
      <c r="E38" s="32">
        <v>-37</v>
      </c>
      <c r="F38" s="68">
        <f>+E38/$E$20</f>
        <v>-1.846262426344109E-4</v>
      </c>
      <c r="G38" s="68" t="str">
        <f>IF(C38=0,"",(E38-C38)/ABS(C38)+1)</f>
        <v/>
      </c>
      <c r="H38" s="32">
        <v>38847.049999999996</v>
      </c>
      <c r="I38" s="68">
        <f>+H38/$H$20</f>
        <v>0.21339660020492021</v>
      </c>
      <c r="J38" s="68">
        <f>IF(H38=0,"",(E38-H38)/ABS(H38))</f>
        <v>-1.0009524532750878</v>
      </c>
      <c r="K38" s="32">
        <f>+S28+C38</f>
        <v>0</v>
      </c>
      <c r="L38" s="68">
        <f>IF($K$20=0," ",K38/$K$20)</f>
        <v>0</v>
      </c>
      <c r="M38" s="32">
        <v>-6290.9999999999991</v>
      </c>
      <c r="N38" s="68">
        <f>+M38/$M$20</f>
        <v>-3.0487133065654915E-3</v>
      </c>
      <c r="O38" s="68" t="str">
        <f>IF(K38=0,"",(M38-K38)/ABS(K38)+1)</f>
        <v/>
      </c>
      <c r="P38" s="32">
        <v>279229.18</v>
      </c>
      <c r="Q38" s="68">
        <f>+P38/$P$20</f>
        <v>0.1717550127969947</v>
      </c>
      <c r="R38" s="68">
        <f>IF(P38=0,"",(M38-P38)/ABS(P38))</f>
        <v>-1.0225298802940295</v>
      </c>
      <c r="AD38" s="55"/>
    </row>
    <row r="39" spans="2:30" x14ac:dyDescent="0.2">
      <c r="B39" s="3" t="s">
        <v>57</v>
      </c>
      <c r="C39" s="32">
        <v>2730.16437705</v>
      </c>
      <c r="D39" s="68">
        <f>IF($C$20=0," ",C39/$C$20)</f>
        <v>5.6999953172033879E-3</v>
      </c>
      <c r="E39" s="32">
        <v>123.77</v>
      </c>
      <c r="F39" s="68">
        <f>+E39/$E$20</f>
        <v>6.1759973110435233E-4</v>
      </c>
      <c r="G39" s="68">
        <f>IF(C39=0,"",(E39-C39)/ABS(C39)+1)</f>
        <v>4.5334266698526027E-2</v>
      </c>
      <c r="H39" s="32">
        <v>10307.85</v>
      </c>
      <c r="I39" s="68">
        <f>+H39/$H$20</f>
        <v>5.6623608367232188E-2</v>
      </c>
      <c r="J39" s="68">
        <f>IF(H39=0,"",(E39-H39)/ABS(H39))</f>
        <v>-0.98799264638115603</v>
      </c>
      <c r="K39" s="32">
        <v>17624.6613238758</v>
      </c>
      <c r="L39" s="68">
        <f>IF($K$20=0," ",K39/$K$20)</f>
        <v>5.6999992099451844E-3</v>
      </c>
      <c r="M39" s="32">
        <v>32026.01</v>
      </c>
      <c r="N39" s="68">
        <f>+M39/$M$20</f>
        <v>1.5520286574980053E-2</v>
      </c>
      <c r="O39" s="68">
        <f>IF(K39=0,"",(M39-K39)/ABS(K39)+1)</f>
        <v>1.8171134986074859</v>
      </c>
      <c r="P39" s="32">
        <v>36117.75</v>
      </c>
      <c r="Q39" s="68">
        <f>+P39/$P$20</f>
        <v>2.2216176022322079E-2</v>
      </c>
      <c r="R39" s="68">
        <f>IF(P39=0,"",(M39-P39)/ABS(P39))</f>
        <v>-0.11328889534923968</v>
      </c>
    </row>
    <row r="41" spans="2:30" x14ac:dyDescent="0.2">
      <c r="B41" s="3" t="s">
        <v>58</v>
      </c>
      <c r="C41" s="32">
        <f>C36+C38-C39</f>
        <v>61214.946862343473</v>
      </c>
      <c r="D41" s="68">
        <f>IF($C$20=0," ",C41/$C$20)</f>
        <v>0.12780362728021261</v>
      </c>
      <c r="E41" s="32">
        <f>E36+E38-E39</f>
        <v>-29383.340000000007</v>
      </c>
      <c r="F41" s="68">
        <f>+E41/$E$20</f>
        <v>-0.14661988270944304</v>
      </c>
      <c r="G41" s="68">
        <f>IF(C41=0,"",(E41-C41)/ABS(C41)+1)</f>
        <v>-0.48000270368731202</v>
      </c>
      <c r="H41" s="32">
        <v>32306.300000000003</v>
      </c>
      <c r="I41" s="68">
        <f>+H41/$H$20</f>
        <v>0.17746661806238093</v>
      </c>
      <c r="J41" s="68">
        <f>IF(H41=0,"",(E41-H41)/ABS(H41))</f>
        <v>-1.9095235294663893</v>
      </c>
      <c r="K41" s="32">
        <f>K36+K38-K39</f>
        <v>185299.27882280046</v>
      </c>
      <c r="L41" s="68">
        <f>IF($K$20=0," ",K41/$K$20)</f>
        <v>5.992771852373429E-2</v>
      </c>
      <c r="M41" s="32">
        <f>M36+M38-M39</f>
        <v>40069.579999999391</v>
      </c>
      <c r="N41" s="68">
        <f>+M41/$M$20</f>
        <v>1.9418321687249825E-2</v>
      </c>
      <c r="O41" s="68">
        <f>IF(K41=0,"",(M41-K41)/ABS(K41)+1)</f>
        <v>0.21624250377313925</v>
      </c>
      <c r="P41" s="32">
        <v>657393.32000000007</v>
      </c>
      <c r="Q41" s="68">
        <f>+P41/$P$20</f>
        <v>0.40436532488924992</v>
      </c>
      <c r="R41" s="68">
        <f>IF(P41=0,"",(M41-P41)/ABS(P41))</f>
        <v>-0.93904778344872841</v>
      </c>
    </row>
    <row r="42" spans="2:30" x14ac:dyDescent="0.2">
      <c r="B42" s="3" t="s">
        <v>44</v>
      </c>
      <c r="C42" s="32">
        <v>11631.65262567957</v>
      </c>
      <c r="D42" s="68">
        <f>IF($C$20=0," ",C42/$C$20)</f>
        <v>2.428438597142234E-2</v>
      </c>
      <c r="E42" s="32">
        <v>0</v>
      </c>
      <c r="F42" s="68">
        <f>+E42/$E$20</f>
        <v>0</v>
      </c>
      <c r="G42" s="68">
        <f>IF(C42=0,"",(E42-C42)/ABS(C42)+1)</f>
        <v>0</v>
      </c>
      <c r="H42" s="32"/>
      <c r="I42" s="68">
        <f>+H42/$H$20</f>
        <v>0</v>
      </c>
      <c r="J42" s="68" t="str">
        <f>IF(H42=0,"",(E42-H42)/ABS(H42))</f>
        <v/>
      </c>
      <c r="K42" s="32">
        <v>56161.939898750607</v>
      </c>
      <c r="L42" s="68">
        <f>IF($K$20=0," ",K42/$K$20)</f>
        <v>1.8163356853740088E-2</v>
      </c>
      <c r="M42" s="32">
        <v>0</v>
      </c>
      <c r="N42" s="68">
        <f>+M42/$M$20</f>
        <v>0</v>
      </c>
      <c r="O42" s="68">
        <f>IF(K42=0,"",(M42-K42)/ABS(K42)+1)</f>
        <v>0</v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49583.294236663904</v>
      </c>
      <c r="D43" s="72">
        <f>IF($C$20=0," ",C43/$C$20)</f>
        <v>0.10351924130879026</v>
      </c>
      <c r="E43" s="69">
        <f>+E41-E42</f>
        <v>-29383.340000000007</v>
      </c>
      <c r="F43" s="72">
        <f>+E43/$E$20</f>
        <v>-0.14661988270944304</v>
      </c>
      <c r="G43" s="72">
        <f>IF(C43=0,"",(E43-C43)/ABS(C43)+1)</f>
        <v>-0.59260564374266145</v>
      </c>
      <c r="H43" s="69">
        <v>32306.300000000003</v>
      </c>
      <c r="I43" s="72">
        <f>+H43/$H$20</f>
        <v>0.17746661806238093</v>
      </c>
      <c r="J43" s="72">
        <f>IF(H43=0,"",(E43-H43)/ABS(H43))</f>
        <v>-1.9095235294663893</v>
      </c>
      <c r="K43" s="69">
        <f>+K41-K42</f>
        <v>129137.33892404987</v>
      </c>
      <c r="L43" s="72">
        <f>IF($K$20=0," ",K43/$K$20)</f>
        <v>4.1764361669994199E-2</v>
      </c>
      <c r="M43" s="69">
        <f>+M41-M42</f>
        <v>40069.579999999391</v>
      </c>
      <c r="N43" s="72">
        <f>+M43/$M$20</f>
        <v>1.9418321687249825E-2</v>
      </c>
      <c r="O43" s="72">
        <f>IF(K43=0,"",(M43-K43)/ABS(K43)+1)</f>
        <v>0.31028655487136603</v>
      </c>
      <c r="P43" s="69">
        <v>657393.32000000007</v>
      </c>
      <c r="Q43" s="72">
        <f>+P43/$P$20</f>
        <v>0.40436532488924992</v>
      </c>
      <c r="R43" s="72">
        <f>IF(P43=0,"",(M43-P43)/ABS(P43))</f>
        <v>-0.93904778344872841</v>
      </c>
    </row>
    <row r="45" spans="2:30" x14ac:dyDescent="0.2">
      <c r="B45" s="3" t="s">
        <v>60</v>
      </c>
      <c r="C45" s="32">
        <v>49582.900736663956</v>
      </c>
      <c r="D45" s="68">
        <f>IF($C$20=0," ",C45/$C$20)</f>
        <v>0.10351841976552499</v>
      </c>
      <c r="E45" s="32">
        <v>-28924.670000000013</v>
      </c>
      <c r="F45" s="68">
        <f>+E45/$E$20</f>
        <v>-0.14433116598757481</v>
      </c>
      <c r="G45" s="68">
        <f>IF(C45=0,"",(E45-C45)/ABS(C45)+1)</f>
        <v>-0.58335977867893751</v>
      </c>
      <c r="H45" s="32">
        <v>32306.300000000003</v>
      </c>
      <c r="I45" s="68">
        <f>+H45/$H$20</f>
        <v>0.17746661806238093</v>
      </c>
      <c r="J45" s="68">
        <f>IF(H45=0,"",(E45-H45)/ABS(H45))</f>
        <v>-1.8953259890485761</v>
      </c>
      <c r="K45" s="32">
        <f>+K43</f>
        <v>129137.33892404987</v>
      </c>
      <c r="L45" s="68">
        <f>IF($K$20=0," ",K45/$K$20)</f>
        <v>4.1764361669994199E-2</v>
      </c>
      <c r="M45" s="32">
        <v>44194.589999999793</v>
      </c>
      <c r="N45" s="68">
        <f>+M45/$M$20</f>
        <v>2.1417363632364583E-2</v>
      </c>
      <c r="O45" s="68">
        <f>IF(K45=0,"",(M45-K45)/ABS(K45)+1)</f>
        <v>0.34222936888913402</v>
      </c>
      <c r="P45" s="32">
        <v>507854.19000000024</v>
      </c>
      <c r="Q45" s="68">
        <f>+P45/$P$20</f>
        <v>0.31238319326961966</v>
      </c>
      <c r="R45" s="68">
        <f>IF(P45=0,"",(M45-P45)/ABS(P45))</f>
        <v>-0.91297779782027644</v>
      </c>
    </row>
    <row r="46" spans="2:30" x14ac:dyDescent="0.2">
      <c r="B46" s="3" t="s">
        <v>35</v>
      </c>
      <c r="C46" s="32">
        <v>104735.48399999998</v>
      </c>
      <c r="D46" s="68"/>
      <c r="E46" s="32">
        <v>94561.8</v>
      </c>
      <c r="F46" s="68">
        <f>+E46/$E$20</f>
        <v>0.47185377920936855</v>
      </c>
      <c r="G46" s="68"/>
      <c r="H46" s="32">
        <v>76375</v>
      </c>
      <c r="I46" s="68">
        <f>+H46/$H$20</f>
        <v>0.41954705288177052</v>
      </c>
      <c r="J46" s="68"/>
      <c r="K46" s="102">
        <v>1701279.2776012707</v>
      </c>
      <c r="L46" s="68"/>
      <c r="M46" s="32">
        <v>838003.57</v>
      </c>
      <c r="N46" s="68">
        <f>+M46/$M$20</f>
        <v>0.40610914557437394</v>
      </c>
      <c r="O46" s="68">
        <f>IF(K46=0,"",(M46-K46)/ABS(K46)+1)</f>
        <v>0.49257260758595045</v>
      </c>
      <c r="P46" s="32">
        <v>506980.07999999996</v>
      </c>
      <c r="Q46" s="68"/>
      <c r="R46" s="68">
        <f>IF(P46=0,"",(M46-P46)/ABS(P46))</f>
        <v>0.65293194557072143</v>
      </c>
    </row>
    <row r="47" spans="2:30" x14ac:dyDescent="0.2">
      <c r="B47" s="61"/>
      <c r="C47" s="61" t="s">
        <v>61</v>
      </c>
      <c r="D47" s="61"/>
      <c r="E47" s="61" t="s">
        <v>61</v>
      </c>
      <c r="F47" s="61"/>
      <c r="G47" s="61"/>
      <c r="H47" s="61" t="s">
        <v>61</v>
      </c>
      <c r="I47" s="61"/>
      <c r="J47" s="61"/>
      <c r="K47" s="61" t="s">
        <v>61</v>
      </c>
      <c r="L47" s="61"/>
      <c r="M47" s="32" t="s">
        <v>61</v>
      </c>
      <c r="N47" s="61"/>
      <c r="O47" s="61"/>
      <c r="P47" s="61" t="s">
        <v>61</v>
      </c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9DE7-AACA-46EF-9989-0711317EEFAA}">
  <sheetPr>
    <tabColor theme="2" tint="-0.249977111117893"/>
  </sheetPr>
  <dimension ref="A1:AY82"/>
  <sheetViews>
    <sheetView showGridLines="0" zoomScale="96" zoomScaleNormal="96" workbookViewId="0">
      <selection activeCell="H11" sqref="H11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129</v>
      </c>
      <c r="S3" s="54"/>
      <c r="T3" s="18" t="s">
        <v>129</v>
      </c>
      <c r="AF3" s="2" t="str">
        <f>+B6</f>
        <v>SEPTIEMBRE de 2024</v>
      </c>
      <c r="AG3" s="2" t="s">
        <v>132</v>
      </c>
      <c r="AH3" s="103">
        <f>_xlfn.XLOOKUP(Paramet!E3,'VENEZUELA USD'!AL69:AL80,'VENEZUELA USD'!AM69:AM80,0,0)</f>
        <v>43.1</v>
      </c>
      <c r="AI3" s="2" t="s">
        <v>133</v>
      </c>
    </row>
    <row r="4" spans="1:35" x14ac:dyDescent="0.2">
      <c r="B4" s="2" t="s">
        <v>87</v>
      </c>
      <c r="S4" s="54"/>
      <c r="T4" s="3" t="s">
        <v>21</v>
      </c>
      <c r="AG4" s="2" t="s">
        <v>134</v>
      </c>
      <c r="AH4" s="103">
        <f>+AM54</f>
        <v>24.95</v>
      </c>
    </row>
    <row r="5" spans="1:35" ht="13.5" thickBot="1" x14ac:dyDescent="0.25">
      <c r="B5" s="3" t="s">
        <v>135</v>
      </c>
      <c r="S5" s="54"/>
      <c r="T5" s="3" t="s">
        <v>136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SEPTIEMBRE de 2024</v>
      </c>
      <c r="C6" s="91"/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SEPTIEMBRE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4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5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6443.7122969837583</v>
      </c>
      <c r="D10" s="34" t="str">
        <f t="shared" ref="D10:D20" si="0">IF(DD19&lt;=0," ",C10/$C$20)</f>
        <v xml:space="preserve"> </v>
      </c>
      <c r="E10" s="32">
        <f>'VZLA BFS'!E10/'VENEZUELA USD'!$AH$3</f>
        <v>2380.7424593967517</v>
      </c>
      <c r="F10" s="34">
        <f t="shared" ref="F10:F20" si="1">+E10/$E$20</f>
        <v>0.51201347991126755</v>
      </c>
      <c r="G10" s="34">
        <f>IF(C10=0,"",(E10-C10)/ABS(C10)+1)</f>
        <v>0.36946752891359769</v>
      </c>
      <c r="H10" s="63">
        <f>+'VZLA BFS'!H10/'VENEZUELA USD'!$AH$4</f>
        <v>4457.0340681362723</v>
      </c>
      <c r="I10" s="34">
        <f t="shared" ref="I10:I20" si="2">IF($H$20&lt;=0," ",H10/$H$20)</f>
        <v>0.61086600224695942</v>
      </c>
      <c r="J10" s="34">
        <f>IF(E10=0,"",(E10-H10)/ABS(H10))</f>
        <v>-0.46584602607889214</v>
      </c>
      <c r="K10" s="32">
        <f>'VZLA BFS'!K10/'VENEZUELA USD'!$AH$3</f>
        <v>38813.062645011596</v>
      </c>
      <c r="L10" s="34">
        <f t="shared" ref="L10:L22" si="3">IF($K$20&lt;=0," ",K10/$K$20)</f>
        <v>0.5410148656556123</v>
      </c>
      <c r="M10" s="32">
        <f>'VZLA BFS'!M10/'VENEZUELA USD'!$AH$3</f>
        <v>20554.802784222738</v>
      </c>
      <c r="N10" s="34">
        <f t="shared" ref="N10:N15" si="4">+M10/$M$20</f>
        <v>0.42932629197997907</v>
      </c>
      <c r="O10" s="34">
        <f>IF(K10=0,"",(M10-K10)/ABS(K10)+1)</f>
        <v>0.52958466514789504</v>
      </c>
      <c r="P10" s="63">
        <f>+'VZLA BFS'!P10/'VENEZUELA USD'!$AH$4</f>
        <v>30701.643286573148</v>
      </c>
      <c r="Q10" s="34">
        <f t="shared" ref="Q10:Q22" si="5">IF($P$20&lt;=0," ",P10/$P$20)</f>
        <v>0.47117342941226531</v>
      </c>
      <c r="R10" s="34">
        <f>IF(M10=0,"",(M10-P10)/ABS(P10))</f>
        <v>-0.33049828661086555</v>
      </c>
      <c r="S10" s="68"/>
      <c r="T10" s="3" t="s">
        <v>31</v>
      </c>
      <c r="U10" s="32">
        <f>+'VZLA BFS'!U10/'VENEZUELA USD'!$AH$3</f>
        <v>5490.7656612528999</v>
      </c>
      <c r="V10" s="32">
        <f>+'VZLA BFS'!V10/'VENEZUELA USD'!$AH$3</f>
        <v>6102.0684454756383</v>
      </c>
      <c r="W10" s="32">
        <f>+'VZLA BFS'!W10/'VENEZUELA USD'!$AH$3</f>
        <v>3396.1698375870074</v>
      </c>
      <c r="X10" s="32">
        <f>+'VZLA BFS'!X10/'VENEZUELA USD'!$AH$3</f>
        <v>5490.7656612528999</v>
      </c>
      <c r="Y10" s="32">
        <f>+'VZLA BFS'!Y10/'VENEZUELA USD'!$AH$3</f>
        <v>5892.7842227378187</v>
      </c>
      <c r="Z10" s="63">
        <f>+Y10-X10</f>
        <v>402.01856148491879</v>
      </c>
      <c r="AA10" s="68">
        <f>IF(X10=0,"",(Y10-X10)/ABS(X10)+1)</f>
        <v>1.073217213461116</v>
      </c>
      <c r="AB10" s="32">
        <f>+'VZLA BFS'!AB10/'VENEZUELA USD'!$AH$3</f>
        <v>859.07192575406032</v>
      </c>
      <c r="AC10" s="68">
        <f>IF(W10=0,"",(Y10-AB10)/ABS(AB10))</f>
        <v>5.8594771241830061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739.71229698375851</v>
      </c>
      <c r="D11" s="34" t="str">
        <f t="shared" si="0"/>
        <v xml:space="preserve"> </v>
      </c>
      <c r="E11" s="32">
        <f>'VZLA BFS'!E11/'VENEZUELA USD'!$AH$3</f>
        <v>619.9266821345708</v>
      </c>
      <c r="F11" s="34">
        <f t="shared" si="1"/>
        <v>0.13332429829054063</v>
      </c>
      <c r="G11" s="34">
        <f t="shared" ref="G11:G22" si="6">IF(C11=0,"",(E11-C11)/ABS(C11)+1)</f>
        <v>0.83806458897922342</v>
      </c>
      <c r="H11" s="63">
        <f>+'VZLA BFS'!H11/'VENEZUELA USD'!$AH$4</f>
        <v>241.54629258517033</v>
      </c>
      <c r="I11" s="34">
        <f t="shared" si="2"/>
        <v>3.3105517223649364E-2</v>
      </c>
      <c r="J11" s="34">
        <f t="shared" ref="J11:J20" si="7">IF(E11=0,"",(E11-H11)/ABS(H11))</f>
        <v>1.5664922259818241</v>
      </c>
      <c r="K11" s="32">
        <f>'VZLA BFS'!K11/'VENEZUELA USD'!$AH$3</f>
        <v>5608.3333568445478</v>
      </c>
      <c r="L11" s="34">
        <f t="shared" si="3"/>
        <v>7.8174498759765051E-2</v>
      </c>
      <c r="M11" s="32">
        <f>'VZLA BFS'!M11/'VENEZUELA USD'!$AH$3</f>
        <v>6107.2568445475645</v>
      </c>
      <c r="N11" s="34">
        <f t="shared" si="4"/>
        <v>0.12756171697504817</v>
      </c>
      <c r="O11" s="34">
        <f t="shared" ref="O11:O22" si="8">IF(K11=0,"",(M11-K11)/ABS(K11)+1)</f>
        <v>1.0889610969886656</v>
      </c>
      <c r="P11" s="63">
        <f>+'VZLA BFS'!P11/'VENEZUELA USD'!$AH$4</f>
        <v>11448.946292585171</v>
      </c>
      <c r="Q11" s="34">
        <f t="shared" si="5"/>
        <v>0.17570522976512348</v>
      </c>
      <c r="R11" s="34">
        <f t="shared" ref="R11:R22" si="9">IF(M11=0,"",(M11-P11)/ABS(P11))</f>
        <v>-0.46656603250004886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3639.328306264501</v>
      </c>
      <c r="W11" s="32">
        <f>+'VZLA BFS'!W11/'VENEZUELA USD'!$AH$3</f>
        <v>4402.8232018561484</v>
      </c>
      <c r="X11" s="32">
        <f>+'VZLA BFS'!X11/'VENEZUELA USD'!$AH$3</f>
        <v>0</v>
      </c>
      <c r="Y11" s="32">
        <f>+'VZLA BFS'!Y11/'VENEZUELA USD'!$AH$3</f>
        <v>46022.969837587007</v>
      </c>
      <c r="Z11" s="63">
        <f>+Y11-X11</f>
        <v>46022.969837587007</v>
      </c>
      <c r="AA11" s="68" t="str">
        <f>IF(X11=0,"",(Y11-X11)/ABS(X11)+1)</f>
        <v/>
      </c>
      <c r="AB11" s="32">
        <f>+'VZLA BFS'!AB11/'VENEZUELA USD'!$AH$3</f>
        <v>32939.280742459392</v>
      </c>
      <c r="AC11" s="68">
        <f>IF(AB11=0,"",(Y11-AB11)/ABS(AB11))</f>
        <v>0.39720627773946737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1946.3679814385152</v>
      </c>
      <c r="D12" s="34" t="str">
        <f t="shared" si="0"/>
        <v xml:space="preserve"> </v>
      </c>
      <c r="E12" s="32">
        <f>'VZLA BFS'!E12/'VENEZUELA USD'!$AH$3</f>
        <v>779.42552204176332</v>
      </c>
      <c r="F12" s="34">
        <f t="shared" si="1"/>
        <v>0.16762685619232426</v>
      </c>
      <c r="G12" s="34">
        <f t="shared" si="6"/>
        <v>0.40045126588329305</v>
      </c>
      <c r="H12" s="63">
        <f>+'VZLA BFS'!H12/'VENEZUELA USD'!$AH$4</f>
        <v>1206.4761523046093</v>
      </c>
      <c r="I12" s="34">
        <f t="shared" si="2"/>
        <v>0.16535553749374593</v>
      </c>
      <c r="J12" s="34">
        <f t="shared" si="7"/>
        <v>-0.35396524783941596</v>
      </c>
      <c r="K12" s="32">
        <f>'VZLA BFS'!K12/'VENEZUELA USD'!$AH$3</f>
        <v>14033.525546925754</v>
      </c>
      <c r="L12" s="34">
        <f t="shared" si="3"/>
        <v>0.19561316270980839</v>
      </c>
      <c r="M12" s="32">
        <f>'VZLA BFS'!M12/'VENEZUELA USD'!$AH$3</f>
        <v>7820.7436194895572</v>
      </c>
      <c r="N12" s="34">
        <f t="shared" si="4"/>
        <v>0.16335115904195227</v>
      </c>
      <c r="O12" s="34">
        <f t="shared" si="8"/>
        <v>0.5572900119316635</v>
      </c>
      <c r="P12" s="63">
        <f>+'VZLA BFS'!P12/'VENEZUELA USD'!$AH$4</f>
        <v>9569.2577154308619</v>
      </c>
      <c r="Q12" s="34">
        <f t="shared" si="5"/>
        <v>0.14685793632033953</v>
      </c>
      <c r="R12" s="34">
        <f t="shared" si="9"/>
        <v>-0.18272201961096171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739.71229698375851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>
        <f t="shared" si="6"/>
        <v>0</v>
      </c>
      <c r="H13" s="63">
        <f>+'VZLA BFS'!H13/'VENEZUELA USD'!$AH$4</f>
        <v>48.072144288577157</v>
      </c>
      <c r="I13" s="34">
        <f t="shared" si="2"/>
        <v>6.5886053712130351E-3</v>
      </c>
      <c r="J13" s="34" t="str">
        <f t="shared" si="7"/>
        <v/>
      </c>
      <c r="K13" s="32">
        <f>'VZLA BFS'!K13/'VENEZUELA USD'!$AH$3</f>
        <v>4406.0921503480276</v>
      </c>
      <c r="L13" s="34">
        <f t="shared" si="3"/>
        <v>6.1416471423265957E-2</v>
      </c>
      <c r="M13" s="32">
        <f>'VZLA BFS'!M13/'VENEZUELA USD'!$AH$3</f>
        <v>5846.5566125290025</v>
      </c>
      <c r="N13" s="34">
        <f t="shared" si="4"/>
        <v>0.12211649499428756</v>
      </c>
      <c r="O13" s="34">
        <f t="shared" si="8"/>
        <v>1.3269256322901</v>
      </c>
      <c r="P13" s="63">
        <f>+'VZLA BFS'!P13/'VENEZUELA USD'!$AH$4</f>
        <v>3348.5899799599201</v>
      </c>
      <c r="Q13" s="34">
        <f t="shared" si="5"/>
        <v>5.139029887834292E-2</v>
      </c>
      <c r="R13" s="34">
        <f t="shared" si="9"/>
        <v>0.74597566364305401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>
        <f t="shared" si="3"/>
        <v>0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1243.6412993039444</v>
      </c>
      <c r="D15" s="34" t="str">
        <f t="shared" si="0"/>
        <v xml:space="preserve"> </v>
      </c>
      <c r="E15" s="32">
        <f>'VZLA BFS'!E15/'VENEZUELA USD'!$AH$3</f>
        <v>869.67053364269145</v>
      </c>
      <c r="F15" s="34">
        <f t="shared" si="1"/>
        <v>0.18703536560586748</v>
      </c>
      <c r="G15" s="34">
        <f t="shared" si="6"/>
        <v>0.6992937064163427</v>
      </c>
      <c r="H15" s="63">
        <f>+'VZLA BFS'!H15/'VENEZUELA USD'!$AH$4</f>
        <v>1343.1262525050101</v>
      </c>
      <c r="I15" s="34">
        <f t="shared" si="2"/>
        <v>0.18408433766443225</v>
      </c>
      <c r="J15" s="34">
        <f t="shared" si="7"/>
        <v>-0.35250276582658979</v>
      </c>
      <c r="K15" s="32">
        <f>'VZLA BFS'!K15/'VENEZUELA USD'!$AH$3</f>
        <v>8880.1991748955916</v>
      </c>
      <c r="L15" s="34">
        <f t="shared" si="3"/>
        <v>0.12378100145154836</v>
      </c>
      <c r="M15" s="32">
        <f>'VZLA BFS'!M15/'VENEZUELA USD'!$AH$3</f>
        <v>7547.5187935034783</v>
      </c>
      <c r="N15" s="34">
        <f t="shared" si="4"/>
        <v>0.15764433700873304</v>
      </c>
      <c r="O15" s="34">
        <f t="shared" si="8"/>
        <v>0.84992674655771083</v>
      </c>
      <c r="P15" s="63">
        <f>+'VZLA BFS'!P15/'VENEZUELA USD'!$AH$4</f>
        <v>10091.525851703407</v>
      </c>
      <c r="Q15" s="34">
        <f t="shared" si="5"/>
        <v>0.15487310562392875</v>
      </c>
      <c r="R15" s="34">
        <f t="shared" si="9"/>
        <v>-0.25209339951009602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2575.531554524362</v>
      </c>
      <c r="W15" s="32">
        <f>+'VZLA BFS'!W15/'VENEZUELA USD'!$AH$3</f>
        <v>1155.2102088167053</v>
      </c>
      <c r="X15" s="32">
        <f>+'VZLA BFS'!X15/'VENEZUELA USD'!$AH$3</f>
        <v>0</v>
      </c>
      <c r="Y15" s="32">
        <f>+'VZLA BFS'!Y15/'VENEZUELA USD'!$AH$3</f>
        <v>17393.805104408351</v>
      </c>
      <c r="Z15" s="63">
        <f>+X15-Y15</f>
        <v>-17393.805104408351</v>
      </c>
      <c r="AA15" s="68" t="str">
        <f>IF(X15=0,"",(Y15-X15)/ABS(X15)+1)</f>
        <v/>
      </c>
      <c r="AB15" s="32">
        <f>+'VZLA BFS'!AB15/'VENEZUELA USD'!$AH$3</f>
        <v>7582.9002320185609</v>
      </c>
      <c r="AC15" s="68">
        <f>IF(AB15=0,"",(Y15-AB15)/ABS(AB15))</f>
        <v>1.2938195904205028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>
        <f t="shared" si="3"/>
        <v>0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2327.4795823665891</v>
      </c>
      <c r="W16" s="32">
        <f>+'VZLA BFS'!W16/'VENEZUELA USD'!$AH$3</f>
        <v>1635.1294663573085</v>
      </c>
      <c r="X16" s="32">
        <f>+'VZLA BFS'!X16/'VENEZUELA USD'!$AH$3</f>
        <v>0</v>
      </c>
      <c r="Y16" s="32">
        <f>+'VZLA BFS'!Y16/'VENEZUELA USD'!$AH$3</f>
        <v>20428.561484918791</v>
      </c>
      <c r="Z16" s="63">
        <f>+X16-Y16</f>
        <v>-20428.561484918791</v>
      </c>
      <c r="AA16" s="68" t="str">
        <f>IF(X16=0,"",(Y16-X16)/ABS(X16)+1)</f>
        <v/>
      </c>
      <c r="AB16" s="32">
        <f>+'VZLA BFS'!AB16/'VENEZUELA USD'!$AH$3</f>
        <v>17390.11600928074</v>
      </c>
      <c r="AC16" s="68">
        <f>IF(AB16=0,"",(Y16-AB16)/ABS(AB16))</f>
        <v>0.17472255354803248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>
        <f t="shared" si="3"/>
        <v>0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4903.0111368909511</v>
      </c>
      <c r="W17" s="32">
        <f>+'VZLA BFS'!W17/'VENEZUELA USD'!$AH$3</f>
        <v>2790.3396751740138</v>
      </c>
      <c r="X17" s="32">
        <f>+'VZLA BFS'!X17/'VENEZUELA USD'!$AH$3</f>
        <v>0</v>
      </c>
      <c r="Y17" s="32">
        <f>+'VZLA BFS'!Y17/'VENEZUELA USD'!$AH$3</f>
        <v>37822.366589327146</v>
      </c>
      <c r="Z17" s="63">
        <f>+Y17-X17</f>
        <v>37822.366589327146</v>
      </c>
      <c r="AA17" s="68" t="str">
        <f>IF(X17=0,"",(Y17-X17)/ABS(X17)+1)</f>
        <v/>
      </c>
      <c r="AB17" s="32">
        <f>+'VZLA BFS'!AB17/'VENEZUELA USD'!$AH$3</f>
        <v>24973.016241299301</v>
      </c>
      <c r="AC17" s="68">
        <f>IF(AB17=0,"",(Y17-AB17)/ABS(AB17))</f>
        <v>0.51452937137718036</v>
      </c>
      <c r="AD17" s="68"/>
      <c r="AE17" s="68"/>
    </row>
    <row r="18" spans="2:33" x14ac:dyDescent="0.2">
      <c r="B18" s="3" t="s">
        <v>131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>
        <f t="shared" si="3"/>
        <v>0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>
        <f t="shared" si="3"/>
        <v>0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-1263.6828306264501</v>
      </c>
      <c r="W19" s="32">
        <f>+'VZLA BFS'!W19/'VENEZUELA USD'!$AH$3</f>
        <v>1612.4835266821344</v>
      </c>
      <c r="X19" s="32">
        <f>+'VZLA BFS'!X19/'VENEZUELA USD'!$AH$3</f>
        <v>0</v>
      </c>
      <c r="Y19" s="32">
        <f>Y11-Y17</f>
        <v>8200.6032482598603</v>
      </c>
      <c r="Z19" s="63">
        <f>+Y19-X19</f>
        <v>8200.6032482598603</v>
      </c>
      <c r="AA19" s="68" t="str">
        <f>IF(X19=0,"",(Y19-X19)/ABS(X19)+1)</f>
        <v/>
      </c>
      <c r="AB19" s="32">
        <f>+'VZLA BFS'!AB19/'VENEZUELA USD'!$AH$3</f>
        <v>7966.2645011600925</v>
      </c>
      <c r="AC19" s="68">
        <f>IF(AB19=0,"",(Y19-AB19)/ABS(AB19))</f>
        <v>2.9416390463264431E-2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11113.146171693734</v>
      </c>
      <c r="D20" s="34" t="str">
        <f t="shared" si="0"/>
        <v xml:space="preserve"> </v>
      </c>
      <c r="E20" s="32">
        <f>'VZLA BFS'!E20/'VENEZUELA USD'!$AH$3</f>
        <v>4649.7651972157773</v>
      </c>
      <c r="F20" s="34">
        <f t="shared" si="1"/>
        <v>1</v>
      </c>
      <c r="G20" s="34">
        <f t="shared" si="6"/>
        <v>0.41840223509875019</v>
      </c>
      <c r="H20" s="63">
        <f>+'VZLA BFS'!H20/'VENEZUELA USD'!$AH$4</f>
        <v>7296.2549098196396</v>
      </c>
      <c r="I20" s="34">
        <f t="shared" si="2"/>
        <v>1</v>
      </c>
      <c r="J20" s="34">
        <f t="shared" si="7"/>
        <v>-0.36271892159936642</v>
      </c>
      <c r="K20" s="32">
        <f>'VZLA BFS'!K20/'VENEZUELA USD'!$AH$3</f>
        <v>71741.212874025514</v>
      </c>
      <c r="L20" s="34">
        <f t="shared" si="3"/>
        <v>1</v>
      </c>
      <c r="M20" s="32">
        <f>'VZLA BFS'!M20/'VENEZUELA USD'!$AH$3</f>
        <v>47876.878654292334</v>
      </c>
      <c r="N20" s="34">
        <f>+M20/$M$20</f>
        <v>1</v>
      </c>
      <c r="O20" s="34">
        <f t="shared" si="8"/>
        <v>0.66735530020048683</v>
      </c>
      <c r="P20" s="63">
        <f>+'VZLA BFS'!P20/'VENEZUELA USD'!$AH$4</f>
        <v>65159.963126252507</v>
      </c>
      <c r="Q20" s="34">
        <f t="shared" si="5"/>
        <v>1</v>
      </c>
      <c r="R20" s="34">
        <f t="shared" si="9"/>
        <v>-0.26524085715752865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>
        <f t="shared" si="3"/>
        <v>0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5490.7656612528999</v>
      </c>
      <c r="V21" s="32">
        <f>+V10+V19</f>
        <v>4838.3856148491886</v>
      </c>
      <c r="W21" s="32">
        <f>+'VZLA BFS'!W21/'VENEZUELA USD'!$AH$3</f>
        <v>5008.653364269142</v>
      </c>
      <c r="X21" s="32">
        <f>+'VZLA BFS'!X21/'VENEZUELA USD'!$AH$3</f>
        <v>5490.7656612528999</v>
      </c>
      <c r="Y21" s="32">
        <f>+Y10+Y19</f>
        <v>14093.387470997679</v>
      </c>
      <c r="Z21" s="63">
        <f>+Y21-X21</f>
        <v>8602.6218097447781</v>
      </c>
      <c r="AA21" s="68">
        <f>IF(X21=0,"",(Y21-X21)/ABS(X21)+1)</f>
        <v>2.5667435728411334</v>
      </c>
      <c r="AB21" s="32">
        <f>+'VZLA BFS'!AB21/'VENEZUELA USD'!$AH$3</f>
        <v>8825.336426914153</v>
      </c>
      <c r="AC21" s="68">
        <f>IF(AB21=0,"",(Y21-AB21)/ABS(AB21))</f>
        <v>0.59692353801015841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>
        <f t="shared" si="3"/>
        <v>0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4649.7651972157773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7296.2549098196396</v>
      </c>
      <c r="I24" s="34">
        <f>IF($H$20&lt;=0," ",H24/$H$20)</f>
        <v>1</v>
      </c>
      <c r="J24" s="34">
        <f>IF(E24=0,"",(E24-H24)/ABS(H24))</f>
        <v>-0.36271892159936642</v>
      </c>
      <c r="K24" s="32">
        <f>'VZLA BFS'!K22/'VENEZUELA USD'!$AH$3</f>
        <v>0</v>
      </c>
      <c r="L24" s="34">
        <f>IF($K$20&lt;=0," ",K24/$K$20)</f>
        <v>0</v>
      </c>
      <c r="M24" s="32">
        <f>'VZLA BFS'!M24/'VENEZUELA USD'!$AH$3</f>
        <v>47876.878654292334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65159.963126252507</v>
      </c>
      <c r="Q24" s="34">
        <f>IF($P$20&lt;=0," ",P24/$P$20)</f>
        <v>1</v>
      </c>
      <c r="R24" s="34">
        <f>IF(M24=0,"",(M24-P24)/ABS(P24))</f>
        <v>-0.26524085715752865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162.73062645011601</v>
      </c>
      <c r="X25" s="32">
        <f>+'VZLA BFS'!X25/'VENEZUELA USD'!$AH$3</f>
        <v>0</v>
      </c>
      <c r="Y25" s="32">
        <f>+'VZLA BFS'!Y25/'VENEZUELA USD'!$AH$3</f>
        <v>10253.85150812065</v>
      </c>
      <c r="Z25" s="63">
        <f>+Y25-X25</f>
        <v>10253.85150812065</v>
      </c>
      <c r="AA25" s="68" t="str">
        <f>IF(X25=0,"",(Y25-X25)/ABS(X25)+1)</f>
        <v/>
      </c>
      <c r="AB25" s="32">
        <f>+'VZLA BFS'!AB25/'VENEZUELA USD'!$AH$3</f>
        <v>3979.4199535962875</v>
      </c>
      <c r="AC25" s="68">
        <f>IF(AB25=0,"",(Y25-AB25)/ABS(AB25))</f>
        <v>1.5767201320016562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89.480742459396751</v>
      </c>
      <c r="F26" s="34">
        <f>+E26/$E$20</f>
        <v>1.92441421586141E-2</v>
      </c>
      <c r="G26" s="34" t="str">
        <f>IF(C26=0,"",(E26-C26)/ABS(C26)+1)</f>
        <v/>
      </c>
      <c r="H26" s="63">
        <f>+'VZLA BFS'!H26/'VENEZUELA USD'!$AH$4</f>
        <v>97.518236472945887</v>
      </c>
      <c r="I26" s="34">
        <f>IF($H$20&lt;=0," ",H26/$H$20)</f>
        <v>1.3365519390187602E-2</v>
      </c>
      <c r="J26" s="34">
        <f>IF(E26=0,"",(E26-H26)/ABS(H26))</f>
        <v>-8.2420420059369587E-2</v>
      </c>
      <c r="K26" s="32">
        <f>'VZLA BFS'!K23/'VENEZUELA USD'!$AH$3</f>
        <v>0</v>
      </c>
      <c r="L26" s="34">
        <f>IF($K$20&lt;=0," ",K26/$K$20)</f>
        <v>0</v>
      </c>
      <c r="M26" s="32">
        <f>'VZLA BFS'!M26/'VENEZUELA USD'!$AH$3</f>
        <v>768.6336426914155</v>
      </c>
      <c r="N26" s="34">
        <f>+M26/$M$20</f>
        <v>1.6054380826317816E-2</v>
      </c>
      <c r="O26" s="34" t="str">
        <f>IF(K26=0,"",(M26-K26)/ABS(K26)+1)</f>
        <v/>
      </c>
      <c r="P26" s="63">
        <f>+'VZLA BFS'!P26/'VENEZUELA USD'!$AH$4</f>
        <v>1467.4276553106213</v>
      </c>
      <c r="Q26" s="34">
        <f>IF($P$20&lt;=0," ",P26/$P$20)</f>
        <v>2.2520388055888949E-2</v>
      </c>
      <c r="R26" s="34">
        <f>IF(M26=0,"",(M26-P26)/ABS(P26))</f>
        <v>-0.47620338221803982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11113.146171693734</v>
      </c>
      <c r="D27" s="34" t="str">
        <f>IF(DD33&lt;=0," ",C27/$C$20)</f>
        <v xml:space="preserve"> </v>
      </c>
      <c r="E27" s="32">
        <f>'VZLA BFS'!E27/'VENEZUELA USD'!$AH$3</f>
        <v>934.45707656612535</v>
      </c>
      <c r="F27" s="34">
        <f>+E27/$E$20</f>
        <v>0.20096865904662603</v>
      </c>
      <c r="G27" s="34">
        <f>IF(C27=0,"",(E27-C27)/ABS(C27)+1)</f>
        <v>8.4085736129906885E-2</v>
      </c>
      <c r="H27" s="63">
        <f>+'VZLA BFS'!H27/'VENEZUELA USD'!$AH$4</f>
        <v>1137.062124248497</v>
      </c>
      <c r="I27" s="34">
        <f>IF($H$20&lt;=0," ",H27/$H$20)</f>
        <v>0.15584188577597335</v>
      </c>
      <c r="J27" s="34">
        <f>IF(E27=0,"",(E27-H27)/ABS(H27))</f>
        <v>-0.1781829183838804</v>
      </c>
      <c r="K27" s="32">
        <f>'VZLA BFS'!K24/'VENEZUELA USD'!$AH$3</f>
        <v>71741.212874025514</v>
      </c>
      <c r="L27" s="34">
        <f>IF($K$20&lt;=0," ",K27/$K$20)</f>
        <v>1</v>
      </c>
      <c r="M27" s="32">
        <f>'VZLA BFS'!M27/'VENEZUELA USD'!$AH$3</f>
        <v>6769.1661252900212</v>
      </c>
      <c r="N27" s="34">
        <f>+M27/$M$20</f>
        <v>0.14138695578232191</v>
      </c>
      <c r="O27" s="34">
        <f>IF(K27=0,"",(M27-K27)/ABS(K27)+1)</f>
        <v>9.4355334320544437E-2</v>
      </c>
      <c r="P27" s="63">
        <f>+'VZLA BFS'!P27/'VENEZUELA USD'!$AH$4</f>
        <v>6956.6897795591185</v>
      </c>
      <c r="Q27" s="34">
        <f>IF($P$20&lt;=0," ",P27/$P$20)</f>
        <v>0.10676325531492382</v>
      </c>
      <c r="R27" s="34">
        <f>IF(M27=0,"",(M27-P27)/ABS(P27))</f>
        <v>-2.6955874160164379E-2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1023.9378190255222</v>
      </c>
      <c r="F28" s="34">
        <f>+E28/$E$20</f>
        <v>0.22021280120524014</v>
      </c>
      <c r="G28" s="34" t="str">
        <f>IF(C28=0,"",(E28-C28)/ABS(C28)+1)</f>
        <v/>
      </c>
      <c r="H28" s="63">
        <f>+'VZLA BFS'!H28/'VENEZUELA USD'!$AH$4</f>
        <v>1234.580360721443</v>
      </c>
      <c r="I28" s="34">
        <f>IF($H$20&lt;=0," ",H28/$H$20)</f>
        <v>0.16920740516616095</v>
      </c>
      <c r="J28" s="34">
        <f>IF(E28=0,"",(E28-H28)/ABS(H28))</f>
        <v>-0.17061873685794665</v>
      </c>
      <c r="K28" s="32">
        <f>'VZLA BFS'!K25/'VENEZUELA USD'!$AH$3</f>
        <v>0</v>
      </c>
      <c r="L28" s="34">
        <f>IF($K$20&lt;=0," ",K28/$K$20)</f>
        <v>0</v>
      </c>
      <c r="M28" s="32">
        <f>'VZLA BFS'!M28/'VENEZUELA USD'!$AH$3</f>
        <v>7537.7997679814362</v>
      </c>
      <c r="N28" s="34">
        <f>+M28/$M$20</f>
        <v>0.15744133660863971</v>
      </c>
      <c r="O28" s="34" t="str">
        <f>IF(K28=0,"",(M28-K28)/ABS(K28)+1)</f>
        <v/>
      </c>
      <c r="P28" s="63">
        <f>+'VZLA BFS'!P28/'VENEZUELA USD'!$AH$4</f>
        <v>8424.1174348697405</v>
      </c>
      <c r="Q28" s="34">
        <f>IF($P$20&lt;=0," ",P28/$P$20)</f>
        <v>0.12928364337081277</v>
      </c>
      <c r="R28" s="34">
        <f>IF(M28=0,"",(M28-P28)/ABS(P28))</f>
        <v>-0.10521193154544493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285.95167423433878</v>
      </c>
      <c r="D30" s="34" t="str">
        <f>IF(DD35&lt;=0," ",C30/$C$20)</f>
        <v xml:space="preserve"> </v>
      </c>
      <c r="E30" s="32">
        <f>'VZLA BFS'!E30/'VENEZUELA USD'!$AH$3</f>
        <v>3328.0795823665894</v>
      </c>
      <c r="F30" s="34">
        <f>+E30/$E$20</f>
        <v>0.71575218128420826</v>
      </c>
      <c r="G30" s="34">
        <f>IF(C30=0,"",(E30-C30)/ABS(C30)+1)</f>
        <v>11.638608486129066</v>
      </c>
      <c r="H30" s="63">
        <f>+'VZLA BFS'!H30/'VENEZUELA USD'!$AH$4</f>
        <v>4607.3919839679365</v>
      </c>
      <c r="I30" s="34">
        <f>IF($H$20&lt;=0," ",H30/$H$20)</f>
        <v>0.63147354922689092</v>
      </c>
      <c r="J30" s="34">
        <f>IF(E30=0,"",(E30-H30)/ABS(H30))</f>
        <v>-0.27766519672146261</v>
      </c>
      <c r="K30" s="32">
        <f>'VZLA BFS'!K26/'VENEZUELA USD'!$AH$3</f>
        <v>1833.0479517111833</v>
      </c>
      <c r="L30" s="34">
        <f>IF($K$20&lt;=0," ",K30/$K$20)</f>
        <v>2.555083582054762E-2</v>
      </c>
      <c r="M30" s="32">
        <f>'VZLA BFS'!M30/'VENEZUELA USD'!$AH$3</f>
        <v>29911.277494199541</v>
      </c>
      <c r="N30" s="34">
        <f>+M30/$M$20</f>
        <v>0.62475412631182226</v>
      </c>
      <c r="O30" s="34">
        <f>IF(K30=0,"",(M30-K30)/ABS(K30)+1)</f>
        <v>16.317782339669201</v>
      </c>
      <c r="P30" s="63">
        <f>+'VZLA BFS'!P30/'VENEZUELA USD'!$AH$4</f>
        <v>31741.343086172343</v>
      </c>
      <c r="Q30" s="34">
        <f>IF($P$20&lt;=0," ",P30/$P$20)</f>
        <v>0.48712954340798226</v>
      </c>
      <c r="R30" s="34">
        <f>IF(M30=0,"",(M30-P30)/ABS(P30))</f>
        <v>-5.7655581460572883E-2</v>
      </c>
      <c r="S30" s="68"/>
      <c r="T30" s="3" t="s">
        <v>51</v>
      </c>
      <c r="U30" s="32">
        <f>+'VZLA BFS'!U30/'VENEZUELA USD'!$AH$3</f>
        <v>5490.7656612528999</v>
      </c>
      <c r="V30" s="32">
        <f>+V21-V25-V23+V27</f>
        <v>3102.2956148491885</v>
      </c>
      <c r="W30" s="32">
        <f>+W21-W25-W23+W27</f>
        <v>4845.9227378190262</v>
      </c>
      <c r="X30" s="32">
        <f>+X21-X25-X23-X27</f>
        <v>5490.7656612528999</v>
      </c>
      <c r="Y30" s="32">
        <f>+Y21-Y25-Y23+Y27</f>
        <v>3839.5359628770293</v>
      </c>
      <c r="Z30" s="63">
        <f>+Y30-X30</f>
        <v>-1651.2296983758706</v>
      </c>
      <c r="AA30" s="68">
        <f>IF(U30=0,"",(V30-U30)/ABS(U30)+1)</f>
        <v>0.5650023705694438</v>
      </c>
      <c r="AB30" s="32">
        <f>+AB21-AB25-AB23-AB27</f>
        <v>4845.9164733178659</v>
      </c>
      <c r="AC30" s="68">
        <f>IF(AB30=0,"",(Y30-AB30)/ABS(AB30))</f>
        <v>-0.20767599193714445</v>
      </c>
    </row>
    <row r="31" spans="2:33" x14ac:dyDescent="0.2">
      <c r="B31" s="3" t="s">
        <v>52</v>
      </c>
      <c r="C31" s="32">
        <f>'VZLA BFS'!C27/'VENEZUELA USD'!$AH$3</f>
        <v>1024.9474591373773</v>
      </c>
      <c r="D31" s="34" t="str">
        <f>IF(DD36&lt;=0," ",C31/$C$20)</f>
        <v xml:space="preserve"> </v>
      </c>
      <c r="E31" s="32">
        <f>'VZLA BFS'!E31/'VENEZUELA USD'!$AH$3</f>
        <v>975.76566125290014</v>
      </c>
      <c r="F31" s="34">
        <f>+E31/$E$20</f>
        <v>0.20985267424625587</v>
      </c>
      <c r="G31" s="34">
        <f>IF(C31=0,"",(E31-C31)/ABS(C31)+1)</f>
        <v>0.95201529849552491</v>
      </c>
      <c r="H31" s="63">
        <f>+'VZLA BFS'!H31/'VENEZUELA USD'!$AH$4</f>
        <v>1303.2965931863728</v>
      </c>
      <c r="I31" s="34">
        <f>IF($H$20&lt;=0," ",H31/$H$20)</f>
        <v>0.17862541938225535</v>
      </c>
      <c r="J31" s="34">
        <f>IF(E31=0,"",(E31-H31)/ABS(H31))</f>
        <v>-0.25130958957907396</v>
      </c>
      <c r="K31" s="32">
        <f>'VZLA BFS'!K27/'VENEZUELA USD'!$AH$3</f>
        <v>6466.9230897814014</v>
      </c>
      <c r="L31" s="34">
        <f>IF($K$20&lt;=0," ",K31/$K$20)</f>
        <v>9.0142371876776609E-2</v>
      </c>
      <c r="M31" s="32">
        <f>'VZLA BFS'!M31/'VENEZUELA USD'!$AH$3</f>
        <v>8609.0870069605571</v>
      </c>
      <c r="N31" s="34">
        <f>+M31/$M$20</f>
        <v>0.17981721551074262</v>
      </c>
      <c r="O31" s="34">
        <f>IF(K31=0,"",(M31-K31)/ABS(K31)+1)</f>
        <v>1.3312493263703815</v>
      </c>
      <c r="P31" s="63">
        <f>+'VZLA BFS'!P31/'VENEZUELA USD'!$AH$4</f>
        <v>8390.0180360721442</v>
      </c>
      <c r="Q31" s="34">
        <f>IF($P$20&lt;=0," ",P31/$P$20)</f>
        <v>0.12876032510662769</v>
      </c>
      <c r="R31" s="34">
        <f>IF(M31=0,"",(M31-P31)/ABS(P31))</f>
        <v>2.6110667455843971E-2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1310.8991333717161</v>
      </c>
      <c r="D32" s="34" t="str">
        <f>IF(DD37&lt;=0," ",C32/$C$20)</f>
        <v xml:space="preserve"> </v>
      </c>
      <c r="E32" s="32">
        <f>'VZLA BFS'!E32/'VENEZUELA USD'!$AH$3</f>
        <v>4303.8452436194893</v>
      </c>
      <c r="F32" s="34">
        <f>+E32/$E$20</f>
        <v>0.92560485553046412</v>
      </c>
      <c r="G32" s="34">
        <f>IF(C32=0,"",(E32-C32)/ABS(C32)+1)</f>
        <v>3.2831246386972013</v>
      </c>
      <c r="H32" s="63">
        <f>+'VZLA BFS'!H32/'VENEZUELA USD'!$AH$4</f>
        <v>5910.6885771543084</v>
      </c>
      <c r="I32" s="34">
        <f>IF($H$20&lt;=0," ",H32/$H$20)</f>
        <v>0.8100989686091461</v>
      </c>
      <c r="J32" s="34">
        <f>IF(E32=0,"",(E32-H32)/ABS(H32))</f>
        <v>-0.27185383099788202</v>
      </c>
      <c r="K32" s="32">
        <f>'VZLA BFS'!K28/'VENEZUELA USD'!$AH$3</f>
        <v>8299.9710414925848</v>
      </c>
      <c r="L32" s="34">
        <f>IF($K$20&lt;=0," ",K32/$K$20)</f>
        <v>0.11569320769732423</v>
      </c>
      <c r="M32" s="32">
        <f>'VZLA BFS'!M32/'VENEZUELA USD'!$AH$3</f>
        <v>38520.364501160104</v>
      </c>
      <c r="N32" s="34">
        <f>+M32/$M$20</f>
        <v>0.80457134182256507</v>
      </c>
      <c r="O32" s="34">
        <f>IF(K32=0,"",(M32-K32)/ABS(K32)+1)</f>
        <v>4.6410239636490322</v>
      </c>
      <c r="P32" s="63">
        <f>+'VZLA BFS'!P32/'VENEZUELA USD'!$AH$4</f>
        <v>40131.361122244489</v>
      </c>
      <c r="Q32" s="34">
        <f>IF($P$20&lt;=0," ",P32/$P$20)</f>
        <v>0.61588986851460992</v>
      </c>
      <c r="R32" s="34">
        <f>IF(M32=0,"",(M32-P32)/ABS(P32))</f>
        <v>-4.0143084511315583E-2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5327.7830626450113</v>
      </c>
      <c r="F34" s="34">
        <f>+E34/$E$20</f>
        <v>1.1458176567357041</v>
      </c>
      <c r="G34" s="34" t="str">
        <f>IF(C34=0,"",(E34-C34)/ABS(C34)+1)</f>
        <v/>
      </c>
      <c r="H34" s="63">
        <f>+'VZLA BFS'!H34/'VENEZUELA USD'!$AH$4</f>
        <v>7145.2689378757514</v>
      </c>
      <c r="I34" s="34">
        <f>IF($H$20&lt;=0," ",H34/$H$20)</f>
        <v>0.97930637377530705</v>
      </c>
      <c r="J34" s="34">
        <f>IF(E34=0,"",(E34-H34)/ABS(H34))</f>
        <v>-0.25436213682547104</v>
      </c>
      <c r="K34" s="32">
        <f>'VZLA BFS'!K29/'VENEZUELA USD'!$AH$3</f>
        <v>0</v>
      </c>
      <c r="L34" s="34">
        <f>IF($K$20&lt;=0," ",K34/$K$20)</f>
        <v>0</v>
      </c>
      <c r="M34" s="32">
        <f>'VZLA BFS'!M34/'VENEZUELA USD'!$AH$3</f>
        <v>46058.16426914154</v>
      </c>
      <c r="N34" s="34">
        <f>+M34/$M$20</f>
        <v>0.96201267843120475</v>
      </c>
      <c r="O34" s="34" t="str">
        <f>IF(K34=0,"",(M34-K34)/ABS(K34)+1)</f>
        <v/>
      </c>
      <c r="P34" s="63">
        <f>+'VZLA BFS'!P34/'VENEZUELA USD'!$AH$4</f>
        <v>48555.478557114227</v>
      </c>
      <c r="Q34" s="34">
        <f>IF($P$20&lt;=0," ",P34/$P$20)</f>
        <v>0.74517351188542269</v>
      </c>
      <c r="R34" s="34">
        <f>IF(M34=0,"",(M34-P34)/ABS(P34))</f>
        <v>-5.1432183600768719E-2</v>
      </c>
      <c r="S34" s="68"/>
      <c r="AL34" s="79" t="s">
        <v>137</v>
      </c>
      <c r="AT34" s="79" t="s">
        <v>138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6" t="s">
        <v>6</v>
      </c>
      <c r="AM35" s="107">
        <v>1788641</v>
      </c>
      <c r="AN35" s="108"/>
      <c r="AO35" s="108"/>
      <c r="AP35" s="108"/>
      <c r="AQ35" s="108"/>
      <c r="AT35" s="106" t="s">
        <v>6</v>
      </c>
      <c r="AU35" s="107">
        <v>4.71</v>
      </c>
      <c r="AV35" s="108"/>
      <c r="AW35" s="108"/>
      <c r="AX35" s="108"/>
      <c r="AY35" s="108"/>
    </row>
    <row r="36" spans="2:51" ht="15" x14ac:dyDescent="0.25">
      <c r="B36" s="3" t="s">
        <v>55</v>
      </c>
      <c r="C36" s="32">
        <f>'VZLA BFS'!C30/'VENEZUELA USD'!$AH$3</f>
        <v>7334.0310002850465</v>
      </c>
      <c r="D36" s="34" t="str">
        <f>IF(DD39&lt;=0," ",C36/$C$20)</f>
        <v xml:space="preserve"> </v>
      </c>
      <c r="E36" s="32">
        <f>'VZLA BFS'!E36/'VENEZUELA USD'!$AH$3</f>
        <v>-678.01786542923446</v>
      </c>
      <c r="F36" s="34">
        <f>+E36/$E$20</f>
        <v>-0.14581765673570427</v>
      </c>
      <c r="G36" s="34">
        <f>IF(C36=0,"",(E36-C36)/ABS(C36)+1)</f>
        <v>-9.2448186461562942E-2</v>
      </c>
      <c r="H36" s="63">
        <f>+'VZLA BFS'!H36/'VENEZUELA USD'!$AH$4</f>
        <v>150.98597194388802</v>
      </c>
      <c r="I36" s="34">
        <f>IF($H$20&lt;=0," ",H36/$H$20)</f>
        <v>2.0693626224692899E-2</v>
      </c>
      <c r="J36" s="34">
        <f>IF(E36=0,"",(E36-H36)/ABS(H36))</f>
        <v>-5.4906017208089439</v>
      </c>
      <c r="K36" s="32">
        <f>'VZLA BFS'!K30/'VENEZUELA USD'!$AH$3</f>
        <v>49973.81862727362</v>
      </c>
      <c r="L36" s="34">
        <f>IF($K$20&lt;=0," ",K36/$K$20)</f>
        <v>0.69658452408694982</v>
      </c>
      <c r="M36" s="32">
        <f>'VZLA BFS'!M36/'VENEZUELA USD'!$AH$3</f>
        <v>1818.7143851507979</v>
      </c>
      <c r="N36" s="34">
        <f>+M36/$M$20</f>
        <v>3.7987321568795369E-2</v>
      </c>
      <c r="O36" s="34">
        <f>IF(K36=0,"",(M36-K36)/ABS(K36)+1)</f>
        <v>3.6393344257231175E-2</v>
      </c>
      <c r="P36" s="63">
        <f>+'VZLA BFS'!P36/'VENEZUELA USD'!$AH$4</f>
        <v>16604.484569138283</v>
      </c>
      <c r="Q36" s="34">
        <f>IF($P$20&lt;=0," ",P36/$P$20)</f>
        <v>0.25482648811457737</v>
      </c>
      <c r="R36" s="34">
        <f>IF(M36=0,"",(M36-P36)/ABS(P36))</f>
        <v>-0.89046848292231073</v>
      </c>
      <c r="AL36" s="106" t="s">
        <v>9</v>
      </c>
      <c r="AM36" s="107">
        <v>1899023</v>
      </c>
      <c r="AN36" s="108"/>
      <c r="AO36" s="108"/>
      <c r="AP36" s="108"/>
      <c r="AQ36" s="108"/>
      <c r="AT36" s="106" t="s">
        <v>9</v>
      </c>
      <c r="AU36" s="107">
        <v>4.6100000000000003</v>
      </c>
      <c r="AV36" s="108"/>
      <c r="AW36" s="108"/>
      <c r="AX36" s="108"/>
      <c r="AY36" s="108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6" t="s">
        <v>10</v>
      </c>
      <c r="AM37" s="107">
        <v>2115582</v>
      </c>
      <c r="AN37" s="108"/>
      <c r="AO37" s="108"/>
      <c r="AP37" s="108"/>
      <c r="AQ37" s="108"/>
      <c r="AT37" s="106" t="s">
        <v>10</v>
      </c>
      <c r="AU37" s="107">
        <v>4.4800000000000004</v>
      </c>
      <c r="AV37" s="108"/>
      <c r="AW37" s="108"/>
      <c r="AX37" s="108"/>
      <c r="AY37" s="108"/>
    </row>
    <row r="38" spans="2:51" ht="15" x14ac:dyDescent="0.25">
      <c r="B38" s="3" t="s">
        <v>56</v>
      </c>
      <c r="C38" s="32">
        <f>'VZLA BFS'!C31/'VENEZUELA USD'!$AH$3</f>
        <v>984.57076566125284</v>
      </c>
      <c r="D38" s="34" t="str">
        <f>IF(DD40&lt;=0," ",C38/$C$20)</f>
        <v xml:space="preserve"> </v>
      </c>
      <c r="E38" s="32">
        <f>'VZLA BFS'!E38/'VENEZUELA USD'!$AH$3</f>
        <v>-0.85846867749419953</v>
      </c>
      <c r="F38" s="34">
        <f>+E38/$E$20</f>
        <v>-1.846262426344109E-4</v>
      </c>
      <c r="G38" s="34">
        <f>IF(C38=0,"",(E38-C38)/ABS(C38)+1)</f>
        <v>-8.7192176269601518E-4</v>
      </c>
      <c r="H38" s="63">
        <f>+'VZLA BFS'!H38/'VENEZUELA USD'!$AH$4</f>
        <v>1556.9959919839678</v>
      </c>
      <c r="I38" s="34">
        <f>IF($H$20&lt;=0," ",H38/$H$20)</f>
        <v>0.21339660020492021</v>
      </c>
      <c r="J38" s="34">
        <f>IF(E38=0,"",(E38-H38)/ABS(H38))</f>
        <v>-1.0005513621627249</v>
      </c>
      <c r="K38" s="32">
        <f>'VZLA BFS'!K31/'VENEZUELA USD'!$AH$3</f>
        <v>8759.2111368909518</v>
      </c>
      <c r="L38" s="34">
        <f>IF($K$20&lt;=0," ",K38/$K$20)</f>
        <v>0.1220945504820465</v>
      </c>
      <c r="M38" s="32">
        <f>'VZLA BFS'!M38/'VENEZUELA USD'!$AH$3</f>
        <v>-145.96287703016239</v>
      </c>
      <c r="N38" s="34">
        <f>+M38/$M$20</f>
        <v>-3.0487133065654915E-3</v>
      </c>
      <c r="O38" s="34">
        <f>IF(K38=0,"",(M38-K38)/ABS(K38)+1)</f>
        <v>-1.6663929519339371E-2</v>
      </c>
      <c r="P38" s="63">
        <f>+'VZLA BFS'!P38/'VENEZUELA USD'!$AH$4</f>
        <v>11191.550300601202</v>
      </c>
      <c r="Q38" s="34">
        <f>IF($P$20&lt;=0," ",P38/$P$20)</f>
        <v>0.1717550127969947</v>
      </c>
      <c r="R38" s="34">
        <f>IF(M38=0,"",(M38-P38)/ABS(P38))</f>
        <v>-1.013042239288539</v>
      </c>
      <c r="AL38" s="106" t="s">
        <v>11</v>
      </c>
      <c r="AM38" s="107">
        <v>2900823</v>
      </c>
      <c r="AN38" s="108"/>
      <c r="AO38" s="108"/>
      <c r="AP38" s="108"/>
      <c r="AQ38" s="108"/>
      <c r="AT38" s="106" t="s">
        <v>11</v>
      </c>
      <c r="AU38" s="107">
        <v>4.57</v>
      </c>
      <c r="AV38" s="108"/>
      <c r="AW38" s="108"/>
      <c r="AX38" s="108"/>
      <c r="AY38" s="108"/>
    </row>
    <row r="39" spans="2:51" ht="15" x14ac:dyDescent="0.25">
      <c r="B39" s="3" t="s">
        <v>57</v>
      </c>
      <c r="C39" s="32">
        <f>'VZLA BFS'!C32/'VENEZUELA USD'!$AH$3</f>
        <v>8318.6017659462996</v>
      </c>
      <c r="D39" s="34" t="str">
        <f>IF(DD41&lt;=0," ",C39/$C$20)</f>
        <v xml:space="preserve"> </v>
      </c>
      <c r="E39" s="32">
        <f>'VZLA BFS'!E39/'VENEZUELA USD'!$AH$3</f>
        <v>2.8716937354988397</v>
      </c>
      <c r="F39" s="34">
        <f>+E39/$E$20</f>
        <v>6.1759973110435233E-4</v>
      </c>
      <c r="G39" s="34">
        <f>IF(C39=0,"",(E39-C39)/ABS(C39)+1)</f>
        <v>3.4521351259464428E-4</v>
      </c>
      <c r="H39" s="63">
        <f>+'VZLA BFS'!H39/'VENEZUELA USD'!$AH$4</f>
        <v>413.14028056112227</v>
      </c>
      <c r="I39" s="34">
        <f>IF($H$20&lt;=0," ",H39/$H$20)</f>
        <v>5.6623608367232188E-2</v>
      </c>
      <c r="J39" s="34">
        <f>IF(E39=0,"",(E39-H39)/ABS(H39))</f>
        <v>-0.99304910735985708</v>
      </c>
      <c r="K39" s="32">
        <f>'VZLA BFS'!K32/'VENEZUELA USD'!$AH$3</f>
        <v>58733.029764164574</v>
      </c>
      <c r="L39" s="34">
        <f>IF($K$20&lt;=0," ",K39/$K$20)</f>
        <v>0.81867907456899636</v>
      </c>
      <c r="M39" s="32">
        <f>'VZLA BFS'!M39/'VENEZUELA USD'!$AH$3</f>
        <v>743.06287703016233</v>
      </c>
      <c r="N39" s="34">
        <f>+M39/$M$20</f>
        <v>1.5520286574980053E-2</v>
      </c>
      <c r="O39" s="34">
        <f>IF(K39=0,"",(M39-K39)/ABS(K39)+1)</f>
        <v>1.2651533217575284E-2</v>
      </c>
      <c r="P39" s="63">
        <f>+'VZLA BFS'!P39/'VENEZUELA USD'!$AH$4</f>
        <v>1447.6052104208418</v>
      </c>
      <c r="Q39" s="34">
        <f>IF($P$20&lt;=0," ",P39/$P$20)</f>
        <v>2.2216176022322079E-2</v>
      </c>
      <c r="R39" s="34">
        <f>IF(M39=0,"",(M39-P39)/ABS(P39))</f>
        <v>-0.48669507979033722</v>
      </c>
      <c r="AL39" s="106" t="s">
        <v>12</v>
      </c>
      <c r="AM39" s="107">
        <v>3143738</v>
      </c>
      <c r="AN39" s="108"/>
      <c r="AO39" s="108"/>
      <c r="AP39" s="108"/>
      <c r="AQ39" s="108"/>
      <c r="AT39" s="106" t="s">
        <v>12</v>
      </c>
      <c r="AU39" s="107">
        <v>5.14</v>
      </c>
      <c r="AV39" s="108"/>
      <c r="AW39" s="108"/>
      <c r="AX39" s="108"/>
      <c r="AY39" s="108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6" t="s">
        <v>13</v>
      </c>
      <c r="AM40" s="107">
        <v>3267940</v>
      </c>
      <c r="AN40" s="108"/>
      <c r="AO40" s="108"/>
      <c r="AP40" s="108"/>
      <c r="AQ40" s="108"/>
      <c r="AT40" s="106" t="s">
        <v>13</v>
      </c>
      <c r="AU40" s="107">
        <v>5.78</v>
      </c>
      <c r="AV40" s="108"/>
      <c r="AW40" s="108"/>
      <c r="AX40" s="108"/>
      <c r="AY40" s="108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-681.74802784222754</v>
      </c>
      <c r="F41" s="34">
        <f>+E41/$E$20</f>
        <v>-0.14661988270944304</v>
      </c>
      <c r="G41" s="34" t="str">
        <f>IF(C41=0,"",(E41-C41)/ABS(C41)+1)</f>
        <v/>
      </c>
      <c r="H41" s="63">
        <f>+'VZLA BFS'!H41/'VENEZUELA USD'!$AH$4</f>
        <v>1294.8416833667336</v>
      </c>
      <c r="I41" s="34">
        <f>IF($H$20&lt;=0," ",H41/$H$20)</f>
        <v>0.17746661806238093</v>
      </c>
      <c r="J41" s="34">
        <f>IF(E41=0,"",(E41-H41)/ABS(H41))</f>
        <v>-1.5265107206539767</v>
      </c>
      <c r="K41" s="32">
        <f>'VZLA BFS'!K33/'VENEZUELA USD'!$AH$3</f>
        <v>0</v>
      </c>
      <c r="L41" s="34">
        <f>IF($K$20&lt;=0," ",K41/$K$20)</f>
        <v>0</v>
      </c>
      <c r="M41" s="32">
        <f>'VZLA BFS'!M41/'VENEZUELA USD'!$AH$3</f>
        <v>929.68863109047311</v>
      </c>
      <c r="N41" s="34">
        <f>+M41/$M$20</f>
        <v>1.9418321687249825E-2</v>
      </c>
      <c r="O41" s="34" t="str">
        <f>IF(K41=0,"",(M41-K41)/ABS(K41)+1)</f>
        <v/>
      </c>
      <c r="P41" s="63">
        <f>+'VZLA BFS'!P41/'VENEZUELA USD'!$AH$4</f>
        <v>26348.429659318641</v>
      </c>
      <c r="Q41" s="34">
        <f>IF($P$20&lt;=0," ",P41/$P$20)</f>
        <v>0.40436532488924992</v>
      </c>
      <c r="R41" s="34">
        <f>IF(M41=0,"",(M41-P41)/ABS(P41))</f>
        <v>-0.96471559621915948</v>
      </c>
      <c r="AL41" s="106" t="s">
        <v>14</v>
      </c>
      <c r="AM41" s="107">
        <v>4139112</v>
      </c>
      <c r="AN41" s="108"/>
      <c r="AO41" s="108"/>
      <c r="AP41" s="108"/>
      <c r="AQ41" s="108"/>
      <c r="AT41" s="106" t="s">
        <v>14</v>
      </c>
      <c r="AU41" s="107">
        <v>5.91</v>
      </c>
      <c r="AV41" s="108"/>
      <c r="AW41" s="108"/>
      <c r="AX41" s="108"/>
      <c r="AY41" s="108"/>
    </row>
    <row r="42" spans="2:51" ht="15" x14ac:dyDescent="0.25">
      <c r="B42" s="3" t="s">
        <v>44</v>
      </c>
      <c r="C42" s="32">
        <f>'VZLA BFS'!C34/'VENEZUELA USD'!$AH$3</f>
        <v>9629.5008993180163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>
        <f>IF(C42=0,"",(E42-C42)/ABS(C42)+1)</f>
        <v>0</v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67033.000805657153</v>
      </c>
      <c r="L42" s="34">
        <f>IF($K$20&lt;=0," ",K42/$K$20)</f>
        <v>0.93437228226632052</v>
      </c>
      <c r="M42" s="32">
        <f>'VZLA BFS'!M42/'VENEZUELA USD'!$AH$3</f>
        <v>0</v>
      </c>
      <c r="N42" s="34">
        <f>+M42/$M$20</f>
        <v>0</v>
      </c>
      <c r="O42" s="34">
        <f>IF(K42=0,"",(M42-K42)/ABS(K42)+1)</f>
        <v>0</v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6" t="s">
        <v>15</v>
      </c>
      <c r="AM42" s="107">
        <v>4148043</v>
      </c>
      <c r="AN42" s="108"/>
      <c r="AO42" s="108"/>
      <c r="AP42" s="108"/>
      <c r="AQ42" s="108"/>
      <c r="AT42" s="106" t="s">
        <v>15</v>
      </c>
      <c r="AU42" s="107">
        <v>8.39</v>
      </c>
      <c r="AV42" s="108"/>
      <c r="AW42" s="108"/>
      <c r="AX42" s="108"/>
      <c r="AY42" s="108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-681.74802784222754</v>
      </c>
      <c r="F43" s="34">
        <f>+E43/$E$20</f>
        <v>-0.14661988270944304</v>
      </c>
      <c r="G43" s="34" t="str">
        <f>IF(C43=0,"",(E43-C43)/ABS(C43)+1)</f>
        <v/>
      </c>
      <c r="H43" s="63">
        <f>+'VZLA BFS'!H43/'VENEZUELA USD'!$AH$4</f>
        <v>1294.8416833667336</v>
      </c>
      <c r="I43" s="34">
        <f>IF($H$20&lt;=0," ",H43/$H$20)</f>
        <v>0.17746661806238093</v>
      </c>
      <c r="J43" s="34">
        <f>IF(E43=0,"",(E43-H43)/ABS(H43))</f>
        <v>-1.5265107206539767</v>
      </c>
      <c r="K43" s="32">
        <f>'VZLA BFS'!K35/'VENEZUELA USD'!$AH$3</f>
        <v>0</v>
      </c>
      <c r="L43" s="34">
        <f>IF($K$20&lt;=0," ",K43/$K$20)</f>
        <v>0</v>
      </c>
      <c r="M43" s="32">
        <f>'VZLA BFS'!M43/'VENEZUELA USD'!$AH$3</f>
        <v>929.68863109047311</v>
      </c>
      <c r="N43" s="34">
        <f>+M43/$M$20</f>
        <v>1.9418321687249825E-2</v>
      </c>
      <c r="O43" s="34" t="str">
        <f>IF(K43=0,"",(M43-K43)/ABS(K43)+1)</f>
        <v/>
      </c>
      <c r="P43" s="63">
        <f>+'VZLA BFS'!P43/'VENEZUELA USD'!$AH$4</f>
        <v>26348.429659318641</v>
      </c>
      <c r="Q43" s="34">
        <f>IF($P$20&lt;=0," ",P43/$P$20)</f>
        <v>0.40436532488924992</v>
      </c>
      <c r="R43" s="34">
        <f>IF(M43=0,"",(M43-P43)/ABS(P43))</f>
        <v>-0.96471559621915948</v>
      </c>
      <c r="AL43" s="106" t="s">
        <v>7</v>
      </c>
      <c r="AM43" s="107">
        <v>4549688</v>
      </c>
      <c r="AN43" s="108"/>
      <c r="AO43" s="108"/>
      <c r="AP43" s="108"/>
      <c r="AQ43" s="108"/>
      <c r="AT43" s="106" t="s">
        <v>7</v>
      </c>
      <c r="AU43" s="107">
        <v>8.3699999999999992</v>
      </c>
      <c r="AV43" s="108"/>
      <c r="AW43" s="108"/>
      <c r="AX43" s="108"/>
      <c r="AY43" s="108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6" t="s">
        <v>16</v>
      </c>
      <c r="AM44" s="107">
        <v>4.5599999999999996</v>
      </c>
      <c r="AN44" s="108"/>
      <c r="AO44" s="108"/>
      <c r="AP44" s="108"/>
      <c r="AQ44" s="108"/>
      <c r="AT44" s="106" t="s">
        <v>16</v>
      </c>
      <c r="AU44" s="107">
        <v>9.0500000000000007</v>
      </c>
      <c r="AV44" s="108"/>
      <c r="AW44" s="108"/>
      <c r="AX44" s="108"/>
      <c r="AY44" s="108"/>
    </row>
    <row r="45" spans="2:51" ht="23.25" x14ac:dyDescent="0.25">
      <c r="B45" s="3" t="s">
        <v>60</v>
      </c>
      <c r="C45" s="32">
        <f>'VZLA BFS'!C36/'VENEZUELA USD'!$AH$3</f>
        <v>1483.6452723757186</v>
      </c>
      <c r="D45" s="34" t="str">
        <f>IF(DD45&lt;=0," ",C45/$C$20)</f>
        <v xml:space="preserve"> </v>
      </c>
      <c r="E45" s="32">
        <f>'VZLA BFS'!E45/'VENEZUELA USD'!$AH$3</f>
        <v>-671.10603248259883</v>
      </c>
      <c r="F45" s="34">
        <f>+E45/$E$20</f>
        <v>-0.14433116598757481</v>
      </c>
      <c r="G45" s="34">
        <f>IF(C45=0,"",(E45-C45)/ABS(C45)+1)</f>
        <v>-0.4523359087094827</v>
      </c>
      <c r="H45" s="63">
        <f>+'VZLA BFS'!H45/'VENEZUELA USD'!$AH$4</f>
        <v>1294.8416833667336</v>
      </c>
      <c r="I45" s="34">
        <f>IF($H$20&lt;=0," ",H45/$H$20)</f>
        <v>0.17746661806238093</v>
      </c>
      <c r="J45" s="34">
        <f>IF(E45=0,"",(E45-H45)/ABS(H45))</f>
        <v>-1.5182919588575863</v>
      </c>
      <c r="K45" s="32">
        <f>'VZLA BFS'!K36/'VENEZUELA USD'!$AH$3</f>
        <v>4708.2120683683588</v>
      </c>
      <c r="L45" s="34">
        <f>IF($K$20&lt;=0," ",K45/$K$20)</f>
        <v>6.562771773367948E-2</v>
      </c>
      <c r="M45" s="32">
        <f>'VZLA BFS'!M45/'VENEZUELA USD'!$AH$3</f>
        <v>1025.396519721573</v>
      </c>
      <c r="N45" s="34">
        <f>+M45/$M$20</f>
        <v>2.1417363632364586E-2</v>
      </c>
      <c r="O45" s="34">
        <f>IF(K45=0,"",(M45-K45)/ABS(K45)+1)</f>
        <v>0.21778894086156286</v>
      </c>
      <c r="P45" s="63">
        <f>+'VZLA BFS'!P45/'VENEZUELA USD'!$AH$4</f>
        <v>20354.877354709428</v>
      </c>
      <c r="Q45" s="34">
        <f>IF($P$20&lt;=0," ",P45/$P$20)</f>
        <v>0.31238319326961966</v>
      </c>
      <c r="R45" s="34">
        <f>IF(M45=0,"",(M45-P45)/ABS(P45))</f>
        <v>-0.94962403841336185</v>
      </c>
      <c r="AL45" s="106" t="s">
        <v>17</v>
      </c>
      <c r="AM45" s="107">
        <v>4.99</v>
      </c>
      <c r="AN45" s="108"/>
      <c r="AO45" s="108"/>
      <c r="AP45" s="109" t="s">
        <v>139</v>
      </c>
      <c r="AQ45" s="108" t="s">
        <v>140</v>
      </c>
      <c r="AT45" s="106" t="s">
        <v>17</v>
      </c>
      <c r="AU45" s="107">
        <v>13.1</v>
      </c>
      <c r="AV45" s="108"/>
      <c r="AW45" s="108"/>
      <c r="AX45" s="109" t="s">
        <v>139</v>
      </c>
      <c r="AY45" s="108" t="s">
        <v>140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2194.0092807424594</v>
      </c>
      <c r="F46" s="34">
        <f>+E46/$E$20</f>
        <v>0.47185377920936855</v>
      </c>
      <c r="G46" s="34" t="str">
        <f>IF(C46=0,"",(E46-C46)/ABS(C46)+1)</f>
        <v/>
      </c>
      <c r="H46" s="63">
        <f>+'VZLA BFS'!H46/'VENEZUELA USD'!$AH$4</f>
        <v>3061.1222444889781</v>
      </c>
      <c r="I46" s="34">
        <f>IF($H$20&lt;=0," ",H46/$H$20)</f>
        <v>0.41954705288177052</v>
      </c>
      <c r="J46" s="34">
        <f>IF(E46=0,"",(E46-H46)/ABS(H46))</f>
        <v>-0.28326636262488564</v>
      </c>
      <c r="K46" s="32">
        <f>'VZLA BFS'!K37/'VENEZUELA USD'!$AH$3</f>
        <v>0</v>
      </c>
      <c r="L46" s="34">
        <f>IF($K$20&lt;=0," ",K46/$K$20)</f>
        <v>0</v>
      </c>
      <c r="M46" s="32">
        <f>'VZLA BFS'!M46/'VENEZUELA USD'!$AH$3</f>
        <v>19443.238283062645</v>
      </c>
      <c r="N46" s="34">
        <f>+M46/$M$20</f>
        <v>0.406109145574374</v>
      </c>
      <c r="O46" s="34" t="str">
        <f>IF(K46=0,"",(M46-K46)/ABS(K46)+1)</f>
        <v/>
      </c>
      <c r="P46" s="63">
        <f>+'VZLA BFS'!P46/'VENEZUELA USD'!$AH$4</f>
        <v>20319.842885771541</v>
      </c>
      <c r="Q46" s="34">
        <f>IF($P$20&lt;=0," ",P46/$P$20)</f>
        <v>0.31184552462683662</v>
      </c>
      <c r="R46" s="34">
        <f>IF(M46=0,"",(M46-P46)/ABS(P46))</f>
        <v>-4.3140323851751643E-2</v>
      </c>
      <c r="AL46" s="106" t="s">
        <v>18</v>
      </c>
      <c r="AM46" s="107">
        <v>4.6900000000000004</v>
      </c>
      <c r="AN46" s="110">
        <f>1/AM46</f>
        <v>0.21321961620469082</v>
      </c>
      <c r="AO46" s="108" t="s">
        <v>141</v>
      </c>
      <c r="AP46" s="108">
        <v>11272</v>
      </c>
      <c r="AQ46" s="111">
        <f>+AP46*AN46</f>
        <v>2403.4115138592751</v>
      </c>
      <c r="AT46" s="106" t="s">
        <v>18</v>
      </c>
      <c r="AU46" s="107">
        <v>18.600000000000001</v>
      </c>
      <c r="AV46" s="110">
        <f>1/AU46</f>
        <v>5.3763440860215048E-2</v>
      </c>
      <c r="AW46" s="108" t="s">
        <v>141</v>
      </c>
      <c r="AX46" s="112">
        <v>11272</v>
      </c>
      <c r="AY46" s="111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s="108" t="s">
        <v>142</v>
      </c>
      <c r="AM47" s="113">
        <f>AVERAGE(AM35:AM46)</f>
        <v>2329383.6866666665</v>
      </c>
      <c r="AN47" s="110">
        <f>1/AM47</f>
        <v>4.2929810392507461E-7</v>
      </c>
      <c r="AO47" s="108" t="s">
        <v>143</v>
      </c>
      <c r="AP47" s="114">
        <v>11272</v>
      </c>
      <c r="AQ47" s="115">
        <f>+AP47*AN47</f>
        <v>4.8390482274434411E-3</v>
      </c>
      <c r="AT47" s="108" t="s">
        <v>142</v>
      </c>
      <c r="AU47" s="113">
        <f>AVERAGE(AU35:AU46)</f>
        <v>7.725833333333334</v>
      </c>
      <c r="AV47" s="110">
        <f>1/AU47</f>
        <v>0.12943587531010678</v>
      </c>
      <c r="AW47" s="108" t="s">
        <v>143</v>
      </c>
      <c r="AX47" s="114">
        <v>11272</v>
      </c>
      <c r="AY47" s="115">
        <f>+AX47*AV47</f>
        <v>1459.0011864955236</v>
      </c>
    </row>
    <row r="51" spans="35:43" x14ac:dyDescent="0.2">
      <c r="AL51" s="79" t="s">
        <v>144</v>
      </c>
    </row>
    <row r="52" spans="35:43" ht="15" x14ac:dyDescent="0.25">
      <c r="AL52" s="106" t="s">
        <v>6</v>
      </c>
      <c r="AM52" s="107">
        <v>23.11</v>
      </c>
      <c r="AN52" s="108"/>
      <c r="AO52" s="108"/>
      <c r="AP52" s="108"/>
      <c r="AQ52" s="108"/>
    </row>
    <row r="53" spans="35:43" ht="15" x14ac:dyDescent="0.25">
      <c r="AL53" s="106" t="s">
        <v>9</v>
      </c>
      <c r="AM53" s="107">
        <v>25.1</v>
      </c>
      <c r="AN53" s="108"/>
      <c r="AO53" s="108"/>
      <c r="AP53" s="108"/>
      <c r="AQ53" s="108"/>
    </row>
    <row r="54" spans="35:43" ht="15" x14ac:dyDescent="0.25">
      <c r="AL54" s="106" t="s">
        <v>10</v>
      </c>
      <c r="AM54" s="107">
        <v>24.95</v>
      </c>
      <c r="AN54" s="108"/>
      <c r="AO54" s="108"/>
      <c r="AP54" s="108"/>
      <c r="AQ54" s="108"/>
    </row>
    <row r="55" spans="35:43" ht="15" x14ac:dyDescent="0.25">
      <c r="AI55" s="2">
        <f>1/36.48</f>
        <v>2.7412280701754388E-2</v>
      </c>
      <c r="AL55" s="106" t="s">
        <v>11</v>
      </c>
      <c r="AM55" s="107">
        <v>28.23</v>
      </c>
      <c r="AN55" s="108"/>
      <c r="AO55" s="108"/>
      <c r="AP55" s="108"/>
      <c r="AQ55" s="108"/>
    </row>
    <row r="56" spans="35:43" ht="15" x14ac:dyDescent="0.25">
      <c r="AL56" s="106" t="s">
        <v>12</v>
      </c>
      <c r="AM56" s="107">
        <v>28.23</v>
      </c>
      <c r="AN56" s="108"/>
      <c r="AO56" s="108"/>
      <c r="AP56" s="108"/>
      <c r="AQ56" s="108"/>
    </row>
    <row r="57" spans="35:43" ht="15" x14ac:dyDescent="0.25">
      <c r="AL57" s="106" t="s">
        <v>13</v>
      </c>
      <c r="AM57" s="107">
        <v>28.35</v>
      </c>
      <c r="AN57" s="108"/>
      <c r="AO57" s="108"/>
      <c r="AP57" s="108"/>
      <c r="AQ57" s="108"/>
    </row>
    <row r="58" spans="35:43" ht="15" x14ac:dyDescent="0.25">
      <c r="AL58" s="106" t="s">
        <v>14</v>
      </c>
      <c r="AM58" s="107">
        <v>33.93</v>
      </c>
      <c r="AN58" s="108"/>
      <c r="AO58" s="108"/>
      <c r="AP58" s="108"/>
      <c r="AQ58" s="108"/>
    </row>
    <row r="59" spans="35:43" ht="15" x14ac:dyDescent="0.25">
      <c r="AL59" s="106" t="s">
        <v>15</v>
      </c>
      <c r="AM59" s="107">
        <v>34.659999999999997</v>
      </c>
      <c r="AN59" s="108"/>
      <c r="AO59" s="108"/>
      <c r="AP59" s="108"/>
      <c r="AQ59" s="108"/>
    </row>
    <row r="60" spans="35:43" ht="15" x14ac:dyDescent="0.25">
      <c r="AL60" s="106" t="s">
        <v>7</v>
      </c>
      <c r="AM60" s="107">
        <v>35.74</v>
      </c>
      <c r="AN60" s="108"/>
      <c r="AO60" s="108"/>
      <c r="AP60" s="108"/>
      <c r="AQ60" s="108"/>
    </row>
    <row r="61" spans="35:43" ht="15" x14ac:dyDescent="0.25">
      <c r="AL61" s="106" t="s">
        <v>16</v>
      </c>
      <c r="AM61" s="107">
        <v>37.29</v>
      </c>
      <c r="AN61" s="108"/>
      <c r="AO61" s="108"/>
      <c r="AP61" s="108"/>
      <c r="AQ61" s="108"/>
    </row>
    <row r="62" spans="35:43" ht="23.25" x14ac:dyDescent="0.25">
      <c r="AL62" s="106" t="s">
        <v>17</v>
      </c>
      <c r="AM62" s="107">
        <v>37.950000000000003</v>
      </c>
      <c r="AN62" s="108"/>
      <c r="AO62" s="108"/>
      <c r="AP62" s="109" t="s">
        <v>139</v>
      </c>
      <c r="AQ62" s="108" t="s">
        <v>140</v>
      </c>
    </row>
    <row r="63" spans="35:43" ht="15" x14ac:dyDescent="0.25">
      <c r="AL63" s="106" t="s">
        <v>18</v>
      </c>
      <c r="AM63" s="107">
        <v>39.08</v>
      </c>
      <c r="AN63" s="110">
        <f>1/AM63</f>
        <v>2.5588536335721598E-2</v>
      </c>
      <c r="AO63" s="108" t="s">
        <v>141</v>
      </c>
      <c r="AP63" s="112">
        <v>394358</v>
      </c>
      <c r="AQ63" s="111">
        <f>+AP63*AN63</f>
        <v>10091.044012282498</v>
      </c>
    </row>
    <row r="64" spans="35:43" ht="15" x14ac:dyDescent="0.25">
      <c r="AL64" s="108" t="s">
        <v>142</v>
      </c>
      <c r="AM64" s="113">
        <f>AVERAGE(AM52:AM63)</f>
        <v>31.385000000000002</v>
      </c>
      <c r="AN64" s="110">
        <f>1/AM64</f>
        <v>3.186235462800701E-2</v>
      </c>
      <c r="AO64" s="108" t="s">
        <v>143</v>
      </c>
      <c r="AP64" s="112">
        <v>394358</v>
      </c>
      <c r="AQ64" s="115">
        <f>+AP64*AN64</f>
        <v>12565.174446391589</v>
      </c>
    </row>
    <row r="69" spans="38:43" x14ac:dyDescent="0.2">
      <c r="AL69" s="79" t="s">
        <v>145</v>
      </c>
    </row>
    <row r="70" spans="38:43" ht="15" x14ac:dyDescent="0.25">
      <c r="AL70" s="106" t="s">
        <v>6</v>
      </c>
      <c r="AM70" s="107">
        <v>38.53</v>
      </c>
      <c r="AN70" s="108"/>
      <c r="AO70" s="108"/>
      <c r="AP70" s="108"/>
      <c r="AQ70" s="108"/>
    </row>
    <row r="71" spans="38:43" ht="15" x14ac:dyDescent="0.25">
      <c r="AL71" s="106" t="s">
        <v>9</v>
      </c>
      <c r="AM71" s="107">
        <v>38.92</v>
      </c>
      <c r="AN71" s="108"/>
      <c r="AO71" s="108"/>
      <c r="AP71" s="108"/>
      <c r="AQ71" s="108"/>
    </row>
    <row r="72" spans="38:43" ht="15" x14ac:dyDescent="0.25">
      <c r="AL72" s="106" t="s">
        <v>10</v>
      </c>
      <c r="AM72" s="107">
        <v>39.119999999999997</v>
      </c>
      <c r="AN72" s="108"/>
      <c r="AO72" s="108"/>
      <c r="AP72" s="108"/>
      <c r="AQ72" s="108"/>
    </row>
    <row r="73" spans="38:43" ht="15" x14ac:dyDescent="0.25">
      <c r="AL73" s="106" t="s">
        <v>11</v>
      </c>
      <c r="AM73" s="107">
        <v>40.86</v>
      </c>
      <c r="AN73" s="108"/>
      <c r="AO73" s="108"/>
      <c r="AP73" s="108"/>
      <c r="AQ73" s="108"/>
    </row>
    <row r="74" spans="38:43" ht="15" x14ac:dyDescent="0.25">
      <c r="AL74" s="106" t="s">
        <v>12</v>
      </c>
      <c r="AM74" s="107">
        <v>36.46</v>
      </c>
      <c r="AN74" s="108"/>
      <c r="AO74" s="108"/>
      <c r="AP74" s="108"/>
      <c r="AQ74" s="108"/>
    </row>
    <row r="75" spans="38:43" ht="15" x14ac:dyDescent="0.25">
      <c r="AL75" s="106" t="s">
        <v>13</v>
      </c>
      <c r="AM75" s="107">
        <v>40.46</v>
      </c>
      <c r="AN75" s="108"/>
      <c r="AO75" s="108"/>
      <c r="AP75" s="108"/>
      <c r="AQ75" s="108"/>
    </row>
    <row r="76" spans="38:43" ht="15" x14ac:dyDescent="0.25">
      <c r="AL76" s="106" t="s">
        <v>14</v>
      </c>
      <c r="AM76" s="107">
        <v>45.57</v>
      </c>
      <c r="AN76" s="108"/>
      <c r="AO76" s="108"/>
      <c r="AP76" s="108"/>
      <c r="AQ76" s="108"/>
    </row>
    <row r="77" spans="38:43" ht="15" x14ac:dyDescent="0.25">
      <c r="AL77" s="106" t="s">
        <v>15</v>
      </c>
      <c r="AM77" s="107">
        <v>43.18</v>
      </c>
      <c r="AN77" s="108"/>
      <c r="AO77" s="108"/>
      <c r="AP77" s="108"/>
      <c r="AQ77" s="108"/>
    </row>
    <row r="78" spans="38:43" ht="15" x14ac:dyDescent="0.25">
      <c r="AL78" s="106" t="s">
        <v>7</v>
      </c>
      <c r="AM78" s="107">
        <v>43.1</v>
      </c>
      <c r="AN78" s="108"/>
      <c r="AO78" s="108"/>
      <c r="AP78" s="108"/>
      <c r="AQ78" s="108"/>
    </row>
    <row r="79" spans="38:43" ht="15" x14ac:dyDescent="0.25">
      <c r="AL79" s="106" t="s">
        <v>16</v>
      </c>
      <c r="AM79" s="107"/>
      <c r="AN79" s="108"/>
      <c r="AO79" s="108"/>
      <c r="AP79" s="108"/>
      <c r="AQ79" s="108"/>
    </row>
    <row r="80" spans="38:43" ht="23.25" x14ac:dyDescent="0.25">
      <c r="AL80" s="106" t="s">
        <v>17</v>
      </c>
      <c r="AM80" s="107"/>
      <c r="AN80" s="108"/>
      <c r="AO80" s="108"/>
      <c r="AP80" s="109" t="s">
        <v>139</v>
      </c>
      <c r="AQ80" s="108" t="s">
        <v>140</v>
      </c>
    </row>
    <row r="81" spans="38:43" ht="15" x14ac:dyDescent="0.25">
      <c r="AL81" s="106" t="s">
        <v>18</v>
      </c>
      <c r="AM81" s="107"/>
      <c r="AN81" s="110" t="e">
        <f>1/AM81</f>
        <v>#DIV/0!</v>
      </c>
      <c r="AO81" s="108" t="s">
        <v>141</v>
      </c>
      <c r="AP81" s="112"/>
      <c r="AQ81" s="111" t="e">
        <f>+AP81*AN81</f>
        <v>#DIV/0!</v>
      </c>
    </row>
    <row r="82" spans="38:43" ht="15" x14ac:dyDescent="0.25">
      <c r="AL82" s="108" t="s">
        <v>142</v>
      </c>
      <c r="AM82" s="113">
        <f>AVERAGE(AM70:AM81)</f>
        <v>40.688888888888897</v>
      </c>
      <c r="AN82" s="110">
        <f>1/AM82</f>
        <v>2.4576734025122879E-2</v>
      </c>
      <c r="AO82" s="108" t="s">
        <v>143</v>
      </c>
      <c r="AP82" s="112"/>
      <c r="AQ82" s="115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0B26B-AC25-419F-8697-CD06E0E7B61C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146</v>
      </c>
      <c r="T3" s="18" t="s">
        <v>146</v>
      </c>
    </row>
    <row r="4" spans="1:34" ht="14.25" customHeight="1" x14ac:dyDescent="0.2">
      <c r="A4" s="78" t="str">
        <f>+Paramet!A3</f>
        <v>202301</v>
      </c>
      <c r="B4" s="2" t="s">
        <v>20</v>
      </c>
      <c r="K4" s="116"/>
      <c r="L4" s="116"/>
      <c r="M4" s="116"/>
      <c r="N4" s="116"/>
      <c r="O4" s="116"/>
      <c r="P4" s="116"/>
      <c r="Q4" s="116"/>
      <c r="R4" s="116"/>
      <c r="S4" s="116"/>
      <c r="T4" s="3" t="s">
        <v>21</v>
      </c>
    </row>
    <row r="5" spans="1:34" ht="14.25" customHeight="1" x14ac:dyDescent="0.2">
      <c r="A5" s="78" t="str">
        <f>+Paramet!A4</f>
        <v>202309</v>
      </c>
      <c r="B5" s="3" t="s">
        <v>147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147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SEPTIEMBRE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SEPTIEMBRE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202409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7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7123.1</v>
      </c>
      <c r="Y10" s="32">
        <v>7123.1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-0.27865807779203411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7123.1</v>
      </c>
      <c r="Y21" s="32">
        <f>+Y10+Y19</f>
        <v>7123.1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-0.86529126879167984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148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7123.1</v>
      </c>
      <c r="Y30" s="69">
        <f>Y21-Y23-Y25-Y27-Y28</f>
        <v>7123.1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149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2250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2250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2250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-2250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-2250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-2250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-2250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2024-10-22T20:30:42Z</dcterms:created>
  <dcterms:modified xsi:type="dcterms:W3CDTF">2024-10-22T21:04:56Z</dcterms:modified>
</cp:coreProperties>
</file>