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1" documentId="8_{BE5E00E9-08FE-4284-A082-670F425FDCE1}" xr6:coauthVersionLast="47" xr6:coauthVersionMax="47" xr10:uidLastSave="{A8F6F54A-4943-4BFF-A6B3-945C398A8D5A}"/>
  <bookViews>
    <workbookView xWindow="-120" yWindow="-120" windowWidth="20730" windowHeight="11160" firstSheet="1" activeTab="1" xr2:uid="{8AB7DF13-2836-426F-8F4A-7200254FF11F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 iterate="1"/>
  <pivotCaches>
    <pivotCache cacheId="56" r:id="rId12"/>
    <pivotCache cacheId="57" r:id="rId13"/>
    <pivotCache cacheId="58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Z6" i="11"/>
  <c r="Y6" i="11"/>
  <c r="X6" i="11"/>
  <c r="AA6" i="11" s="1"/>
  <c r="W6" i="1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R28" i="10"/>
  <c r="P28" i="10"/>
  <c r="H28" i="10"/>
  <c r="J28" i="10" s="1"/>
  <c r="E28" i="10"/>
  <c r="I28" i="10" s="1"/>
  <c r="AC27" i="10"/>
  <c r="AA27" i="10"/>
  <c r="Y27" i="10"/>
  <c r="Z27" i="10" s="1"/>
  <c r="X27" i="10"/>
  <c r="R27" i="10"/>
  <c r="K27" i="10"/>
  <c r="K31" i="10" s="1"/>
  <c r="J27" i="10"/>
  <c r="I27" i="10"/>
  <c r="C27" i="10"/>
  <c r="G27" i="10" s="1"/>
  <c r="R26" i="10"/>
  <c r="J26" i="10"/>
  <c r="I26" i="10"/>
  <c r="G26" i="10"/>
  <c r="C26" i="10"/>
  <c r="C28" i="10" s="1"/>
  <c r="AC25" i="10"/>
  <c r="Y25" i="10"/>
  <c r="X25" i="10"/>
  <c r="Z25" i="10" s="1"/>
  <c r="R25" i="10"/>
  <c r="I25" i="10"/>
  <c r="G25" i="10"/>
  <c r="AC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V46" i="9"/>
  <c r="AY46" i="9" s="1"/>
  <c r="AN46" i="9"/>
  <c r="AQ46" i="9" s="1"/>
  <c r="K46" i="9"/>
  <c r="O46" i="9" s="1"/>
  <c r="D46" i="9"/>
  <c r="D45" i="9"/>
  <c r="D43" i="9"/>
  <c r="D42" i="9"/>
  <c r="D41" i="9"/>
  <c r="P39" i="9"/>
  <c r="H39" i="9"/>
  <c r="D39" i="9"/>
  <c r="D38" i="9"/>
  <c r="H37" i="9"/>
  <c r="D36" i="9"/>
  <c r="C36" i="9"/>
  <c r="E35" i="9"/>
  <c r="D34" i="9"/>
  <c r="H33" i="9"/>
  <c r="D32" i="9"/>
  <c r="H31" i="9"/>
  <c r="D31" i="9"/>
  <c r="D30" i="9"/>
  <c r="C30" i="9"/>
  <c r="AA28" i="9"/>
  <c r="Y28" i="9"/>
  <c r="Z28" i="9" s="1"/>
  <c r="D28" i="9"/>
  <c r="U27" i="9"/>
  <c r="D27" i="9"/>
  <c r="U26" i="9"/>
  <c r="D26" i="9"/>
  <c r="U25" i="9"/>
  <c r="D24" i="9"/>
  <c r="AC23" i="9"/>
  <c r="AA23" i="9"/>
  <c r="Z23" i="9"/>
  <c r="H23" i="9"/>
  <c r="M22" i="9"/>
  <c r="D22" i="9"/>
  <c r="O21" i="9"/>
  <c r="M21" i="9"/>
  <c r="R21" i="9" s="1"/>
  <c r="G21" i="9"/>
  <c r="AC20" i="9"/>
  <c r="D20" i="9"/>
  <c r="D19" i="9"/>
  <c r="U18" i="9"/>
  <c r="E18" i="9"/>
  <c r="D18" i="9"/>
  <c r="D17" i="9"/>
  <c r="Y16" i="9"/>
  <c r="U16" i="9"/>
  <c r="K16" i="9"/>
  <c r="O16" i="9" s="1"/>
  <c r="D16" i="9"/>
  <c r="AB15" i="9"/>
  <c r="U15" i="9"/>
  <c r="P15" i="9"/>
  <c r="E15" i="9"/>
  <c r="D15" i="9"/>
  <c r="W14" i="9"/>
  <c r="K14" i="9"/>
  <c r="D14" i="9"/>
  <c r="Y13" i="9"/>
  <c r="V13" i="9"/>
  <c r="H13" i="9"/>
  <c r="D13" i="9"/>
  <c r="U12" i="9"/>
  <c r="P12" i="9"/>
  <c r="H12" i="9"/>
  <c r="D12" i="9"/>
  <c r="C12" i="9"/>
  <c r="W11" i="9"/>
  <c r="P11" i="9"/>
  <c r="H11" i="9"/>
  <c r="D11" i="9"/>
  <c r="W10" i="9"/>
  <c r="P10" i="9"/>
  <c r="K10" i="9"/>
  <c r="D10" i="9"/>
  <c r="C10" i="9"/>
  <c r="G7" i="9"/>
  <c r="O7" i="9" s="1"/>
  <c r="AH4" i="9"/>
  <c r="P16" i="9" s="1"/>
  <c r="AH3" i="9"/>
  <c r="K34" i="9" s="1"/>
  <c r="O34" i="9" s="1"/>
  <c r="R46" i="8"/>
  <c r="O46" i="8"/>
  <c r="I46" i="8"/>
  <c r="R45" i="8"/>
  <c r="J45" i="8"/>
  <c r="I45" i="8"/>
  <c r="R42" i="8"/>
  <c r="O42" i="8"/>
  <c r="J42" i="8"/>
  <c r="I42" i="8"/>
  <c r="G42" i="8"/>
  <c r="R39" i="8"/>
  <c r="O39" i="8"/>
  <c r="J39" i="8"/>
  <c r="I39" i="8"/>
  <c r="G39" i="8"/>
  <c r="R38" i="8"/>
  <c r="O38" i="8"/>
  <c r="K38" i="8"/>
  <c r="J38" i="8"/>
  <c r="I38" i="8"/>
  <c r="G38" i="8"/>
  <c r="P32" i="8"/>
  <c r="M32" i="8"/>
  <c r="K32" i="8"/>
  <c r="I32" i="8"/>
  <c r="H32" i="8"/>
  <c r="E32" i="8"/>
  <c r="C32" i="8"/>
  <c r="G32" i="8" s="1"/>
  <c r="R31" i="8"/>
  <c r="O31" i="8"/>
  <c r="J31" i="8"/>
  <c r="I31" i="8"/>
  <c r="G31" i="8"/>
  <c r="R30" i="8"/>
  <c r="O30" i="8"/>
  <c r="J30" i="8"/>
  <c r="I30" i="8"/>
  <c r="G30" i="8"/>
  <c r="AC28" i="8"/>
  <c r="AA28" i="8"/>
  <c r="Z28" i="8"/>
  <c r="P28" i="8"/>
  <c r="R28" i="8" s="1"/>
  <c r="M28" i="8"/>
  <c r="M34" i="8" s="1"/>
  <c r="K28" i="8"/>
  <c r="O28" i="8" s="1"/>
  <c r="I28" i="8"/>
  <c r="E28" i="8"/>
  <c r="F28" i="8" s="1"/>
  <c r="C28" i="8"/>
  <c r="G28" i="8" s="1"/>
  <c r="AC27" i="8"/>
  <c r="X27" i="8"/>
  <c r="R27" i="8"/>
  <c r="O27" i="8"/>
  <c r="J27" i="8"/>
  <c r="I27" i="8"/>
  <c r="G27" i="8"/>
  <c r="R26" i="8"/>
  <c r="O26" i="8"/>
  <c r="N26" i="8"/>
  <c r="J26" i="8"/>
  <c r="I26" i="8"/>
  <c r="G26" i="8"/>
  <c r="AC25" i="8"/>
  <c r="AA25" i="8"/>
  <c r="X25" i="8"/>
  <c r="M24" i="8"/>
  <c r="I24" i="8"/>
  <c r="AC23" i="8"/>
  <c r="AA23" i="8"/>
  <c r="Z23" i="8"/>
  <c r="R22" i="8"/>
  <c r="N22" i="8"/>
  <c r="K22" i="8"/>
  <c r="J22" i="8"/>
  <c r="I22" i="8"/>
  <c r="G22" i="8"/>
  <c r="AC20" i="8"/>
  <c r="P20" i="8"/>
  <c r="Q20" i="8" s="1"/>
  <c r="N20" i="8"/>
  <c r="M20" i="8"/>
  <c r="K20" i="8"/>
  <c r="L11" i="8" s="1"/>
  <c r="J20" i="8"/>
  <c r="I20" i="8"/>
  <c r="E20" i="8"/>
  <c r="F42" i="8" s="1"/>
  <c r="C20" i="8"/>
  <c r="D13" i="8" s="1"/>
  <c r="U19" i="8"/>
  <c r="D19" i="8"/>
  <c r="B19" i="8"/>
  <c r="Y17" i="8"/>
  <c r="Y19" i="8" s="1"/>
  <c r="V17" i="8"/>
  <c r="U17" i="8"/>
  <c r="L17" i="8"/>
  <c r="B17" i="8"/>
  <c r="AC16" i="8"/>
  <c r="X16" i="8"/>
  <c r="B16" i="8"/>
  <c r="AC15" i="8"/>
  <c r="X15" i="8"/>
  <c r="R15" i="8"/>
  <c r="N15" i="8"/>
  <c r="L15" i="8"/>
  <c r="J15" i="8"/>
  <c r="I15" i="8"/>
  <c r="G15" i="8"/>
  <c r="F15" i="8"/>
  <c r="B15" i="8"/>
  <c r="AC14" i="8"/>
  <c r="AA14" i="8"/>
  <c r="X14" i="8"/>
  <c r="X14" i="9" s="1"/>
  <c r="AA14" i="9" s="1"/>
  <c r="R14" i="8"/>
  <c r="Q14" i="8"/>
  <c r="O14" i="8"/>
  <c r="N14" i="8"/>
  <c r="L14" i="8"/>
  <c r="J14" i="8"/>
  <c r="I14" i="8"/>
  <c r="G14" i="8"/>
  <c r="F14" i="8"/>
  <c r="D14" i="8"/>
  <c r="B14" i="8"/>
  <c r="AC13" i="8"/>
  <c r="X13" i="8"/>
  <c r="R13" i="8"/>
  <c r="O13" i="8"/>
  <c r="N13" i="8"/>
  <c r="L13" i="8"/>
  <c r="J13" i="8"/>
  <c r="I13" i="8"/>
  <c r="G13" i="8"/>
  <c r="F13" i="8"/>
  <c r="B13" i="8"/>
  <c r="R12" i="8"/>
  <c r="Q12" i="8"/>
  <c r="O12" i="8"/>
  <c r="N12" i="8"/>
  <c r="L12" i="8"/>
  <c r="J12" i="8"/>
  <c r="I12" i="8"/>
  <c r="G12" i="8"/>
  <c r="F12" i="8"/>
  <c r="D12" i="8"/>
  <c r="B12" i="8"/>
  <c r="AC11" i="8"/>
  <c r="X11" i="8"/>
  <c r="X11" i="9" s="1"/>
  <c r="AA11" i="9" s="1"/>
  <c r="R11" i="8"/>
  <c r="O11" i="8"/>
  <c r="N11" i="8"/>
  <c r="J11" i="8"/>
  <c r="I11" i="8"/>
  <c r="G11" i="8"/>
  <c r="F11" i="8"/>
  <c r="D11" i="8"/>
  <c r="B11" i="8"/>
  <c r="AC10" i="8"/>
  <c r="AA10" i="8"/>
  <c r="Z10" i="8"/>
  <c r="R10" i="8"/>
  <c r="Q10" i="8"/>
  <c r="O10" i="8"/>
  <c r="N10" i="8"/>
  <c r="L10" i="8"/>
  <c r="J10" i="8"/>
  <c r="I10" i="8"/>
  <c r="G10" i="8"/>
  <c r="F10" i="8"/>
  <c r="D10" i="8"/>
  <c r="B10" i="8"/>
  <c r="C58" i="7"/>
  <c r="AC30" i="7"/>
  <c r="X30" i="7"/>
  <c r="AD28" i="7"/>
  <c r="Z28" i="7"/>
  <c r="Y28" i="7"/>
  <c r="AB28" i="7" s="1"/>
  <c r="AD27" i="7"/>
  <c r="Z27" i="7"/>
  <c r="Y27" i="7"/>
  <c r="AB27" i="7" s="1"/>
  <c r="AA25" i="7"/>
  <c r="Z25" i="7"/>
  <c r="AD25" i="7" s="1"/>
  <c r="Y25" i="7"/>
  <c r="AB25" i="7" s="1"/>
  <c r="AB23" i="7"/>
  <c r="AA23" i="7"/>
  <c r="Z23" i="7"/>
  <c r="AD23" i="7" s="1"/>
  <c r="Y23" i="7"/>
  <c r="B19" i="7"/>
  <c r="W17" i="7"/>
  <c r="W19" i="7" s="1"/>
  <c r="W21" i="7" s="1"/>
  <c r="W30" i="7" s="1"/>
  <c r="V17" i="7"/>
  <c r="V19" i="7" s="1"/>
  <c r="V21" i="7" s="1"/>
  <c r="V30" i="7" s="1"/>
  <c r="R17" i="7"/>
  <c r="K17" i="7"/>
  <c r="O17" i="7" s="1"/>
  <c r="J17" i="7"/>
  <c r="G17" i="7"/>
  <c r="B17" i="7"/>
  <c r="Z16" i="7"/>
  <c r="AD16" i="7" s="1"/>
  <c r="Y16" i="7"/>
  <c r="R16" i="7"/>
  <c r="K16" i="7"/>
  <c r="B16" i="7"/>
  <c r="Z15" i="7"/>
  <c r="AD15" i="7" s="1"/>
  <c r="Y15" i="7"/>
  <c r="AA15" i="7" s="1"/>
  <c r="B15" i="7"/>
  <c r="AD14" i="7"/>
  <c r="AB14" i="7"/>
  <c r="AA14" i="7"/>
  <c r="Z14" i="7"/>
  <c r="Y14" i="7"/>
  <c r="R14" i="7"/>
  <c r="B14" i="7"/>
  <c r="Z13" i="7"/>
  <c r="AD13" i="7" s="1"/>
  <c r="Y13" i="7"/>
  <c r="AB13" i="7" s="1"/>
  <c r="B13" i="7"/>
  <c r="B12" i="7"/>
  <c r="Z11" i="7"/>
  <c r="Y11" i="7"/>
  <c r="B11" i="7"/>
  <c r="AD10" i="7"/>
  <c r="AB10" i="7"/>
  <c r="AA10" i="7"/>
  <c r="B10" i="7"/>
  <c r="U3" i="7"/>
  <c r="Z27" i="6"/>
  <c r="Y27" i="6"/>
  <c r="AE20" i="6"/>
  <c r="B19" i="6"/>
  <c r="B17" i="6"/>
  <c r="H16" i="6"/>
  <c r="J16" i="6" s="1"/>
  <c r="E16" i="6"/>
  <c r="B16" i="6"/>
  <c r="B15" i="6"/>
  <c r="P14" i="6"/>
  <c r="M14" i="6"/>
  <c r="B14" i="6"/>
  <c r="B13" i="6"/>
  <c r="B12" i="6"/>
  <c r="B11" i="6"/>
  <c r="AD10" i="6"/>
  <c r="Z10" i="6"/>
  <c r="Y10" i="6"/>
  <c r="X10" i="6"/>
  <c r="B10" i="6"/>
  <c r="E7" i="6"/>
  <c r="M7" i="6" s="1"/>
  <c r="X7" i="6" s="1"/>
  <c r="AA7" i="6" s="1"/>
  <c r="C7" i="6"/>
  <c r="K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8" i="5"/>
  <c r="E7" i="5"/>
  <c r="M7" i="5" s="1"/>
  <c r="AC20" i="4"/>
  <c r="AC10" i="4"/>
  <c r="AA10" i="4"/>
  <c r="Z10" i="4"/>
  <c r="N7" i="4"/>
  <c r="V7" i="4" s="1"/>
  <c r="Y7" i="4" s="1"/>
  <c r="I7" i="4"/>
  <c r="H7" i="6" s="1"/>
  <c r="Y7" i="6" s="1"/>
  <c r="AD7" i="6" s="1"/>
  <c r="F7" i="4"/>
  <c r="E7" i="10" s="1"/>
  <c r="M7" i="10" s="1"/>
  <c r="V7" i="10" s="1"/>
  <c r="Y7" i="10" s="1"/>
  <c r="D7" i="4"/>
  <c r="B6" i="4"/>
  <c r="B6" i="10" s="1"/>
  <c r="T6" i="10" s="1"/>
  <c r="T3" i="4"/>
  <c r="X27" i="3"/>
  <c r="W27" i="3"/>
  <c r="AC20" i="3"/>
  <c r="B19" i="3"/>
  <c r="B18" i="3"/>
  <c r="B18" i="6" s="1"/>
  <c r="B17" i="3"/>
  <c r="J16" i="3"/>
  <c r="B16" i="3"/>
  <c r="B15" i="3"/>
  <c r="R14" i="3"/>
  <c r="B14" i="3"/>
  <c r="B13" i="3"/>
  <c r="B12" i="3"/>
  <c r="B11" i="3"/>
  <c r="AB10" i="3"/>
  <c r="Y10" i="3"/>
  <c r="AA10" i="6" s="1"/>
  <c r="X10" i="3"/>
  <c r="W10" i="3"/>
  <c r="V10" i="3"/>
  <c r="U10" i="3"/>
  <c r="W10" i="6" s="1"/>
  <c r="B10" i="3"/>
  <c r="H7" i="3"/>
  <c r="W7" i="3" s="1"/>
  <c r="AB7" i="3" s="1"/>
  <c r="E7" i="3"/>
  <c r="M7" i="3" s="1"/>
  <c r="V7" i="3" s="1"/>
  <c r="Y7" i="3" s="1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A3" i="2" s="1"/>
  <c r="D22" i="2"/>
  <c r="E4" i="2"/>
  <c r="A4" i="2" s="1"/>
  <c r="D4" i="2"/>
  <c r="B4" i="2"/>
  <c r="B3" i="2"/>
  <c r="A6" i="10" s="1"/>
  <c r="E12" i="6" l="1"/>
  <c r="E13" i="6"/>
  <c r="P26" i="6"/>
  <c r="H12" i="6"/>
  <c r="H17" i="6"/>
  <c r="C22" i="6"/>
  <c r="E39" i="6"/>
  <c r="E42" i="6"/>
  <c r="E11" i="6"/>
  <c r="P15" i="6"/>
  <c r="K32" i="6"/>
  <c r="H11" i="6"/>
  <c r="C39" i="6"/>
  <c r="K14" i="6"/>
  <c r="K12" i="6"/>
  <c r="C15" i="6"/>
  <c r="H22" i="6"/>
  <c r="K39" i="6"/>
  <c r="K42" i="6"/>
  <c r="C12" i="6"/>
  <c r="M32" i="6"/>
  <c r="M12" i="6"/>
  <c r="H15" i="6"/>
  <c r="K16" i="6"/>
  <c r="H27" i="6"/>
  <c r="M39" i="6"/>
  <c r="M42" i="6"/>
  <c r="K38" i="6"/>
  <c r="H14" i="6"/>
  <c r="C42" i="6"/>
  <c r="M11" i="6"/>
  <c r="P11" i="6"/>
  <c r="M13" i="6"/>
  <c r="P17" i="6"/>
  <c r="K22" i="6"/>
  <c r="C32" i="6"/>
  <c r="G32" i="6" s="1"/>
  <c r="C38" i="6"/>
  <c r="E46" i="6"/>
  <c r="C14" i="6"/>
  <c r="P27" i="6"/>
  <c r="M38" i="6"/>
  <c r="P12" i="6"/>
  <c r="P12" i="11" s="1"/>
  <c r="K15" i="6"/>
  <c r="P22" i="6"/>
  <c r="H26" i="6"/>
  <c r="E32" i="6"/>
  <c r="E38" i="6"/>
  <c r="M46" i="6"/>
  <c r="C46" i="6"/>
  <c r="K46" i="6"/>
  <c r="H10" i="6"/>
  <c r="P10" i="6"/>
  <c r="C13" i="6"/>
  <c r="K13" i="6"/>
  <c r="E18" i="6"/>
  <c r="E18" i="11" s="1"/>
  <c r="M18" i="6"/>
  <c r="M18" i="11" s="1"/>
  <c r="E30" i="6"/>
  <c r="M30" i="6"/>
  <c r="C10" i="6"/>
  <c r="K10" i="6"/>
  <c r="H18" i="6"/>
  <c r="P18" i="6"/>
  <c r="H30" i="6"/>
  <c r="P30" i="6"/>
  <c r="E15" i="6"/>
  <c r="E15" i="11" s="1"/>
  <c r="C16" i="6"/>
  <c r="K17" i="6"/>
  <c r="H19" i="6"/>
  <c r="E22" i="6"/>
  <c r="M22" i="6"/>
  <c r="M22" i="11" s="1"/>
  <c r="C26" i="6"/>
  <c r="K26" i="6"/>
  <c r="C27" i="6"/>
  <c r="K27" i="6"/>
  <c r="H32" i="6"/>
  <c r="J32" i="6" s="1"/>
  <c r="P32" i="6"/>
  <c r="R32" i="6" s="1"/>
  <c r="H38" i="6"/>
  <c r="P38" i="6"/>
  <c r="H39" i="6"/>
  <c r="P39" i="6"/>
  <c r="H42" i="6"/>
  <c r="P42" i="6"/>
  <c r="H46" i="6"/>
  <c r="P46" i="6"/>
  <c r="E14" i="6"/>
  <c r="M15" i="6"/>
  <c r="C17" i="6"/>
  <c r="E10" i="6"/>
  <c r="M10" i="6"/>
  <c r="C11" i="6"/>
  <c r="K11" i="6"/>
  <c r="H13" i="6"/>
  <c r="P13" i="6"/>
  <c r="E17" i="6"/>
  <c r="M17" i="6"/>
  <c r="C18" i="6"/>
  <c r="K18" i="6"/>
  <c r="E26" i="6"/>
  <c r="M26" i="6"/>
  <c r="E27" i="6"/>
  <c r="M27" i="6"/>
  <c r="C30" i="6"/>
  <c r="K30" i="6"/>
  <c r="X23" i="3"/>
  <c r="AA23" i="3" s="1"/>
  <c r="Z23" i="6"/>
  <c r="W25" i="3"/>
  <c r="Y25" i="6"/>
  <c r="V27" i="3"/>
  <c r="X27" i="6"/>
  <c r="Y28" i="6"/>
  <c r="W28" i="3"/>
  <c r="Y11" i="6"/>
  <c r="W11" i="3"/>
  <c r="X13" i="6"/>
  <c r="V13" i="3"/>
  <c r="W14" i="6"/>
  <c r="W11" i="11" s="1"/>
  <c r="U14" i="3"/>
  <c r="AB15" i="3"/>
  <c r="AD15" i="6"/>
  <c r="AB16" i="3"/>
  <c r="AC16" i="3" s="1"/>
  <c r="AD16" i="6"/>
  <c r="Y23" i="3"/>
  <c r="AA23" i="6"/>
  <c r="X25" i="3"/>
  <c r="Z25" i="6"/>
  <c r="Y27" i="3"/>
  <c r="AA27" i="6"/>
  <c r="X28" i="3"/>
  <c r="Z28" i="6"/>
  <c r="X11" i="6"/>
  <c r="V11" i="3"/>
  <c r="W13" i="6"/>
  <c r="W10" i="11" s="1"/>
  <c r="U13" i="3"/>
  <c r="Z11" i="6"/>
  <c r="X11" i="3"/>
  <c r="X14" i="6"/>
  <c r="V14" i="3"/>
  <c r="U15" i="3"/>
  <c r="W15" i="6"/>
  <c r="W16" i="6"/>
  <c r="U16" i="3"/>
  <c r="Y25" i="3"/>
  <c r="AA25" i="6"/>
  <c r="Y28" i="3"/>
  <c r="Z28" i="3" s="1"/>
  <c r="AA28" i="6"/>
  <c r="AB14" i="3"/>
  <c r="AD14" i="6"/>
  <c r="W13" i="3"/>
  <c r="W17" i="3" s="1"/>
  <c r="Y13" i="6"/>
  <c r="Y11" i="3"/>
  <c r="AA11" i="6"/>
  <c r="Z13" i="6"/>
  <c r="X13" i="3"/>
  <c r="Y14" i="6"/>
  <c r="W14" i="3"/>
  <c r="V15" i="3"/>
  <c r="X15" i="6"/>
  <c r="X16" i="6"/>
  <c r="V16" i="3"/>
  <c r="Z14" i="6"/>
  <c r="X14" i="3"/>
  <c r="W16" i="3"/>
  <c r="Y16" i="6"/>
  <c r="AD23" i="6"/>
  <c r="AB23" i="3"/>
  <c r="AB27" i="3"/>
  <c r="AC27" i="3" s="1"/>
  <c r="AD27" i="6"/>
  <c r="AA13" i="6"/>
  <c r="Y13" i="3"/>
  <c r="AA13" i="3" s="1"/>
  <c r="W15" i="3"/>
  <c r="Y15" i="6"/>
  <c r="X15" i="3"/>
  <c r="Z15" i="6"/>
  <c r="X16" i="3"/>
  <c r="Z16" i="6"/>
  <c r="W23" i="6"/>
  <c r="W19" i="11" s="1"/>
  <c r="U23" i="3"/>
  <c r="AB25" i="3"/>
  <c r="AD25" i="6"/>
  <c r="AD28" i="6"/>
  <c r="AB28" i="3"/>
  <c r="AA14" i="6"/>
  <c r="Y14" i="3"/>
  <c r="AA14" i="3" s="1"/>
  <c r="AB11" i="3"/>
  <c r="AD11" i="6"/>
  <c r="AA15" i="6"/>
  <c r="Y15" i="3"/>
  <c r="AA15" i="3" s="1"/>
  <c r="Y16" i="3"/>
  <c r="AA16" i="3" s="1"/>
  <c r="AA16" i="6"/>
  <c r="X23" i="6"/>
  <c r="V23" i="3"/>
  <c r="W25" i="6"/>
  <c r="U25" i="3"/>
  <c r="U28" i="3"/>
  <c r="W28" i="6"/>
  <c r="U11" i="3"/>
  <c r="W11" i="6"/>
  <c r="AD13" i="6"/>
  <c r="AB13" i="3"/>
  <c r="AC13" i="3" s="1"/>
  <c r="P16" i="3"/>
  <c r="W23" i="3"/>
  <c r="Y23" i="6"/>
  <c r="V25" i="3"/>
  <c r="X25" i="6"/>
  <c r="U27" i="3"/>
  <c r="W27" i="6"/>
  <c r="W21" i="11" s="1"/>
  <c r="V28" i="3"/>
  <c r="X28" i="6"/>
  <c r="C438" i="12"/>
  <c r="A5" i="10"/>
  <c r="A6" i="5"/>
  <c r="A4" i="10"/>
  <c r="A5" i="5"/>
  <c r="AC10" i="6"/>
  <c r="AK8" i="11"/>
  <c r="AB8" i="11"/>
  <c r="T6" i="4"/>
  <c r="H7" i="5"/>
  <c r="P7" i="5" s="1"/>
  <c r="B6" i="3"/>
  <c r="U7" i="4"/>
  <c r="X7" i="4" s="1"/>
  <c r="C7" i="10"/>
  <c r="C7" i="3"/>
  <c r="AC10" i="3"/>
  <c r="AE10" i="6"/>
  <c r="AG8" i="11"/>
  <c r="X8" i="11"/>
  <c r="AB15" i="7"/>
  <c r="Z17" i="7"/>
  <c r="AD17" i="7" s="1"/>
  <c r="Q13" i="8"/>
  <c r="Z14" i="8"/>
  <c r="AA16" i="8"/>
  <c r="X16" i="9"/>
  <c r="AA16" i="9" s="1"/>
  <c r="N45" i="8"/>
  <c r="M20" i="9"/>
  <c r="O22" i="8"/>
  <c r="K24" i="9"/>
  <c r="O24" i="9" s="1"/>
  <c r="Z25" i="8"/>
  <c r="X25" i="9"/>
  <c r="AA25" i="9" s="1"/>
  <c r="J32" i="8"/>
  <c r="H32" i="9"/>
  <c r="C11" i="9"/>
  <c r="E13" i="9"/>
  <c r="J13" i="9" s="1"/>
  <c r="C14" i="9"/>
  <c r="G14" i="9" s="1"/>
  <c r="Y15" i="9"/>
  <c r="AC15" i="9" s="1"/>
  <c r="Y17" i="9"/>
  <c r="K19" i="9"/>
  <c r="K26" i="9"/>
  <c r="O26" i="9" s="1"/>
  <c r="E28" i="9"/>
  <c r="C39" i="9"/>
  <c r="Z27" i="3"/>
  <c r="P7" i="4"/>
  <c r="H7" i="10"/>
  <c r="P7" i="10" s="1"/>
  <c r="W7" i="6"/>
  <c r="Z7" i="6" s="1"/>
  <c r="B18" i="7"/>
  <c r="M28" i="9"/>
  <c r="M14" i="11"/>
  <c r="AA11" i="8"/>
  <c r="AA13" i="8"/>
  <c r="X13" i="9"/>
  <c r="U21" i="8"/>
  <c r="U19" i="9"/>
  <c r="O32" i="8"/>
  <c r="K39" i="9"/>
  <c r="J11" i="9"/>
  <c r="B5" i="2"/>
  <c r="C59" i="12"/>
  <c r="A7" i="10"/>
  <c r="C7" i="7"/>
  <c r="V7" i="7" s="1"/>
  <c r="Y7" i="7" s="1"/>
  <c r="AA13" i="7"/>
  <c r="AA27" i="7"/>
  <c r="C24" i="8"/>
  <c r="C27" i="9" s="1"/>
  <c r="C20" i="9"/>
  <c r="G20" i="9" s="1"/>
  <c r="R20" i="8"/>
  <c r="N32" i="8"/>
  <c r="M32" i="9"/>
  <c r="M46" i="9"/>
  <c r="N46" i="9" s="1"/>
  <c r="C41" i="9"/>
  <c r="G41" i="9" s="1"/>
  <c r="M38" i="9"/>
  <c r="N38" i="9" s="1"/>
  <c r="M37" i="9"/>
  <c r="M33" i="9"/>
  <c r="C31" i="9"/>
  <c r="M26" i="9"/>
  <c r="M23" i="9"/>
  <c r="E22" i="9"/>
  <c r="K17" i="9"/>
  <c r="O17" i="9" s="1"/>
  <c r="AB16" i="9"/>
  <c r="AC16" i="9" s="1"/>
  <c r="C43" i="9"/>
  <c r="M40" i="9"/>
  <c r="E37" i="9"/>
  <c r="E33" i="9"/>
  <c r="U29" i="9"/>
  <c r="U28" i="9"/>
  <c r="E27" i="9"/>
  <c r="Y25" i="9"/>
  <c r="Z25" i="9" s="1"/>
  <c r="U24" i="9"/>
  <c r="C24" i="9"/>
  <c r="G24" i="9" s="1"/>
  <c r="E23" i="9"/>
  <c r="C22" i="9"/>
  <c r="G22" i="9" s="1"/>
  <c r="E19" i="9"/>
  <c r="M18" i="9"/>
  <c r="R18" i="9" s="1"/>
  <c r="M16" i="9"/>
  <c r="R16" i="9" s="1"/>
  <c r="Y14" i="9"/>
  <c r="Z14" i="9" s="1"/>
  <c r="K13" i="9"/>
  <c r="M12" i="9"/>
  <c r="N12" i="9" s="1"/>
  <c r="AB11" i="9"/>
  <c r="M11" i="9"/>
  <c r="N11" i="9" s="1"/>
  <c r="AB10" i="9"/>
  <c r="E44" i="9"/>
  <c r="E39" i="9"/>
  <c r="M35" i="9"/>
  <c r="M31" i="9"/>
  <c r="M30" i="9"/>
  <c r="R30" i="9" s="1"/>
  <c r="C28" i="9"/>
  <c r="G28" i="9" s="1"/>
  <c r="U22" i="9"/>
  <c r="AB21" i="9"/>
  <c r="C18" i="9"/>
  <c r="G18" i="9" s="1"/>
  <c r="W16" i="9"/>
  <c r="C16" i="9"/>
  <c r="G16" i="9" s="1"/>
  <c r="E14" i="9"/>
  <c r="J14" i="9" s="1"/>
  <c r="W13" i="9"/>
  <c r="Y11" i="9"/>
  <c r="Y19" i="9" s="1"/>
  <c r="K11" i="9"/>
  <c r="O11" i="9" s="1"/>
  <c r="Y10" i="9"/>
  <c r="M10" i="9"/>
  <c r="N10" i="9" s="1"/>
  <c r="E46" i="9"/>
  <c r="M42" i="9"/>
  <c r="R42" i="9" s="1"/>
  <c r="K41" i="9"/>
  <c r="O41" i="9" s="1"/>
  <c r="E40" i="9"/>
  <c r="E38" i="9"/>
  <c r="K31" i="9"/>
  <c r="O31" i="9" s="1"/>
  <c r="M29" i="9"/>
  <c r="AB27" i="9"/>
  <c r="E26" i="9"/>
  <c r="W25" i="9"/>
  <c r="E21" i="9"/>
  <c r="AB19" i="9"/>
  <c r="M19" i="9"/>
  <c r="C19" i="9"/>
  <c r="K18" i="9"/>
  <c r="O18" i="9" s="1"/>
  <c r="AB17" i="9"/>
  <c r="AC17" i="9" s="1"/>
  <c r="V16" i="9"/>
  <c r="C46" i="9"/>
  <c r="G46" i="9" s="1"/>
  <c r="K43" i="9"/>
  <c r="O43" i="9" s="1"/>
  <c r="C38" i="9"/>
  <c r="G38" i="9" s="1"/>
  <c r="C34" i="9"/>
  <c r="G34" i="9" s="1"/>
  <c r="E31" i="9"/>
  <c r="J31" i="9" s="1"/>
  <c r="E29" i="9"/>
  <c r="K28" i="9"/>
  <c r="O28" i="9" s="1"/>
  <c r="C26" i="9"/>
  <c r="G26" i="9" s="1"/>
  <c r="U23" i="9"/>
  <c r="K22" i="9"/>
  <c r="O22" i="9" s="1"/>
  <c r="U20" i="9"/>
  <c r="W19" i="9"/>
  <c r="M17" i="9"/>
  <c r="R17" i="9" s="1"/>
  <c r="M15" i="9"/>
  <c r="C15" i="9"/>
  <c r="G15" i="9" s="1"/>
  <c r="U14" i="9"/>
  <c r="E12" i="9"/>
  <c r="V11" i="9"/>
  <c r="V10" i="9"/>
  <c r="E42" i="9"/>
  <c r="J42" i="9" s="1"/>
  <c r="M39" i="9"/>
  <c r="N39" i="9" s="1"/>
  <c r="E30" i="9"/>
  <c r="AB28" i="9"/>
  <c r="AC28" i="9" s="1"/>
  <c r="Y27" i="9"/>
  <c r="AB25" i="9"/>
  <c r="M25" i="9"/>
  <c r="W17" i="9"/>
  <c r="C17" i="9"/>
  <c r="G17" i="9" s="1"/>
  <c r="W15" i="9"/>
  <c r="K15" i="9"/>
  <c r="AB13" i="9"/>
  <c r="AC13" i="9" s="1"/>
  <c r="C13" i="9"/>
  <c r="U11" i="9"/>
  <c r="E11" i="9"/>
  <c r="U10" i="9"/>
  <c r="M13" i="9"/>
  <c r="M14" i="9"/>
  <c r="R14" i="9" s="1"/>
  <c r="J15" i="9"/>
  <c r="E16" i="9"/>
  <c r="J18" i="9"/>
  <c r="W21" i="9"/>
  <c r="C32" i="9"/>
  <c r="G32" i="9" s="1"/>
  <c r="B6" i="5"/>
  <c r="AA27" i="3"/>
  <c r="W7" i="4"/>
  <c r="AB7" i="4" s="1"/>
  <c r="A7" i="5"/>
  <c r="AJ8" i="11"/>
  <c r="AA8" i="11"/>
  <c r="C7" i="5"/>
  <c r="K7" i="5" s="1"/>
  <c r="R14" i="6"/>
  <c r="E7" i="7"/>
  <c r="M7" i="7" s="1"/>
  <c r="W7" i="7" s="1"/>
  <c r="Z7" i="7" s="1"/>
  <c r="D15" i="8"/>
  <c r="AA15" i="8"/>
  <c r="X15" i="9"/>
  <c r="AA15" i="9" s="1"/>
  <c r="J28" i="8"/>
  <c r="R32" i="8"/>
  <c r="P32" i="9"/>
  <c r="AI7" i="9"/>
  <c r="AI8" i="9" s="1"/>
  <c r="P44" i="9"/>
  <c r="H27" i="9"/>
  <c r="H25" i="9"/>
  <c r="H19" i="9"/>
  <c r="P18" i="9"/>
  <c r="P47" i="9"/>
  <c r="H46" i="9"/>
  <c r="H44" i="9"/>
  <c r="H38" i="9"/>
  <c r="P35" i="9"/>
  <c r="P31" i="9"/>
  <c r="P30" i="9"/>
  <c r="H26" i="9"/>
  <c r="I26" i="9" s="1"/>
  <c r="H21" i="9"/>
  <c r="P19" i="9"/>
  <c r="H15" i="9"/>
  <c r="H14" i="9"/>
  <c r="H45" i="9"/>
  <c r="P42" i="9"/>
  <c r="H40" i="9"/>
  <c r="P29" i="9"/>
  <c r="P27" i="9"/>
  <c r="H17" i="9"/>
  <c r="H35" i="9"/>
  <c r="P22" i="9"/>
  <c r="P17" i="9"/>
  <c r="P46" i="9"/>
  <c r="H42" i="9"/>
  <c r="P38" i="9"/>
  <c r="Q38" i="9" s="1"/>
  <c r="H30" i="9"/>
  <c r="P26" i="9"/>
  <c r="P25" i="9"/>
  <c r="H10" i="9"/>
  <c r="P45" i="9"/>
  <c r="P37" i="9"/>
  <c r="P33" i="9"/>
  <c r="H28" i="9"/>
  <c r="I28" i="9" s="1"/>
  <c r="H24" i="9"/>
  <c r="P23" i="9"/>
  <c r="H22" i="9"/>
  <c r="P21" i="9"/>
  <c r="H20" i="9"/>
  <c r="H18" i="9"/>
  <c r="H16" i="9"/>
  <c r="P14" i="9"/>
  <c r="Q14" i="9" s="1"/>
  <c r="P13" i="9"/>
  <c r="K12" i="9"/>
  <c r="U13" i="9"/>
  <c r="V14" i="9"/>
  <c r="E17" i="9"/>
  <c r="E20" i="9"/>
  <c r="F18" i="9" s="1"/>
  <c r="E25" i="9"/>
  <c r="M27" i="9"/>
  <c r="H29" i="9"/>
  <c r="K36" i="9"/>
  <c r="P40" i="9"/>
  <c r="M44" i="9"/>
  <c r="B6" i="6"/>
  <c r="V6" i="6" s="1"/>
  <c r="H7" i="7"/>
  <c r="Z19" i="7"/>
  <c r="E7" i="8"/>
  <c r="V19" i="8"/>
  <c r="V21" i="8" s="1"/>
  <c r="V30" i="8" s="1"/>
  <c r="V17" i="9"/>
  <c r="R10" i="9"/>
  <c r="R11" i="9"/>
  <c r="Q12" i="9"/>
  <c r="N22" i="9"/>
  <c r="G30" i="9"/>
  <c r="K32" i="9"/>
  <c r="O32" i="9" s="1"/>
  <c r="H16" i="11"/>
  <c r="J16" i="11" s="1"/>
  <c r="AG21" i="11"/>
  <c r="X21" i="11"/>
  <c r="AA11" i="7"/>
  <c r="AA16" i="7"/>
  <c r="H7" i="8"/>
  <c r="Z27" i="8"/>
  <c r="X27" i="9"/>
  <c r="AA27" i="9" s="1"/>
  <c r="N34" i="8"/>
  <c r="M34" i="9"/>
  <c r="N34" i="9" s="1"/>
  <c r="P20" i="9"/>
  <c r="E45" i="9"/>
  <c r="F45" i="9" s="1"/>
  <c r="Z21" i="11"/>
  <c r="Y17" i="7"/>
  <c r="AB17" i="7" s="1"/>
  <c r="AB16" i="7"/>
  <c r="Q11" i="8"/>
  <c r="D16" i="8"/>
  <c r="D18" i="8"/>
  <c r="L26" i="8"/>
  <c r="K20" i="9"/>
  <c r="L14" i="9" s="1"/>
  <c r="M24" i="9"/>
  <c r="AA27" i="8"/>
  <c r="Q28" i="8"/>
  <c r="P28" i="9"/>
  <c r="F32" i="8"/>
  <c r="E32" i="9"/>
  <c r="J32" i="9" s="1"/>
  <c r="E10" i="9"/>
  <c r="F10" i="9" s="1"/>
  <c r="X10" i="9"/>
  <c r="AB14" i="9"/>
  <c r="AC14" i="9" s="1"/>
  <c r="V15" i="9"/>
  <c r="U17" i="9"/>
  <c r="K30" i="9"/>
  <c r="K38" i="9"/>
  <c r="O38" i="9" s="1"/>
  <c r="M45" i="9"/>
  <c r="N45" i="9" s="1"/>
  <c r="Z23" i="10"/>
  <c r="O27" i="10"/>
  <c r="AC10" i="10"/>
  <c r="X10" i="10"/>
  <c r="AI8" i="11" s="1"/>
  <c r="O31" i="10"/>
  <c r="K36" i="10"/>
  <c r="N59" i="7" s="1"/>
  <c r="AA23" i="10"/>
  <c r="AA25" i="10"/>
  <c r="W7" i="10"/>
  <c r="AB7" i="10" s="1"/>
  <c r="G28" i="10"/>
  <c r="G30" i="10"/>
  <c r="AC19" i="9"/>
  <c r="I10" i="9"/>
  <c r="Q10" i="9"/>
  <c r="AA10" i="9"/>
  <c r="Z11" i="9"/>
  <c r="G12" i="9"/>
  <c r="O12" i="9"/>
  <c r="F13" i="9"/>
  <c r="N13" i="9"/>
  <c r="F24" i="9"/>
  <c r="N24" i="9"/>
  <c r="Q26" i="9"/>
  <c r="Q28" i="9"/>
  <c r="F30" i="9"/>
  <c r="N30" i="9"/>
  <c r="I38" i="9"/>
  <c r="I39" i="9"/>
  <c r="Q39" i="9"/>
  <c r="I45" i="9"/>
  <c r="Q45" i="9"/>
  <c r="I46" i="9"/>
  <c r="Q46" i="9"/>
  <c r="AH9" i="9"/>
  <c r="Q11" i="9"/>
  <c r="G13" i="9"/>
  <c r="O13" i="9"/>
  <c r="F14" i="9"/>
  <c r="N14" i="9"/>
  <c r="L20" i="9"/>
  <c r="Q21" i="9"/>
  <c r="I27" i="9"/>
  <c r="Q27" i="9"/>
  <c r="F31" i="9"/>
  <c r="N31" i="9"/>
  <c r="F32" i="9"/>
  <c r="N32" i="9"/>
  <c r="J38" i="9"/>
  <c r="R38" i="9"/>
  <c r="J39" i="9"/>
  <c r="R39" i="9"/>
  <c r="F42" i="9"/>
  <c r="N42" i="9"/>
  <c r="J45" i="9"/>
  <c r="R45" i="9"/>
  <c r="J46" i="9"/>
  <c r="R46" i="9"/>
  <c r="AC10" i="9"/>
  <c r="O14" i="9"/>
  <c r="I22" i="9"/>
  <c r="Q22" i="9"/>
  <c r="J12" i="9"/>
  <c r="R12" i="9"/>
  <c r="J22" i="9"/>
  <c r="R22" i="9"/>
  <c r="I24" i="9"/>
  <c r="L26" i="9"/>
  <c r="L28" i="9"/>
  <c r="I30" i="9"/>
  <c r="Q30" i="9"/>
  <c r="L34" i="9"/>
  <c r="L38" i="9"/>
  <c r="L39" i="9"/>
  <c r="L46" i="9"/>
  <c r="L11" i="9"/>
  <c r="Z15" i="9"/>
  <c r="Z16" i="9"/>
  <c r="O20" i="9"/>
  <c r="I31" i="9"/>
  <c r="Q31" i="9"/>
  <c r="I32" i="9"/>
  <c r="Q32" i="9"/>
  <c r="I42" i="9"/>
  <c r="Q42" i="9"/>
  <c r="L21" i="9"/>
  <c r="L22" i="9"/>
  <c r="N26" i="9"/>
  <c r="Z10" i="9"/>
  <c r="L31" i="9"/>
  <c r="L32" i="9"/>
  <c r="L36" i="9"/>
  <c r="L41" i="9"/>
  <c r="D24" i="8"/>
  <c r="Y21" i="8"/>
  <c r="AC19" i="8"/>
  <c r="M36" i="8"/>
  <c r="M36" i="9" s="1"/>
  <c r="N36" i="9" s="1"/>
  <c r="C34" i="8"/>
  <c r="C42" i="9" s="1"/>
  <c r="G42" i="9" s="1"/>
  <c r="K34" i="8"/>
  <c r="D38" i="8"/>
  <c r="L39" i="8"/>
  <c r="Z16" i="8"/>
  <c r="X17" i="8"/>
  <c r="D22" i="8"/>
  <c r="E24" i="8"/>
  <c r="E24" i="9" s="1"/>
  <c r="J24" i="9" s="1"/>
  <c r="N24" i="8"/>
  <c r="L27" i="8"/>
  <c r="L30" i="8"/>
  <c r="D32" i="8"/>
  <c r="L32" i="8"/>
  <c r="L34" i="8"/>
  <c r="F38" i="8"/>
  <c r="Q38" i="8"/>
  <c r="N39" i="8"/>
  <c r="F45" i="8"/>
  <c r="Q45" i="8"/>
  <c r="P7" i="8"/>
  <c r="Z15" i="8"/>
  <c r="L19" i="8"/>
  <c r="L20" i="8"/>
  <c r="F22" i="8"/>
  <c r="Q22" i="8"/>
  <c r="D26" i="8"/>
  <c r="Q26" i="8"/>
  <c r="N27" i="8"/>
  <c r="L28" i="8"/>
  <c r="N30" i="8"/>
  <c r="L31" i="8"/>
  <c r="E34" i="8"/>
  <c r="L42" i="8"/>
  <c r="Z11" i="8"/>
  <c r="Z17" i="8"/>
  <c r="D20" i="8"/>
  <c r="P24" i="8"/>
  <c r="P24" i="9" s="1"/>
  <c r="Q24" i="9" s="1"/>
  <c r="F26" i="8"/>
  <c r="D28" i="8"/>
  <c r="N31" i="8"/>
  <c r="D39" i="8"/>
  <c r="Q39" i="8"/>
  <c r="N42" i="8"/>
  <c r="F46" i="8"/>
  <c r="D27" i="8"/>
  <c r="Q27" i="8"/>
  <c r="N28" i="8"/>
  <c r="D30" i="8"/>
  <c r="Q30" i="8"/>
  <c r="F39" i="8"/>
  <c r="Z13" i="8"/>
  <c r="D17" i="8"/>
  <c r="AC17" i="8"/>
  <c r="F20" i="8"/>
  <c r="O20" i="8"/>
  <c r="F27" i="8"/>
  <c r="F30" i="8"/>
  <c r="D31" i="8"/>
  <c r="Q31" i="8"/>
  <c r="H34" i="8"/>
  <c r="H34" i="9" s="1"/>
  <c r="I34" i="9" s="1"/>
  <c r="P34" i="8"/>
  <c r="P34" i="9" s="1"/>
  <c r="Q34" i="9" s="1"/>
  <c r="D42" i="8"/>
  <c r="Q42" i="8"/>
  <c r="N46" i="8"/>
  <c r="G20" i="8"/>
  <c r="K24" i="8"/>
  <c r="K27" i="9" s="1"/>
  <c r="O27" i="9" s="1"/>
  <c r="F31" i="8"/>
  <c r="Q32" i="8"/>
  <c r="L38" i="8"/>
  <c r="Q15" i="8"/>
  <c r="L16" i="8"/>
  <c r="L18" i="8"/>
  <c r="L22" i="8"/>
  <c r="L24" i="8"/>
  <c r="N38" i="8"/>
  <c r="O15" i="7"/>
  <c r="H28" i="7"/>
  <c r="J26" i="7"/>
  <c r="P28" i="7"/>
  <c r="R26" i="7"/>
  <c r="J27" i="7"/>
  <c r="R27" i="7"/>
  <c r="Q27" i="7"/>
  <c r="G13" i="7"/>
  <c r="G11" i="7"/>
  <c r="O11" i="7"/>
  <c r="G22" i="7"/>
  <c r="O22" i="7"/>
  <c r="G39" i="7"/>
  <c r="O39" i="7"/>
  <c r="H20" i="7"/>
  <c r="I10" i="7" s="1"/>
  <c r="J10" i="7"/>
  <c r="P20" i="7"/>
  <c r="Q26" i="7" s="1"/>
  <c r="Q10" i="7"/>
  <c r="R10" i="7"/>
  <c r="G15" i="7"/>
  <c r="J30" i="7"/>
  <c r="H32" i="7"/>
  <c r="R30" i="7"/>
  <c r="P32" i="7"/>
  <c r="Q30" i="7"/>
  <c r="G46" i="7"/>
  <c r="O46" i="7"/>
  <c r="R13" i="7"/>
  <c r="R15" i="7"/>
  <c r="G26" i="7"/>
  <c r="C28" i="7"/>
  <c r="O26" i="7"/>
  <c r="K28" i="7"/>
  <c r="G27" i="7"/>
  <c r="O27" i="7"/>
  <c r="J31" i="7"/>
  <c r="R31" i="7"/>
  <c r="Q31" i="7"/>
  <c r="J38" i="7"/>
  <c r="R38" i="7"/>
  <c r="Q38" i="7"/>
  <c r="J12" i="7"/>
  <c r="R12" i="7"/>
  <c r="Q12" i="7"/>
  <c r="J13" i="7"/>
  <c r="J42" i="7"/>
  <c r="R42" i="7"/>
  <c r="Q42" i="7"/>
  <c r="C20" i="7"/>
  <c r="D11" i="7" s="1"/>
  <c r="G10" i="7"/>
  <c r="K20" i="7"/>
  <c r="L39" i="7" s="1"/>
  <c r="O10" i="7"/>
  <c r="E28" i="7"/>
  <c r="M28" i="7"/>
  <c r="C32" i="7"/>
  <c r="G30" i="7"/>
  <c r="K32" i="7"/>
  <c r="O30" i="7"/>
  <c r="I11" i="7"/>
  <c r="J11" i="7"/>
  <c r="Q11" i="7"/>
  <c r="R11" i="7"/>
  <c r="O13" i="7"/>
  <c r="J15" i="7"/>
  <c r="J22" i="7"/>
  <c r="Q22" i="7"/>
  <c r="R22" i="7"/>
  <c r="G31" i="7"/>
  <c r="O31" i="7"/>
  <c r="G38" i="7"/>
  <c r="O38" i="7"/>
  <c r="J39" i="7"/>
  <c r="Q39" i="7"/>
  <c r="R39" i="7"/>
  <c r="E20" i="7"/>
  <c r="F39" i="7" s="1"/>
  <c r="M20" i="7"/>
  <c r="N31" i="7" s="1"/>
  <c r="N10" i="7"/>
  <c r="G12" i="7"/>
  <c r="O12" i="7"/>
  <c r="L12" i="7"/>
  <c r="E32" i="7"/>
  <c r="M32" i="7"/>
  <c r="N32" i="7" s="1"/>
  <c r="N30" i="7"/>
  <c r="G42" i="7"/>
  <c r="O42" i="7"/>
  <c r="L42" i="7"/>
  <c r="J46" i="7"/>
  <c r="I46" i="7"/>
  <c r="R46" i="7"/>
  <c r="Q46" i="7"/>
  <c r="Z21" i="7"/>
  <c r="AD19" i="7"/>
  <c r="AB30" i="7"/>
  <c r="AA28" i="7"/>
  <c r="AB11" i="7"/>
  <c r="AA17" i="7"/>
  <c r="AD11" i="7"/>
  <c r="K7" i="7"/>
  <c r="P7" i="6"/>
  <c r="AB11" i="6"/>
  <c r="G15" i="6"/>
  <c r="O15" i="6"/>
  <c r="C28" i="6"/>
  <c r="K28" i="6"/>
  <c r="J11" i="6"/>
  <c r="R11" i="6"/>
  <c r="AB15" i="6"/>
  <c r="AI12" i="11" s="1"/>
  <c r="AB25" i="6"/>
  <c r="G26" i="6"/>
  <c r="O26" i="6"/>
  <c r="AB16" i="6"/>
  <c r="E28" i="6"/>
  <c r="M28" i="6"/>
  <c r="T29" i="6"/>
  <c r="AE11" i="6"/>
  <c r="AB10" i="6"/>
  <c r="AB13" i="6"/>
  <c r="C20" i="5"/>
  <c r="G10" i="5"/>
  <c r="D10" i="5"/>
  <c r="E20" i="5"/>
  <c r="J13" i="5"/>
  <c r="H20" i="5"/>
  <c r="I22" i="5" s="1"/>
  <c r="G26" i="5"/>
  <c r="D26" i="5"/>
  <c r="C28" i="5"/>
  <c r="G27" i="5"/>
  <c r="D27" i="5"/>
  <c r="M32" i="5"/>
  <c r="O42" i="5"/>
  <c r="L42" i="5"/>
  <c r="J22" i="5"/>
  <c r="I20" i="5"/>
  <c r="E28" i="5"/>
  <c r="M28" i="5"/>
  <c r="G46" i="5"/>
  <c r="D13" i="5"/>
  <c r="G13" i="5"/>
  <c r="K20" i="5"/>
  <c r="L18" i="5" s="1"/>
  <c r="E32" i="5"/>
  <c r="D42" i="5"/>
  <c r="G42" i="5"/>
  <c r="G22" i="5"/>
  <c r="D22" i="5"/>
  <c r="O22" i="5"/>
  <c r="D32" i="5"/>
  <c r="G32" i="5"/>
  <c r="O32" i="5"/>
  <c r="G12" i="4"/>
  <c r="O12" i="4"/>
  <c r="G13" i="4"/>
  <c r="J17" i="4"/>
  <c r="AA23" i="4"/>
  <c r="G31" i="4"/>
  <c r="O31" i="4"/>
  <c r="G38" i="4"/>
  <c r="D38" i="4"/>
  <c r="O38" i="4"/>
  <c r="G39" i="4"/>
  <c r="O39" i="4"/>
  <c r="G42" i="4"/>
  <c r="O42" i="4"/>
  <c r="G46" i="4"/>
  <c r="O46" i="4"/>
  <c r="O13" i="4"/>
  <c r="J10" i="4"/>
  <c r="I10" i="4"/>
  <c r="H20" i="4"/>
  <c r="I27" i="4" s="1"/>
  <c r="R10" i="4"/>
  <c r="P20" i="4"/>
  <c r="Q19" i="4" s="1"/>
  <c r="Q10" i="4"/>
  <c r="V17" i="4"/>
  <c r="G14" i="4"/>
  <c r="O14" i="4"/>
  <c r="AC15" i="4"/>
  <c r="AC16" i="4"/>
  <c r="J18" i="4"/>
  <c r="I18" i="4"/>
  <c r="R18" i="4"/>
  <c r="J19" i="4"/>
  <c r="Z23" i="4"/>
  <c r="AA25" i="4"/>
  <c r="E28" i="4"/>
  <c r="M28" i="4"/>
  <c r="AA27" i="4"/>
  <c r="Z27" i="4"/>
  <c r="AA28" i="4"/>
  <c r="E32" i="4"/>
  <c r="M32" i="4"/>
  <c r="U17" i="4"/>
  <c r="AA11" i="4"/>
  <c r="G15" i="4"/>
  <c r="O15" i="4"/>
  <c r="O16" i="4"/>
  <c r="J22" i="4"/>
  <c r="I22" i="4"/>
  <c r="I20" i="4"/>
  <c r="R22" i="4"/>
  <c r="Q22" i="4"/>
  <c r="Z25" i="4"/>
  <c r="Z28" i="4"/>
  <c r="AC14" i="4"/>
  <c r="R17" i="4"/>
  <c r="Q17" i="4"/>
  <c r="W17" i="4"/>
  <c r="Z11" i="4"/>
  <c r="X17" i="4"/>
  <c r="AA13" i="4"/>
  <c r="Z13" i="4"/>
  <c r="G16" i="4"/>
  <c r="G17" i="4"/>
  <c r="O17" i="4"/>
  <c r="O19" i="4"/>
  <c r="O10" i="4"/>
  <c r="K20" i="4"/>
  <c r="L42" i="4" s="1"/>
  <c r="AA14" i="4"/>
  <c r="Z14" i="4"/>
  <c r="G18" i="4"/>
  <c r="L18" i="4"/>
  <c r="O18" i="4"/>
  <c r="G19" i="4"/>
  <c r="AC23" i="4"/>
  <c r="J26" i="4"/>
  <c r="I26" i="4"/>
  <c r="H28" i="4"/>
  <c r="R26" i="4"/>
  <c r="Q26" i="4"/>
  <c r="P28" i="4"/>
  <c r="J27" i="4"/>
  <c r="R27" i="4"/>
  <c r="Q27" i="4"/>
  <c r="AC27" i="4"/>
  <c r="J30" i="4"/>
  <c r="H32" i="4"/>
  <c r="I30" i="4"/>
  <c r="R30" i="4"/>
  <c r="P32" i="4"/>
  <c r="Q30" i="4"/>
  <c r="G10" i="4"/>
  <c r="C20" i="4"/>
  <c r="D13" i="4" s="1"/>
  <c r="Y17" i="4"/>
  <c r="AA17" i="6" s="1"/>
  <c r="R12" i="4"/>
  <c r="Q12" i="4"/>
  <c r="Z15" i="4"/>
  <c r="AA15" i="4"/>
  <c r="Z16" i="4"/>
  <c r="AA16" i="4"/>
  <c r="D22" i="4"/>
  <c r="G22" i="4"/>
  <c r="L22" i="4"/>
  <c r="O22" i="4"/>
  <c r="AC25" i="4"/>
  <c r="AC28" i="4"/>
  <c r="J31" i="4"/>
  <c r="I31" i="4"/>
  <c r="R31" i="4"/>
  <c r="Q31" i="4"/>
  <c r="J38" i="4"/>
  <c r="I38" i="4"/>
  <c r="R38" i="4"/>
  <c r="Q38" i="4"/>
  <c r="J39" i="4"/>
  <c r="I39" i="4"/>
  <c r="R39" i="4"/>
  <c r="Q39" i="4"/>
  <c r="J42" i="4"/>
  <c r="I42" i="4"/>
  <c r="R42" i="4"/>
  <c r="Q42" i="4"/>
  <c r="J46" i="4"/>
  <c r="I46" i="4"/>
  <c r="R46" i="4"/>
  <c r="Q46" i="4"/>
  <c r="R11" i="4"/>
  <c r="Q11" i="4"/>
  <c r="J12" i="4"/>
  <c r="J13" i="4"/>
  <c r="I13" i="4"/>
  <c r="R13" i="4"/>
  <c r="Q13" i="4"/>
  <c r="E20" i="4"/>
  <c r="F11" i="4" s="1"/>
  <c r="M20" i="4"/>
  <c r="N30" i="4" s="1"/>
  <c r="AC11" i="4"/>
  <c r="AB19" i="4"/>
  <c r="J14" i="4"/>
  <c r="Q14" i="4"/>
  <c r="R14" i="4"/>
  <c r="J11" i="4"/>
  <c r="D11" i="4"/>
  <c r="G11" i="4"/>
  <c r="L11" i="4"/>
  <c r="O11" i="4"/>
  <c r="AB17" i="4"/>
  <c r="AC13" i="4"/>
  <c r="J15" i="4"/>
  <c r="R15" i="4"/>
  <c r="Q15" i="4"/>
  <c r="J16" i="4"/>
  <c r="Q16" i="4"/>
  <c r="R16" i="4"/>
  <c r="C28" i="4"/>
  <c r="G26" i="4"/>
  <c r="D26" i="4"/>
  <c r="K28" i="4"/>
  <c r="O26" i="4"/>
  <c r="L26" i="4"/>
  <c r="G27" i="4"/>
  <c r="D27" i="4"/>
  <c r="O27" i="4"/>
  <c r="L27" i="4"/>
  <c r="G30" i="4"/>
  <c r="C32" i="4"/>
  <c r="D30" i="4"/>
  <c r="O30" i="4"/>
  <c r="K32" i="4"/>
  <c r="L30" i="4"/>
  <c r="L7" i="4"/>
  <c r="R26" i="3"/>
  <c r="P28" i="3"/>
  <c r="J12" i="3"/>
  <c r="J17" i="3"/>
  <c r="G22" i="3"/>
  <c r="R15" i="3"/>
  <c r="O31" i="3"/>
  <c r="J11" i="3"/>
  <c r="G39" i="3"/>
  <c r="O14" i="3"/>
  <c r="O12" i="3"/>
  <c r="G15" i="3"/>
  <c r="G19" i="3"/>
  <c r="I20" i="3"/>
  <c r="J22" i="3"/>
  <c r="O39" i="3"/>
  <c r="O42" i="3"/>
  <c r="G12" i="3"/>
  <c r="J15" i="3"/>
  <c r="J27" i="3"/>
  <c r="O38" i="3"/>
  <c r="J14" i="3"/>
  <c r="G42" i="3"/>
  <c r="R11" i="3"/>
  <c r="R17" i="3"/>
  <c r="Q17" i="3"/>
  <c r="O22" i="3"/>
  <c r="G31" i="3"/>
  <c r="G38" i="3"/>
  <c r="G14" i="3"/>
  <c r="R27" i="3"/>
  <c r="R12" i="3"/>
  <c r="O15" i="3"/>
  <c r="L15" i="3"/>
  <c r="O19" i="3"/>
  <c r="R22" i="3"/>
  <c r="J26" i="3"/>
  <c r="H28" i="3"/>
  <c r="H28" i="6" s="1"/>
  <c r="G46" i="3"/>
  <c r="O46" i="3"/>
  <c r="H20" i="3"/>
  <c r="I46" i="3" s="1"/>
  <c r="J10" i="3"/>
  <c r="P20" i="3"/>
  <c r="R10" i="3"/>
  <c r="Q10" i="3"/>
  <c r="G13" i="3"/>
  <c r="O13" i="3"/>
  <c r="L13" i="3"/>
  <c r="E32" i="3"/>
  <c r="M32" i="3"/>
  <c r="C20" i="3"/>
  <c r="D10" i="3"/>
  <c r="G10" i="3"/>
  <c r="K20" i="3"/>
  <c r="L18" i="3" s="1"/>
  <c r="O10" i="3"/>
  <c r="L10" i="3"/>
  <c r="J18" i="3"/>
  <c r="R18" i="3"/>
  <c r="Q18" i="3"/>
  <c r="J30" i="3"/>
  <c r="H32" i="3"/>
  <c r="I30" i="3"/>
  <c r="R30" i="3"/>
  <c r="P32" i="3"/>
  <c r="Q30" i="3"/>
  <c r="D16" i="3"/>
  <c r="G16" i="3"/>
  <c r="O17" i="3"/>
  <c r="J19" i="3"/>
  <c r="I19" i="3"/>
  <c r="R19" i="3"/>
  <c r="Q19" i="3"/>
  <c r="C28" i="3"/>
  <c r="D26" i="3"/>
  <c r="G26" i="3"/>
  <c r="K28" i="3"/>
  <c r="L26" i="3"/>
  <c r="O26" i="3"/>
  <c r="G27" i="3"/>
  <c r="L27" i="3"/>
  <c r="O27" i="3"/>
  <c r="J31" i="3"/>
  <c r="R31" i="3"/>
  <c r="Q31" i="3"/>
  <c r="J38" i="3"/>
  <c r="R38" i="3"/>
  <c r="Q38" i="3"/>
  <c r="J39" i="3"/>
  <c r="R39" i="3"/>
  <c r="Q39" i="3"/>
  <c r="J42" i="3"/>
  <c r="R42" i="3"/>
  <c r="Q42" i="3"/>
  <c r="J46" i="3"/>
  <c r="R46" i="3"/>
  <c r="Q46" i="3"/>
  <c r="G17" i="3"/>
  <c r="E20" i="3"/>
  <c r="F42" i="3" s="1"/>
  <c r="G11" i="3"/>
  <c r="L11" i="3"/>
  <c r="O11" i="3"/>
  <c r="J13" i="3"/>
  <c r="Q13" i="3"/>
  <c r="R13" i="3"/>
  <c r="G18" i="3"/>
  <c r="O18" i="3"/>
  <c r="E28" i="3"/>
  <c r="M28" i="3"/>
  <c r="G30" i="3"/>
  <c r="C32" i="3"/>
  <c r="O30" i="3"/>
  <c r="L30" i="3"/>
  <c r="K32" i="3"/>
  <c r="AA25" i="3"/>
  <c r="U17" i="3"/>
  <c r="U19" i="3" s="1"/>
  <c r="U21" i="3" s="1"/>
  <c r="Z10" i="3"/>
  <c r="AA10" i="3"/>
  <c r="Z11" i="3"/>
  <c r="AC25" i="3"/>
  <c r="AC11" i="3"/>
  <c r="Q16" i="3"/>
  <c r="AC28" i="3"/>
  <c r="Y17" i="3"/>
  <c r="Y19" i="3" s="1"/>
  <c r="P7" i="3"/>
  <c r="O13" i="5" l="1"/>
  <c r="M20" i="5"/>
  <c r="M16" i="3"/>
  <c r="O46" i="5"/>
  <c r="L46" i="5"/>
  <c r="O27" i="5"/>
  <c r="L27" i="5"/>
  <c r="O26" i="5"/>
  <c r="L26" i="5"/>
  <c r="K28" i="5"/>
  <c r="R27" i="5"/>
  <c r="J27" i="5"/>
  <c r="I27" i="5"/>
  <c r="P28" i="5"/>
  <c r="R26" i="5"/>
  <c r="J26" i="5"/>
  <c r="I26" i="5"/>
  <c r="H28" i="5"/>
  <c r="P32" i="5"/>
  <c r="R30" i="5"/>
  <c r="J38" i="5"/>
  <c r="I38" i="5"/>
  <c r="R38" i="5"/>
  <c r="J31" i="5"/>
  <c r="R22" i="5"/>
  <c r="P20" i="5"/>
  <c r="Q39" i="5" s="1"/>
  <c r="R13" i="5"/>
  <c r="J39" i="5"/>
  <c r="R31" i="5"/>
  <c r="R39" i="5"/>
  <c r="H32" i="5"/>
  <c r="J30" i="5"/>
  <c r="U28" i="10"/>
  <c r="U10" i="10"/>
  <c r="W8" i="11" s="1"/>
  <c r="AH8" i="11"/>
  <c r="Y8" i="11"/>
  <c r="Y17" i="10"/>
  <c r="AC16" i="10"/>
  <c r="X16" i="10"/>
  <c r="Z13" i="11" s="1"/>
  <c r="AC13" i="11" s="1"/>
  <c r="C39" i="10"/>
  <c r="G39" i="10" s="1"/>
  <c r="I39" i="10"/>
  <c r="M32" i="10"/>
  <c r="M34" i="10" s="1"/>
  <c r="E32" i="10"/>
  <c r="C31" i="10"/>
  <c r="I31" i="10"/>
  <c r="U16" i="10"/>
  <c r="U17" i="10" s="1"/>
  <c r="V17" i="10"/>
  <c r="AC11" i="10"/>
  <c r="Z11" i="10"/>
  <c r="X11" i="10"/>
  <c r="Y19" i="10"/>
  <c r="AC28" i="10"/>
  <c r="X28" i="10"/>
  <c r="AA28" i="10" s="1"/>
  <c r="C19" i="10"/>
  <c r="I19" i="10"/>
  <c r="E24" i="10"/>
  <c r="V19" i="10"/>
  <c r="V21" i="10" s="1"/>
  <c r="V30" i="10" s="1"/>
  <c r="U11" i="10"/>
  <c r="K19" i="10"/>
  <c r="K24" i="10" s="1"/>
  <c r="M24" i="10"/>
  <c r="M20" i="10"/>
  <c r="K10" i="10"/>
  <c r="E20" i="10"/>
  <c r="C10" i="10"/>
  <c r="I10" i="10"/>
  <c r="H24" i="10"/>
  <c r="Q10" i="10"/>
  <c r="P20" i="10"/>
  <c r="R10" i="10"/>
  <c r="P24" i="10"/>
  <c r="R19" i="10"/>
  <c r="R39" i="10"/>
  <c r="Q39" i="10"/>
  <c r="J39" i="10"/>
  <c r="R38" i="10"/>
  <c r="J38" i="10"/>
  <c r="R31" i="10"/>
  <c r="P32" i="10"/>
  <c r="H31" i="11"/>
  <c r="J31" i="10"/>
  <c r="H32" i="10"/>
  <c r="D12" i="3"/>
  <c r="D46" i="3"/>
  <c r="D31" i="3"/>
  <c r="I42" i="3"/>
  <c r="I38" i="3"/>
  <c r="I18" i="3"/>
  <c r="Q26" i="3"/>
  <c r="Q11" i="3"/>
  <c r="Q27" i="3"/>
  <c r="I13" i="3"/>
  <c r="D17" i="3"/>
  <c r="D27" i="3"/>
  <c r="Q22" i="3"/>
  <c r="I10" i="3"/>
  <c r="D30" i="3"/>
  <c r="D18" i="3"/>
  <c r="I12" i="3"/>
  <c r="H20" i="6"/>
  <c r="D15" i="3"/>
  <c r="U30" i="3"/>
  <c r="W21" i="6"/>
  <c r="W30" i="6" s="1"/>
  <c r="I39" i="3"/>
  <c r="I31" i="3"/>
  <c r="L31" i="3"/>
  <c r="L39" i="3"/>
  <c r="I15" i="3"/>
  <c r="D11" i="3"/>
  <c r="L17" i="3"/>
  <c r="D13" i="3"/>
  <c r="P31" i="11"/>
  <c r="C31" i="11"/>
  <c r="M7" i="8"/>
  <c r="V7" i="8" s="1"/>
  <c r="Y7" i="8" s="1"/>
  <c r="E7" i="9"/>
  <c r="M7" i="9" s="1"/>
  <c r="V7" i="9" s="1"/>
  <c r="Y7" i="9" s="1"/>
  <c r="R27" i="9"/>
  <c r="N27" i="9"/>
  <c r="V21" i="9"/>
  <c r="V30" i="9" s="1"/>
  <c r="Z13" i="9"/>
  <c r="AA13" i="9"/>
  <c r="Z8" i="11"/>
  <c r="AC16" i="6"/>
  <c r="AA21" i="11"/>
  <c r="AE27" i="6"/>
  <c r="AC14" i="6"/>
  <c r="Z11" i="11"/>
  <c r="AB14" i="6"/>
  <c r="AI11" i="11" s="1"/>
  <c r="Z10" i="11"/>
  <c r="AH11" i="11"/>
  <c r="Y11" i="11"/>
  <c r="AA28" i="3"/>
  <c r="AG9" i="11"/>
  <c r="X9" i="11"/>
  <c r="G18" i="6"/>
  <c r="C18" i="11"/>
  <c r="E20" i="6"/>
  <c r="E10" i="11"/>
  <c r="R39" i="6"/>
  <c r="P39" i="11"/>
  <c r="R30" i="6"/>
  <c r="P30" i="11"/>
  <c r="P33" i="6"/>
  <c r="M46" i="11"/>
  <c r="R27" i="6"/>
  <c r="P27" i="11"/>
  <c r="P11" i="11"/>
  <c r="K16" i="11"/>
  <c r="O16" i="6"/>
  <c r="C15" i="11"/>
  <c r="E42" i="11"/>
  <c r="D17" i="4"/>
  <c r="W19" i="4"/>
  <c r="W21" i="4" s="1"/>
  <c r="Y17" i="6"/>
  <c r="AG14" i="11" s="1"/>
  <c r="D15" i="4"/>
  <c r="Q18" i="4"/>
  <c r="D14" i="4"/>
  <c r="D42" i="4"/>
  <c r="L12" i="4"/>
  <c r="L22" i="5"/>
  <c r="I13" i="5"/>
  <c r="H34" i="6"/>
  <c r="L27" i="7"/>
  <c r="W7" i="8"/>
  <c r="AB7" i="8" s="1"/>
  <c r="H7" i="9"/>
  <c r="W30" i="9"/>
  <c r="F11" i="9"/>
  <c r="V19" i="9"/>
  <c r="R31" i="9"/>
  <c r="G43" i="9"/>
  <c r="C64" i="7"/>
  <c r="G27" i="9"/>
  <c r="L19" i="9"/>
  <c r="K19" i="11"/>
  <c r="O19" i="9"/>
  <c r="C7" i="8"/>
  <c r="U7" i="3"/>
  <c r="X7" i="3" s="1"/>
  <c r="K7" i="3"/>
  <c r="K31" i="11"/>
  <c r="AE13" i="6"/>
  <c r="AA10" i="11"/>
  <c r="AE10" i="11" s="1"/>
  <c r="AH19" i="11"/>
  <c r="Y19" i="11"/>
  <c r="AB11" i="11"/>
  <c r="AK11" i="11"/>
  <c r="Z16" i="3"/>
  <c r="AA19" i="6"/>
  <c r="AB9" i="11"/>
  <c r="AK9" i="11"/>
  <c r="AK20" i="11"/>
  <c r="AB20" i="11"/>
  <c r="AA11" i="3"/>
  <c r="AC27" i="6"/>
  <c r="AB21" i="11"/>
  <c r="AC21" i="11" s="1"/>
  <c r="AK21" i="11"/>
  <c r="AB27" i="6"/>
  <c r="AI21" i="11" s="1"/>
  <c r="AA12" i="11"/>
  <c r="AE12" i="11" s="1"/>
  <c r="AE15" i="6"/>
  <c r="O30" i="6"/>
  <c r="K33" i="6"/>
  <c r="R17" i="6"/>
  <c r="M17" i="11"/>
  <c r="G17" i="6"/>
  <c r="C17" i="11"/>
  <c r="J39" i="6"/>
  <c r="H39" i="11"/>
  <c r="C26" i="11"/>
  <c r="J30" i="6"/>
  <c r="H30" i="11"/>
  <c r="H33" i="6"/>
  <c r="G18" i="11"/>
  <c r="E38" i="11"/>
  <c r="T26" i="6"/>
  <c r="C14" i="11"/>
  <c r="G14" i="6"/>
  <c r="O11" i="6"/>
  <c r="M11" i="11"/>
  <c r="J15" i="6"/>
  <c r="H15" i="11"/>
  <c r="K12" i="11"/>
  <c r="O12" i="6"/>
  <c r="E39" i="11"/>
  <c r="T27" i="6"/>
  <c r="D19" i="4"/>
  <c r="L13" i="4"/>
  <c r="L46" i="7"/>
  <c r="L22" i="7"/>
  <c r="O34" i="8"/>
  <c r="K42" i="9"/>
  <c r="P7" i="7"/>
  <c r="X7" i="7"/>
  <c r="AC7" i="7" s="1"/>
  <c r="F28" i="9"/>
  <c r="F20" i="9"/>
  <c r="J20" i="9"/>
  <c r="AC25" i="9"/>
  <c r="AK24" i="11"/>
  <c r="F12" i="9"/>
  <c r="K7" i="10"/>
  <c r="X7" i="10" s="1"/>
  <c r="U7" i="10"/>
  <c r="W9" i="11"/>
  <c r="AB13" i="11"/>
  <c r="AK13" i="11"/>
  <c r="AC15" i="6"/>
  <c r="Z12" i="11"/>
  <c r="AC23" i="3"/>
  <c r="AH13" i="11"/>
  <c r="Y13" i="11"/>
  <c r="Z25" i="3"/>
  <c r="Z9" i="11"/>
  <c r="AC11" i="6"/>
  <c r="AC15" i="3"/>
  <c r="X22" i="11"/>
  <c r="AG22" i="11"/>
  <c r="C30" i="11"/>
  <c r="G30" i="6"/>
  <c r="C33" i="6"/>
  <c r="J17" i="6"/>
  <c r="E17" i="11"/>
  <c r="M15" i="11"/>
  <c r="R38" i="6"/>
  <c r="P38" i="11"/>
  <c r="R18" i="6"/>
  <c r="P18" i="11"/>
  <c r="O13" i="6"/>
  <c r="K13" i="11"/>
  <c r="T22" i="6"/>
  <c r="T32" i="6"/>
  <c r="E46" i="11"/>
  <c r="G42" i="6"/>
  <c r="C42" i="11"/>
  <c r="R12" i="6"/>
  <c r="M12" i="11"/>
  <c r="K14" i="11"/>
  <c r="O14" i="6"/>
  <c r="G22" i="6"/>
  <c r="C22" i="11"/>
  <c r="L10" i="4"/>
  <c r="N13" i="4"/>
  <c r="V19" i="4"/>
  <c r="V21" i="4" s="1"/>
  <c r="V30" i="4" s="1"/>
  <c r="X17" i="6"/>
  <c r="AH14" i="11" s="1"/>
  <c r="D31" i="4"/>
  <c r="D12" i="4"/>
  <c r="AI9" i="11"/>
  <c r="L38" i="7"/>
  <c r="I22" i="7"/>
  <c r="F34" i="8"/>
  <c r="E34" i="9"/>
  <c r="O30" i="9"/>
  <c r="F17" i="9"/>
  <c r="J17" i="9"/>
  <c r="I17" i="9"/>
  <c r="I13" i="9"/>
  <c r="I20" i="9"/>
  <c r="I18" i="9"/>
  <c r="I16" i="9"/>
  <c r="I19" i="9"/>
  <c r="I11" i="9"/>
  <c r="I15" i="9"/>
  <c r="J16" i="9"/>
  <c r="F16" i="9"/>
  <c r="Z27" i="9"/>
  <c r="F26" i="9"/>
  <c r="F46" i="9"/>
  <c r="F39" i="9"/>
  <c r="J27" i="9"/>
  <c r="F27" i="9"/>
  <c r="Y20" i="11"/>
  <c r="AA22" i="11"/>
  <c r="AE22" i="11" s="1"/>
  <c r="AE28" i="6"/>
  <c r="Z15" i="3"/>
  <c r="AA19" i="11"/>
  <c r="AE23" i="6"/>
  <c r="AH12" i="11"/>
  <c r="Y12" i="11"/>
  <c r="Y14" i="11" s="1"/>
  <c r="X10" i="11"/>
  <c r="AG10" i="11"/>
  <c r="AC25" i="6"/>
  <c r="Y21" i="11"/>
  <c r="AH21" i="11"/>
  <c r="M27" i="11"/>
  <c r="R13" i="6"/>
  <c r="P13" i="11"/>
  <c r="E14" i="11"/>
  <c r="J38" i="6"/>
  <c r="H38" i="11"/>
  <c r="E22" i="11"/>
  <c r="T11" i="6"/>
  <c r="J18" i="6"/>
  <c r="H18" i="11"/>
  <c r="G13" i="6"/>
  <c r="C13" i="11"/>
  <c r="H26" i="11"/>
  <c r="G38" i="6"/>
  <c r="C38" i="11"/>
  <c r="J14" i="6"/>
  <c r="H14" i="11"/>
  <c r="G39" i="6"/>
  <c r="C39" i="11"/>
  <c r="H17" i="11"/>
  <c r="I17" i="6"/>
  <c r="AK14" i="11"/>
  <c r="AB14" i="11"/>
  <c r="N14" i="4"/>
  <c r="N26" i="4"/>
  <c r="D39" i="4"/>
  <c r="L27" i="9"/>
  <c r="R34" i="9"/>
  <c r="J26" i="9"/>
  <c r="Q20" i="9"/>
  <c r="Q17" i="9"/>
  <c r="Q15" i="9"/>
  <c r="Q13" i="9"/>
  <c r="Q18" i="9"/>
  <c r="Q16" i="9"/>
  <c r="Q19" i="9"/>
  <c r="J10" i="9"/>
  <c r="I14" i="9"/>
  <c r="Y19" i="7"/>
  <c r="AC27" i="9"/>
  <c r="AK26" i="11"/>
  <c r="F22" i="9"/>
  <c r="O39" i="9"/>
  <c r="R28" i="9"/>
  <c r="T6" i="3"/>
  <c r="B6" i="11"/>
  <c r="B6" i="8"/>
  <c r="B6" i="7"/>
  <c r="U6" i="7" s="1"/>
  <c r="W22" i="11"/>
  <c r="AE25" i="6"/>
  <c r="AG12" i="11"/>
  <c r="X12" i="11"/>
  <c r="AG13" i="11"/>
  <c r="X13" i="11"/>
  <c r="W13" i="11"/>
  <c r="E27" i="11"/>
  <c r="T19" i="6"/>
  <c r="J13" i="6"/>
  <c r="H13" i="11"/>
  <c r="R46" i="6"/>
  <c r="P46" i="11"/>
  <c r="H19" i="11"/>
  <c r="K20" i="6"/>
  <c r="K10" i="11"/>
  <c r="O10" i="6"/>
  <c r="P10" i="11"/>
  <c r="R10" i="6"/>
  <c r="R22" i="6"/>
  <c r="P22" i="11"/>
  <c r="O38" i="6"/>
  <c r="C12" i="11"/>
  <c r="G12" i="6"/>
  <c r="I11" i="6"/>
  <c r="H11" i="11"/>
  <c r="H12" i="11"/>
  <c r="J12" i="6"/>
  <c r="I12" i="6"/>
  <c r="N19" i="4"/>
  <c r="L19" i="4"/>
  <c r="N42" i="4"/>
  <c r="U19" i="4"/>
  <c r="U21" i="4" s="1"/>
  <c r="U30" i="4" s="1"/>
  <c r="W17" i="6"/>
  <c r="W19" i="6" s="1"/>
  <c r="D46" i="4"/>
  <c r="D38" i="7"/>
  <c r="G10" i="9"/>
  <c r="L15" i="9"/>
  <c r="O15" i="9"/>
  <c r="J30" i="9"/>
  <c r="N15" i="9"/>
  <c r="R15" i="9"/>
  <c r="Y21" i="9"/>
  <c r="AB30" i="9"/>
  <c r="E19" i="11"/>
  <c r="J19" i="9"/>
  <c r="F19" i="9"/>
  <c r="R32" i="9"/>
  <c r="N28" i="9"/>
  <c r="N20" i="9"/>
  <c r="R20" i="9"/>
  <c r="AE8" i="11"/>
  <c r="M31" i="11"/>
  <c r="AG19" i="11"/>
  <c r="X19" i="11"/>
  <c r="AB12" i="11"/>
  <c r="AK12" i="11"/>
  <c r="AE14" i="6"/>
  <c r="AA11" i="11"/>
  <c r="AE11" i="11" s="1"/>
  <c r="W12" i="11"/>
  <c r="W14" i="11" s="1"/>
  <c r="V19" i="3"/>
  <c r="V21" i="3" s="1"/>
  <c r="V30" i="3" s="1"/>
  <c r="AB23" i="6"/>
  <c r="AI19" i="11" s="1"/>
  <c r="AB19" i="11"/>
  <c r="AK19" i="11"/>
  <c r="V17" i="3"/>
  <c r="R26" i="6"/>
  <c r="M26" i="11"/>
  <c r="K11" i="11"/>
  <c r="J46" i="6"/>
  <c r="H46" i="11"/>
  <c r="O17" i="6"/>
  <c r="K17" i="11"/>
  <c r="C20" i="6"/>
  <c r="C10" i="11"/>
  <c r="G10" i="6"/>
  <c r="H10" i="11"/>
  <c r="I10" i="6"/>
  <c r="J10" i="6"/>
  <c r="K15" i="11"/>
  <c r="O22" i="6"/>
  <c r="K22" i="11"/>
  <c r="M42" i="11"/>
  <c r="O42" i="6"/>
  <c r="O32" i="6"/>
  <c r="P28" i="6"/>
  <c r="P26" i="11"/>
  <c r="D18" i="4"/>
  <c r="N38" i="4"/>
  <c r="N32" i="4"/>
  <c r="L38" i="4"/>
  <c r="D34" i="8"/>
  <c r="AA17" i="8"/>
  <c r="X17" i="9"/>
  <c r="AA17" i="9" s="1"/>
  <c r="R24" i="9"/>
  <c r="AD21" i="11"/>
  <c r="O36" i="9"/>
  <c r="R58" i="7" s="1"/>
  <c r="N58" i="7"/>
  <c r="P19" i="11"/>
  <c r="E16" i="11"/>
  <c r="R13" i="9"/>
  <c r="G19" i="9"/>
  <c r="C19" i="11"/>
  <c r="R26" i="9"/>
  <c r="F15" i="9"/>
  <c r="G39" i="9"/>
  <c r="G11" i="9"/>
  <c r="E31" i="11"/>
  <c r="AA9" i="11"/>
  <c r="AG11" i="11"/>
  <c r="X11" i="11"/>
  <c r="AC14" i="3"/>
  <c r="X19" i="6"/>
  <c r="AH9" i="11"/>
  <c r="Y9" i="11"/>
  <c r="Z23" i="3"/>
  <c r="Y10" i="11"/>
  <c r="AH10" i="11"/>
  <c r="J26" i="6"/>
  <c r="E26" i="11"/>
  <c r="T13" i="6"/>
  <c r="C11" i="11"/>
  <c r="R42" i="6"/>
  <c r="P42" i="11"/>
  <c r="O27" i="6"/>
  <c r="K27" i="11"/>
  <c r="C16" i="11"/>
  <c r="G16" i="11" s="1"/>
  <c r="G16" i="6"/>
  <c r="M30" i="11"/>
  <c r="M33" i="6"/>
  <c r="O46" i="6"/>
  <c r="P17" i="11"/>
  <c r="M39" i="11"/>
  <c r="O39" i="6"/>
  <c r="R15" i="6"/>
  <c r="P15" i="11"/>
  <c r="E13" i="11"/>
  <c r="AC17" i="4"/>
  <c r="AB17" i="3"/>
  <c r="AB19" i="3" s="1"/>
  <c r="AD17" i="6"/>
  <c r="AD19" i="6" s="1"/>
  <c r="AE19" i="6" s="1"/>
  <c r="D10" i="4"/>
  <c r="N15" i="4"/>
  <c r="L17" i="4"/>
  <c r="AA17" i="4"/>
  <c r="Z17" i="6"/>
  <c r="L15" i="4"/>
  <c r="L14" i="4"/>
  <c r="L32" i="5"/>
  <c r="L13" i="5"/>
  <c r="L43" i="9"/>
  <c r="L18" i="9"/>
  <c r="L16" i="9"/>
  <c r="L12" i="9"/>
  <c r="L30" i="9"/>
  <c r="L17" i="9"/>
  <c r="L24" i="9"/>
  <c r="L13" i="9"/>
  <c r="L10" i="9"/>
  <c r="P14" i="11"/>
  <c r="I12" i="9"/>
  <c r="R19" i="9"/>
  <c r="M19" i="11"/>
  <c r="F38" i="9"/>
  <c r="Z19" i="9"/>
  <c r="AC11" i="9"/>
  <c r="AI10" i="11" s="1"/>
  <c r="G31" i="9"/>
  <c r="U30" i="8"/>
  <c r="U21" i="9"/>
  <c r="J28" i="9"/>
  <c r="AC8" i="11"/>
  <c r="O10" i="9"/>
  <c r="Y22" i="11"/>
  <c r="AH22" i="11"/>
  <c r="P16" i="6"/>
  <c r="P20" i="6" s="1"/>
  <c r="R16" i="3"/>
  <c r="W20" i="11"/>
  <c r="AC13" i="6"/>
  <c r="AB10" i="11"/>
  <c r="AC10" i="11" s="1"/>
  <c r="AK10" i="11"/>
  <c r="Z14" i="3"/>
  <c r="Z13" i="3"/>
  <c r="X17" i="3"/>
  <c r="X19" i="3" s="1"/>
  <c r="AK22" i="11"/>
  <c r="AB22" i="11"/>
  <c r="AB28" i="6"/>
  <c r="Z22" i="11"/>
  <c r="AD22" i="11" s="1"/>
  <c r="AC28" i="6"/>
  <c r="AE16" i="6"/>
  <c r="AA13" i="11"/>
  <c r="AE13" i="11" s="1"/>
  <c r="W19" i="3"/>
  <c r="Z19" i="11"/>
  <c r="AD19" i="11" s="1"/>
  <c r="AC23" i="6"/>
  <c r="O18" i="6"/>
  <c r="K18" i="11"/>
  <c r="O18" i="11" s="1"/>
  <c r="M10" i="11"/>
  <c r="J42" i="6"/>
  <c r="H42" i="11"/>
  <c r="G27" i="6"/>
  <c r="C27" i="11"/>
  <c r="E30" i="11"/>
  <c r="E33" i="6"/>
  <c r="T21" i="6"/>
  <c r="G46" i="6"/>
  <c r="C46" i="11"/>
  <c r="M38" i="11"/>
  <c r="M13" i="11"/>
  <c r="J27" i="6"/>
  <c r="H27" i="11"/>
  <c r="J22" i="6"/>
  <c r="H22" i="11"/>
  <c r="G11" i="6"/>
  <c r="E11" i="11"/>
  <c r="E12" i="11"/>
  <c r="AC19" i="10"/>
  <c r="U19" i="10"/>
  <c r="U21" i="10" s="1"/>
  <c r="U30" i="10" s="1"/>
  <c r="X19" i="10"/>
  <c r="AA19" i="10" s="1"/>
  <c r="AA11" i="10"/>
  <c r="R24" i="10"/>
  <c r="Q24" i="10"/>
  <c r="M36" i="10"/>
  <c r="R59" i="7" s="1"/>
  <c r="AA10" i="10"/>
  <c r="X21" i="10"/>
  <c r="K28" i="10"/>
  <c r="O24" i="10"/>
  <c r="Z28" i="10"/>
  <c r="Z10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27" i="10"/>
  <c r="Q12" i="10"/>
  <c r="Y21" i="10"/>
  <c r="P34" i="10"/>
  <c r="R32" i="10"/>
  <c r="Q32" i="10"/>
  <c r="K20" i="10"/>
  <c r="O10" i="10"/>
  <c r="AC17" i="10"/>
  <c r="J24" i="10"/>
  <c r="I24" i="10"/>
  <c r="Q31" i="10"/>
  <c r="K41" i="10"/>
  <c r="O36" i="10"/>
  <c r="Z16" i="10"/>
  <c r="AI13" i="11" s="1"/>
  <c r="X17" i="10"/>
  <c r="AA17" i="10" s="1"/>
  <c r="AA16" i="10"/>
  <c r="C20" i="10"/>
  <c r="G10" i="10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M41" i="8"/>
  <c r="M41" i="9" s="1"/>
  <c r="N36" i="8"/>
  <c r="Y30" i="8"/>
  <c r="AC21" i="8"/>
  <c r="R34" i="8"/>
  <c r="Q34" i="8"/>
  <c r="P36" i="8"/>
  <c r="P36" i="9" s="1"/>
  <c r="Q36" i="9" s="1"/>
  <c r="R24" i="8"/>
  <c r="Q24" i="8"/>
  <c r="J24" i="8"/>
  <c r="E36" i="8"/>
  <c r="E36" i="9" s="1"/>
  <c r="F24" i="8"/>
  <c r="J34" i="8"/>
  <c r="I34" i="8"/>
  <c r="H36" i="8"/>
  <c r="H36" i="9" s="1"/>
  <c r="I36" i="9" s="1"/>
  <c r="G34" i="8"/>
  <c r="O24" i="8"/>
  <c r="K36" i="8"/>
  <c r="K45" i="9" s="1"/>
  <c r="C36" i="8"/>
  <c r="C45" i="9" s="1"/>
  <c r="G45" i="9" s="1"/>
  <c r="X19" i="8"/>
  <c r="X19" i="9" s="1"/>
  <c r="AA19" i="9" s="1"/>
  <c r="G24" i="8"/>
  <c r="D42" i="7"/>
  <c r="D12" i="7"/>
  <c r="L13" i="7"/>
  <c r="F26" i="7"/>
  <c r="F46" i="7"/>
  <c r="I12" i="7"/>
  <c r="F22" i="7"/>
  <c r="N12" i="7"/>
  <c r="N38" i="7"/>
  <c r="I39" i="7"/>
  <c r="D31" i="7"/>
  <c r="D30" i="7"/>
  <c r="K34" i="7"/>
  <c r="O28" i="7"/>
  <c r="L28" i="7"/>
  <c r="R32" i="7"/>
  <c r="Q32" i="7"/>
  <c r="F12" i="7"/>
  <c r="F38" i="7"/>
  <c r="D32" i="7"/>
  <c r="G32" i="7"/>
  <c r="K24" i="7"/>
  <c r="O20" i="7"/>
  <c r="L20" i="7"/>
  <c r="F11" i="7"/>
  <c r="L26" i="7"/>
  <c r="P24" i="7"/>
  <c r="R20" i="7"/>
  <c r="Q20" i="7"/>
  <c r="D39" i="7"/>
  <c r="L11" i="7"/>
  <c r="R28" i="7"/>
  <c r="Q28" i="7"/>
  <c r="P34" i="7"/>
  <c r="N20" i="7"/>
  <c r="M24" i="7"/>
  <c r="N27" i="7"/>
  <c r="L10" i="7"/>
  <c r="I42" i="7"/>
  <c r="N39" i="7"/>
  <c r="I31" i="7"/>
  <c r="N11" i="7"/>
  <c r="I30" i="7"/>
  <c r="F31" i="7"/>
  <c r="I26" i="7"/>
  <c r="F30" i="7"/>
  <c r="F10" i="7"/>
  <c r="F27" i="7"/>
  <c r="C34" i="7"/>
  <c r="G28" i="7"/>
  <c r="D28" i="7"/>
  <c r="J32" i="7"/>
  <c r="I32" i="7"/>
  <c r="N28" i="7"/>
  <c r="M34" i="7"/>
  <c r="N34" i="7" s="1"/>
  <c r="C24" i="7"/>
  <c r="G20" i="7"/>
  <c r="D20" i="7"/>
  <c r="D26" i="7"/>
  <c r="H24" i="7"/>
  <c r="J20" i="7"/>
  <c r="I20" i="7"/>
  <c r="J28" i="7"/>
  <c r="I28" i="7"/>
  <c r="H34" i="7"/>
  <c r="F20" i="7"/>
  <c r="E24" i="7"/>
  <c r="Z30" i="7"/>
  <c r="AD21" i="7"/>
  <c r="L30" i="7"/>
  <c r="N26" i="7"/>
  <c r="D10" i="7"/>
  <c r="D46" i="7"/>
  <c r="D15" i="7"/>
  <c r="N42" i="7"/>
  <c r="D22" i="7"/>
  <c r="D13" i="7"/>
  <c r="I27" i="7"/>
  <c r="F32" i="7"/>
  <c r="L31" i="7"/>
  <c r="L32" i="7"/>
  <c r="O32" i="7"/>
  <c r="F28" i="7"/>
  <c r="E34" i="7"/>
  <c r="F34" i="7" s="1"/>
  <c r="N46" i="7"/>
  <c r="I38" i="7"/>
  <c r="D27" i="7"/>
  <c r="N22" i="7"/>
  <c r="F42" i="7"/>
  <c r="N13" i="7"/>
  <c r="G28" i="6"/>
  <c r="D28" i="6"/>
  <c r="C34" i="6"/>
  <c r="J34" i="6"/>
  <c r="I34" i="6"/>
  <c r="M34" i="6"/>
  <c r="F28" i="6"/>
  <c r="T20" i="6"/>
  <c r="E34" i="6"/>
  <c r="J28" i="6"/>
  <c r="R28" i="6"/>
  <c r="O28" i="6"/>
  <c r="L28" i="6"/>
  <c r="K34" i="6"/>
  <c r="P34" i="5"/>
  <c r="R28" i="5"/>
  <c r="Q28" i="5"/>
  <c r="R32" i="5"/>
  <c r="Q32" i="5"/>
  <c r="Q27" i="5"/>
  <c r="Q30" i="5"/>
  <c r="D11" i="5"/>
  <c r="D20" i="5"/>
  <c r="D14" i="5"/>
  <c r="D30" i="5"/>
  <c r="D17" i="5"/>
  <c r="D15" i="5"/>
  <c r="D38" i="5"/>
  <c r="G20" i="5"/>
  <c r="C24" i="5"/>
  <c r="D12" i="5"/>
  <c r="D16" i="5"/>
  <c r="J28" i="5"/>
  <c r="I28" i="5"/>
  <c r="D18" i="5"/>
  <c r="L17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G28" i="5"/>
  <c r="C34" i="5"/>
  <c r="D28" i="5"/>
  <c r="N42" i="5"/>
  <c r="N39" i="5"/>
  <c r="N16" i="5"/>
  <c r="N28" i="5"/>
  <c r="N27" i="5"/>
  <c r="N26" i="5"/>
  <c r="N18" i="5"/>
  <c r="N14" i="5"/>
  <c r="N46" i="5"/>
  <c r="N30" i="5"/>
  <c r="N19" i="5"/>
  <c r="N11" i="5"/>
  <c r="N15" i="5"/>
  <c r="N38" i="5"/>
  <c r="M24" i="5"/>
  <c r="N24" i="5" s="1"/>
  <c r="N22" i="5"/>
  <c r="N17" i="5"/>
  <c r="N12" i="5"/>
  <c r="N10" i="5"/>
  <c r="N32" i="5"/>
  <c r="N31" i="5"/>
  <c r="N20" i="5"/>
  <c r="N13" i="5"/>
  <c r="M34" i="5"/>
  <c r="N34" i="5" s="1"/>
  <c r="E34" i="5"/>
  <c r="Q46" i="5"/>
  <c r="P24" i="5"/>
  <c r="Q11" i="5"/>
  <c r="Q12" i="5"/>
  <c r="R20" i="5"/>
  <c r="Q15" i="5"/>
  <c r="Q20" i="5"/>
  <c r="Q17" i="5"/>
  <c r="Q10" i="5"/>
  <c r="Q42" i="5"/>
  <c r="Q16" i="5"/>
  <c r="Q26" i="5"/>
  <c r="Q13" i="5"/>
  <c r="J32" i="5"/>
  <c r="I32" i="5"/>
  <c r="H34" i="5"/>
  <c r="Q14" i="5"/>
  <c r="D46" i="5"/>
  <c r="I11" i="5"/>
  <c r="I15" i="5"/>
  <c r="H24" i="5"/>
  <c r="J20" i="5"/>
  <c r="I12" i="5"/>
  <c r="I10" i="5"/>
  <c r="I16" i="5"/>
  <c r="I14" i="5"/>
  <c r="I46" i="5"/>
  <c r="F45" i="5"/>
  <c r="F42" i="5"/>
  <c r="F46" i="5"/>
  <c r="F30" i="5"/>
  <c r="F43" i="5"/>
  <c r="F28" i="5"/>
  <c r="F27" i="5"/>
  <c r="F26" i="5"/>
  <c r="F11" i="5"/>
  <c r="F17" i="5"/>
  <c r="F15" i="5"/>
  <c r="F38" i="5"/>
  <c r="F24" i="5"/>
  <c r="F36" i="5"/>
  <c r="F31" i="5"/>
  <c r="E24" i="5"/>
  <c r="E36" i="5" s="1"/>
  <c r="F22" i="5"/>
  <c r="F12" i="5"/>
  <c r="F10" i="5"/>
  <c r="F41" i="5"/>
  <c r="F39" i="5"/>
  <c r="F34" i="5"/>
  <c r="F32" i="5"/>
  <c r="F20" i="5"/>
  <c r="F19" i="5"/>
  <c r="F18" i="5"/>
  <c r="F16" i="5"/>
  <c r="F13" i="5"/>
  <c r="F14" i="5"/>
  <c r="O28" i="5"/>
  <c r="K34" i="5"/>
  <c r="L28" i="5"/>
  <c r="AA30" i="4"/>
  <c r="AB21" i="4"/>
  <c r="F38" i="4"/>
  <c r="L28" i="4"/>
  <c r="O28" i="4"/>
  <c r="K34" i="4"/>
  <c r="N18" i="4"/>
  <c r="I12" i="4"/>
  <c r="F18" i="4"/>
  <c r="N10" i="4"/>
  <c r="F17" i="4"/>
  <c r="G20" i="4"/>
  <c r="C24" i="4"/>
  <c r="D20" i="4"/>
  <c r="O20" i="4"/>
  <c r="K24" i="4"/>
  <c r="L20" i="4"/>
  <c r="F46" i="4"/>
  <c r="F31" i="4"/>
  <c r="L16" i="4"/>
  <c r="F26" i="4"/>
  <c r="N11" i="4"/>
  <c r="I17" i="4"/>
  <c r="F15" i="4"/>
  <c r="H34" i="4"/>
  <c r="J28" i="4"/>
  <c r="I28" i="4"/>
  <c r="X19" i="4"/>
  <c r="F20" i="4"/>
  <c r="E24" i="4"/>
  <c r="F13" i="4"/>
  <c r="F42" i="4"/>
  <c r="N22" i="4"/>
  <c r="N16" i="4"/>
  <c r="F14" i="4"/>
  <c r="F12" i="4"/>
  <c r="N39" i="4"/>
  <c r="N27" i="4"/>
  <c r="P24" i="4"/>
  <c r="R20" i="4"/>
  <c r="Q20" i="4"/>
  <c r="L46" i="4"/>
  <c r="L39" i="4"/>
  <c r="L31" i="4"/>
  <c r="D28" i="4"/>
  <c r="G28" i="4"/>
  <c r="C34" i="4"/>
  <c r="F10" i="4"/>
  <c r="O32" i="4"/>
  <c r="L32" i="4"/>
  <c r="F22" i="4"/>
  <c r="I15" i="4"/>
  <c r="I11" i="4"/>
  <c r="I14" i="4"/>
  <c r="R32" i="4"/>
  <c r="Q32" i="4"/>
  <c r="F16" i="4"/>
  <c r="F39" i="4"/>
  <c r="F27" i="4"/>
  <c r="M34" i="4"/>
  <c r="N34" i="4" s="1"/>
  <c r="N28" i="4"/>
  <c r="H24" i="4"/>
  <c r="J20" i="4"/>
  <c r="F19" i="4"/>
  <c r="F30" i="4"/>
  <c r="P34" i="4"/>
  <c r="R28" i="4"/>
  <c r="Q28" i="4"/>
  <c r="G32" i="4"/>
  <c r="D32" i="4"/>
  <c r="I16" i="4"/>
  <c r="N20" i="4"/>
  <c r="M24" i="4"/>
  <c r="N17" i="4"/>
  <c r="Z17" i="4"/>
  <c r="J32" i="4"/>
  <c r="I32" i="4"/>
  <c r="Y19" i="4"/>
  <c r="AC19" i="4" s="1"/>
  <c r="N46" i="4"/>
  <c r="N31" i="4"/>
  <c r="N12" i="4"/>
  <c r="F32" i="4"/>
  <c r="E34" i="4"/>
  <c r="F34" i="4" s="1"/>
  <c r="F28" i="4"/>
  <c r="Z19" i="3"/>
  <c r="Y21" i="3"/>
  <c r="AA21" i="6" s="1"/>
  <c r="O32" i="3"/>
  <c r="L32" i="3"/>
  <c r="F18" i="3"/>
  <c r="F38" i="3"/>
  <c r="D14" i="3"/>
  <c r="I22" i="3"/>
  <c r="L14" i="3"/>
  <c r="M34" i="3"/>
  <c r="F17" i="3"/>
  <c r="F14" i="3"/>
  <c r="F22" i="3"/>
  <c r="F31" i="3"/>
  <c r="F19" i="3"/>
  <c r="Q15" i="3"/>
  <c r="F28" i="3"/>
  <c r="E34" i="3"/>
  <c r="F34" i="3" s="1"/>
  <c r="F15" i="3"/>
  <c r="G20" i="3"/>
  <c r="C24" i="3"/>
  <c r="D20" i="3"/>
  <c r="H24" i="3"/>
  <c r="H24" i="6" s="1"/>
  <c r="I24" i="6" s="1"/>
  <c r="I16" i="3"/>
  <c r="J20" i="3"/>
  <c r="I26" i="3"/>
  <c r="F46" i="3"/>
  <c r="I14" i="3"/>
  <c r="L16" i="3"/>
  <c r="D19" i="3"/>
  <c r="D39" i="3"/>
  <c r="F11" i="3"/>
  <c r="G32" i="3"/>
  <c r="D32" i="3"/>
  <c r="F26" i="3"/>
  <c r="L46" i="3"/>
  <c r="H34" i="3"/>
  <c r="J28" i="3"/>
  <c r="I28" i="3"/>
  <c r="Q12" i="3"/>
  <c r="D38" i="3"/>
  <c r="L38" i="3"/>
  <c r="L42" i="3"/>
  <c r="F16" i="3"/>
  <c r="E24" i="3"/>
  <c r="F20" i="3"/>
  <c r="L28" i="3"/>
  <c r="O28" i="3"/>
  <c r="K34" i="3"/>
  <c r="R32" i="3"/>
  <c r="Q32" i="3"/>
  <c r="F39" i="3"/>
  <c r="P34" i="3"/>
  <c r="R28" i="3"/>
  <c r="Q28" i="3"/>
  <c r="AC19" i="3"/>
  <c r="F10" i="3"/>
  <c r="F32" i="3"/>
  <c r="I11" i="3"/>
  <c r="D22" i="3"/>
  <c r="F30" i="3"/>
  <c r="L12" i="3"/>
  <c r="F13" i="3"/>
  <c r="AA19" i="3"/>
  <c r="X21" i="3"/>
  <c r="AC17" i="3"/>
  <c r="Z17" i="3"/>
  <c r="AA17" i="3"/>
  <c r="F27" i="3"/>
  <c r="D28" i="3"/>
  <c r="C34" i="3"/>
  <c r="G28" i="3"/>
  <c r="J32" i="3"/>
  <c r="I32" i="3"/>
  <c r="K24" i="3"/>
  <c r="L20" i="3"/>
  <c r="Q20" i="3"/>
  <c r="Q14" i="3"/>
  <c r="P24" i="3"/>
  <c r="L19" i="3"/>
  <c r="L22" i="3"/>
  <c r="D42" i="3"/>
  <c r="I27" i="3"/>
  <c r="I17" i="3"/>
  <c r="F12" i="3"/>
  <c r="Q27" i="6" l="1"/>
  <c r="P24" i="6"/>
  <c r="Q15" i="6"/>
  <c r="Q22" i="6"/>
  <c r="Q42" i="6"/>
  <c r="Q17" i="6"/>
  <c r="Q14" i="6"/>
  <c r="Q26" i="6"/>
  <c r="Q13" i="6"/>
  <c r="Q12" i="6"/>
  <c r="Q38" i="6"/>
  <c r="Q46" i="6"/>
  <c r="Q10" i="6"/>
  <c r="Q30" i="6"/>
  <c r="Q18" i="6"/>
  <c r="Q39" i="6"/>
  <c r="Q32" i="6"/>
  <c r="Q20" i="6"/>
  <c r="Q11" i="6"/>
  <c r="AC30" i="10"/>
  <c r="J36" i="9"/>
  <c r="E58" i="7"/>
  <c r="F36" i="9"/>
  <c r="G36" i="9"/>
  <c r="AB21" i="3"/>
  <c r="AB30" i="3" s="1"/>
  <c r="AD21" i="6"/>
  <c r="H36" i="6"/>
  <c r="N41" i="9"/>
  <c r="J27" i="11"/>
  <c r="I27" i="11"/>
  <c r="E32" i="11"/>
  <c r="F32" i="11" s="1"/>
  <c r="AI22" i="11"/>
  <c r="R42" i="11"/>
  <c r="Q28" i="6"/>
  <c r="P34" i="6"/>
  <c r="J46" i="11"/>
  <c r="I46" i="11"/>
  <c r="R10" i="11"/>
  <c r="J13" i="11"/>
  <c r="AD12" i="11"/>
  <c r="AC12" i="11"/>
  <c r="Z17" i="9"/>
  <c r="G14" i="11"/>
  <c r="J39" i="11"/>
  <c r="I39" i="11"/>
  <c r="AE21" i="11"/>
  <c r="Q38" i="5"/>
  <c r="G27" i="11"/>
  <c r="AC22" i="11"/>
  <c r="AB17" i="6"/>
  <c r="Z14" i="11"/>
  <c r="AC17" i="6"/>
  <c r="G13" i="11"/>
  <c r="Y15" i="11"/>
  <c r="AE19" i="11"/>
  <c r="AC19" i="11"/>
  <c r="AD14" i="11"/>
  <c r="AC14" i="11"/>
  <c r="G38" i="11"/>
  <c r="O42" i="9"/>
  <c r="L42" i="9"/>
  <c r="L19" i="11"/>
  <c r="F42" i="11"/>
  <c r="E20" i="11"/>
  <c r="F31" i="11" s="1"/>
  <c r="I32" i="6"/>
  <c r="I20" i="6"/>
  <c r="I16" i="6"/>
  <c r="I14" i="6"/>
  <c r="J20" i="6"/>
  <c r="I13" i="6"/>
  <c r="I26" i="6"/>
  <c r="I38" i="6"/>
  <c r="I46" i="6"/>
  <c r="I27" i="6"/>
  <c r="I18" i="6"/>
  <c r="I39" i="6"/>
  <c r="I30" i="6"/>
  <c r="I15" i="6"/>
  <c r="I22" i="6"/>
  <c r="I42" i="6"/>
  <c r="Q38" i="10"/>
  <c r="Q28" i="10"/>
  <c r="Q42" i="10"/>
  <c r="G31" i="10"/>
  <c r="C32" i="10"/>
  <c r="Y18" i="11"/>
  <c r="Y23" i="11" s="1"/>
  <c r="Q31" i="5"/>
  <c r="O13" i="11"/>
  <c r="R15" i="11"/>
  <c r="G11" i="11"/>
  <c r="H20" i="11"/>
  <c r="J10" i="11"/>
  <c r="I10" i="11"/>
  <c r="O11" i="11"/>
  <c r="L11" i="11"/>
  <c r="G12" i="11"/>
  <c r="J38" i="11"/>
  <c r="I38" i="11"/>
  <c r="O14" i="11"/>
  <c r="L14" i="11"/>
  <c r="L13" i="11"/>
  <c r="AD9" i="11"/>
  <c r="Z15" i="11"/>
  <c r="Z18" i="11" s="1"/>
  <c r="O12" i="11"/>
  <c r="G17" i="11"/>
  <c r="P7" i="9"/>
  <c r="W7" i="9"/>
  <c r="AB7" i="9" s="1"/>
  <c r="G15" i="11"/>
  <c r="F39" i="6"/>
  <c r="F20" i="6"/>
  <c r="F26" i="6"/>
  <c r="F10" i="6"/>
  <c r="F11" i="6"/>
  <c r="E24" i="6"/>
  <c r="J24" i="6" s="1"/>
  <c r="F16" i="6"/>
  <c r="F32" i="6"/>
  <c r="F38" i="6"/>
  <c r="F42" i="6"/>
  <c r="F27" i="6"/>
  <c r="F12" i="6"/>
  <c r="F22" i="6"/>
  <c r="F17" i="6"/>
  <c r="F15" i="6"/>
  <c r="F18" i="6"/>
  <c r="F30" i="6"/>
  <c r="F14" i="6"/>
  <c r="F13" i="6"/>
  <c r="F46" i="6"/>
  <c r="J12" i="11"/>
  <c r="F12" i="11"/>
  <c r="J42" i="11"/>
  <c r="I42" i="11"/>
  <c r="P16" i="11"/>
  <c r="P20" i="11" s="1"/>
  <c r="R16" i="6"/>
  <c r="Q16" i="6"/>
  <c r="U30" i="9"/>
  <c r="AA30" i="8"/>
  <c r="R14" i="11"/>
  <c r="M32" i="11"/>
  <c r="AH15" i="11"/>
  <c r="X21" i="6"/>
  <c r="M28" i="11"/>
  <c r="K20" i="11"/>
  <c r="O10" i="11"/>
  <c r="L10" i="11"/>
  <c r="F27" i="11"/>
  <c r="J26" i="11"/>
  <c r="I26" i="11"/>
  <c r="H28" i="11"/>
  <c r="F34" i="9"/>
  <c r="J34" i="9"/>
  <c r="R12" i="11"/>
  <c r="G33" i="6"/>
  <c r="D33" i="6"/>
  <c r="Z19" i="6"/>
  <c r="AC19" i="6" s="1"/>
  <c r="AD13" i="11"/>
  <c r="J15" i="11"/>
  <c r="I15" i="11"/>
  <c r="AB15" i="11"/>
  <c r="AC9" i="11"/>
  <c r="R33" i="6"/>
  <c r="Q33" i="6"/>
  <c r="AD10" i="11"/>
  <c r="AD8" i="11"/>
  <c r="G31" i="11"/>
  <c r="F11" i="11"/>
  <c r="G46" i="11"/>
  <c r="F26" i="11"/>
  <c r="E28" i="11"/>
  <c r="C20" i="11"/>
  <c r="D17" i="11" s="1"/>
  <c r="G10" i="11"/>
  <c r="D10" i="11"/>
  <c r="R36" i="9"/>
  <c r="L20" i="6"/>
  <c r="L17" i="6"/>
  <c r="L15" i="6"/>
  <c r="L14" i="6"/>
  <c r="L16" i="6"/>
  <c r="L39" i="6"/>
  <c r="L11" i="6"/>
  <c r="L26" i="6"/>
  <c r="K24" i="6"/>
  <c r="L42" i="6"/>
  <c r="L10" i="6"/>
  <c r="L18" i="6"/>
  <c r="L32" i="6"/>
  <c r="L12" i="6"/>
  <c r="L27" i="6"/>
  <c r="L22" i="6"/>
  <c r="L30" i="6"/>
  <c r="L13" i="6"/>
  <c r="L38" i="6"/>
  <c r="L46" i="6"/>
  <c r="J17" i="11"/>
  <c r="I17" i="11"/>
  <c r="F14" i="11"/>
  <c r="R18" i="11"/>
  <c r="W15" i="11"/>
  <c r="W18" i="11" s="1"/>
  <c r="W23" i="11" s="1"/>
  <c r="AD23" i="11" s="1"/>
  <c r="J33" i="6"/>
  <c r="I33" i="6"/>
  <c r="AK15" i="11"/>
  <c r="AB19" i="6"/>
  <c r="O31" i="11"/>
  <c r="L31" i="11"/>
  <c r="O16" i="11"/>
  <c r="L16" i="11"/>
  <c r="R30" i="11"/>
  <c r="P32" i="11"/>
  <c r="R31" i="11"/>
  <c r="J32" i="10"/>
  <c r="H34" i="10"/>
  <c r="AK18" i="11"/>
  <c r="O22" i="11"/>
  <c r="L22" i="11"/>
  <c r="D32" i="6"/>
  <c r="D26" i="6"/>
  <c r="D39" i="6"/>
  <c r="D12" i="6"/>
  <c r="D27" i="6"/>
  <c r="D30" i="6"/>
  <c r="G20" i="6"/>
  <c r="D42" i="6"/>
  <c r="D20" i="6"/>
  <c r="D14" i="6"/>
  <c r="D15" i="6"/>
  <c r="D11" i="6"/>
  <c r="D22" i="6"/>
  <c r="D10" i="6"/>
  <c r="D13" i="6"/>
  <c r="D38" i="6"/>
  <c r="D46" i="6"/>
  <c r="C24" i="6"/>
  <c r="AC21" i="9"/>
  <c r="AI20" i="11" s="1"/>
  <c r="Y30" i="9"/>
  <c r="R22" i="11"/>
  <c r="J19" i="11"/>
  <c r="G39" i="11"/>
  <c r="D39" i="11"/>
  <c r="R13" i="11"/>
  <c r="X14" i="11"/>
  <c r="AH20" i="11"/>
  <c r="G42" i="11"/>
  <c r="G30" i="11"/>
  <c r="C32" i="11"/>
  <c r="D30" i="11"/>
  <c r="J30" i="11"/>
  <c r="H32" i="11"/>
  <c r="I30" i="11"/>
  <c r="R11" i="11"/>
  <c r="X15" i="11"/>
  <c r="AD11" i="11"/>
  <c r="AC11" i="11"/>
  <c r="I28" i="6"/>
  <c r="M16" i="6"/>
  <c r="M20" i="3"/>
  <c r="O16" i="3"/>
  <c r="J22" i="11"/>
  <c r="I20" i="11"/>
  <c r="I22" i="11"/>
  <c r="AE17" i="6"/>
  <c r="AA14" i="11"/>
  <c r="AE14" i="11" s="1"/>
  <c r="O27" i="11"/>
  <c r="L27" i="11"/>
  <c r="G19" i="11"/>
  <c r="D19" i="11"/>
  <c r="O17" i="11"/>
  <c r="L17" i="11"/>
  <c r="I12" i="11"/>
  <c r="R46" i="11"/>
  <c r="B6" i="9"/>
  <c r="T6" i="8"/>
  <c r="Y21" i="7"/>
  <c r="AB19" i="7"/>
  <c r="AA19" i="7"/>
  <c r="J18" i="11"/>
  <c r="I18" i="11"/>
  <c r="R38" i="11"/>
  <c r="O33" i="6"/>
  <c r="L33" i="6"/>
  <c r="AA30" i="9"/>
  <c r="W24" i="11"/>
  <c r="J31" i="11"/>
  <c r="I31" i="11"/>
  <c r="O45" i="9"/>
  <c r="L45" i="9"/>
  <c r="T23" i="6"/>
  <c r="F33" i="6"/>
  <c r="L18" i="11"/>
  <c r="R17" i="11"/>
  <c r="AE9" i="11"/>
  <c r="R26" i="11"/>
  <c r="P28" i="11"/>
  <c r="L15" i="11"/>
  <c r="O15" i="11"/>
  <c r="J11" i="11"/>
  <c r="I11" i="11"/>
  <c r="J14" i="11"/>
  <c r="I14" i="11"/>
  <c r="G22" i="11"/>
  <c r="D22" i="11"/>
  <c r="F46" i="11"/>
  <c r="G26" i="11"/>
  <c r="C28" i="11"/>
  <c r="D26" i="11"/>
  <c r="U7" i="8"/>
  <c r="X7" i="8" s="1"/>
  <c r="K7" i="8"/>
  <c r="C7" i="9"/>
  <c r="W30" i="4"/>
  <c r="W21" i="3"/>
  <c r="W30" i="3" s="1"/>
  <c r="Y21" i="6"/>
  <c r="R27" i="11"/>
  <c r="R39" i="11"/>
  <c r="Y19" i="6"/>
  <c r="AG15" i="11" s="1"/>
  <c r="AA30" i="3"/>
  <c r="AA30" i="10"/>
  <c r="Z30" i="10"/>
  <c r="E36" i="10"/>
  <c r="E59" i="7" s="1"/>
  <c r="M45" i="10"/>
  <c r="M41" i="10"/>
  <c r="M43" i="10" s="1"/>
  <c r="Y30" i="10"/>
  <c r="AC21" i="10"/>
  <c r="Z21" i="10"/>
  <c r="Z19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R34" i="10"/>
  <c r="Q34" i="10"/>
  <c r="Z17" i="10"/>
  <c r="K32" i="10"/>
  <c r="O28" i="10"/>
  <c r="P36" i="10"/>
  <c r="G24" i="10"/>
  <c r="X30" i="10"/>
  <c r="AA21" i="10"/>
  <c r="K45" i="10"/>
  <c r="O45" i="10" s="1"/>
  <c r="O41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J36" i="8"/>
  <c r="I36" i="8"/>
  <c r="H41" i="8"/>
  <c r="H41" i="9" s="1"/>
  <c r="I41" i="9" s="1"/>
  <c r="R36" i="8"/>
  <c r="Q36" i="8"/>
  <c r="P41" i="8"/>
  <c r="P41" i="9" s="1"/>
  <c r="Q41" i="9" s="1"/>
  <c r="X21" i="8"/>
  <c r="X21" i="9" s="1"/>
  <c r="Z21" i="9" s="1"/>
  <c r="Z20" i="11" s="1"/>
  <c r="AA19" i="8"/>
  <c r="Z19" i="8"/>
  <c r="C41" i="8"/>
  <c r="G36" i="8"/>
  <c r="D36" i="8"/>
  <c r="E41" i="8"/>
  <c r="E41" i="9" s="1"/>
  <c r="F36" i="8"/>
  <c r="AC30" i="8"/>
  <c r="Y31" i="8"/>
  <c r="K41" i="8"/>
  <c r="O36" i="8"/>
  <c r="L36" i="8"/>
  <c r="M43" i="8"/>
  <c r="N41" i="8"/>
  <c r="L24" i="7"/>
  <c r="K36" i="7"/>
  <c r="O24" i="7"/>
  <c r="J24" i="7"/>
  <c r="I24" i="7"/>
  <c r="H36" i="7"/>
  <c r="N24" i="7"/>
  <c r="M36" i="7"/>
  <c r="L34" i="7"/>
  <c r="O34" i="7"/>
  <c r="F24" i="7"/>
  <c r="E36" i="7"/>
  <c r="R24" i="7"/>
  <c r="Q24" i="7"/>
  <c r="P36" i="7"/>
  <c r="R34" i="7"/>
  <c r="Q34" i="7"/>
  <c r="J34" i="7"/>
  <c r="I34" i="7"/>
  <c r="D34" i="7"/>
  <c r="G34" i="7"/>
  <c r="D24" i="7"/>
  <c r="C36" i="7"/>
  <c r="G24" i="7"/>
  <c r="AD30" i="7"/>
  <c r="O34" i="6"/>
  <c r="L34" i="6"/>
  <c r="I36" i="6"/>
  <c r="H41" i="6"/>
  <c r="K36" i="6"/>
  <c r="G34" i="6"/>
  <c r="D34" i="6"/>
  <c r="F34" i="6"/>
  <c r="T24" i="6"/>
  <c r="E41" i="5"/>
  <c r="E43" i="5" s="1"/>
  <c r="R34" i="5"/>
  <c r="Q34" i="5"/>
  <c r="L34" i="5"/>
  <c r="O34" i="5"/>
  <c r="R24" i="5"/>
  <c r="Q24" i="5"/>
  <c r="P36" i="5"/>
  <c r="C36" i="5"/>
  <c r="G24" i="5"/>
  <c r="D24" i="5"/>
  <c r="J34" i="5"/>
  <c r="I34" i="5"/>
  <c r="D34" i="5"/>
  <c r="G34" i="5"/>
  <c r="J24" i="5"/>
  <c r="I24" i="5"/>
  <c r="H36" i="5"/>
  <c r="K36" i="5"/>
  <c r="O24" i="5"/>
  <c r="L24" i="5"/>
  <c r="M36" i="5"/>
  <c r="R34" i="4"/>
  <c r="Q34" i="4"/>
  <c r="M36" i="4"/>
  <c r="N24" i="4"/>
  <c r="J34" i="4"/>
  <c r="I34" i="4"/>
  <c r="AB30" i="4"/>
  <c r="L24" i="4"/>
  <c r="O24" i="4"/>
  <c r="K36" i="4"/>
  <c r="G34" i="4"/>
  <c r="D34" i="4"/>
  <c r="P36" i="4"/>
  <c r="R24" i="4"/>
  <c r="Q24" i="4"/>
  <c r="Z19" i="4"/>
  <c r="Y21" i="4"/>
  <c r="H36" i="4"/>
  <c r="J24" i="4"/>
  <c r="I24" i="4"/>
  <c r="E36" i="4"/>
  <c r="F24" i="4"/>
  <c r="O34" i="4"/>
  <c r="L34" i="4"/>
  <c r="D24" i="4"/>
  <c r="G24" i="4"/>
  <c r="C36" i="4"/>
  <c r="X21" i="4"/>
  <c r="Z21" i="6" s="1"/>
  <c r="AC21" i="6" s="1"/>
  <c r="AA19" i="4"/>
  <c r="O34" i="3"/>
  <c r="L34" i="3"/>
  <c r="X30" i="3"/>
  <c r="AA21" i="3"/>
  <c r="P36" i="3"/>
  <c r="Q24" i="3"/>
  <c r="R34" i="3"/>
  <c r="Q34" i="3"/>
  <c r="F24" i="3"/>
  <c r="E36" i="3"/>
  <c r="G34" i="3"/>
  <c r="D34" i="3"/>
  <c r="J34" i="3"/>
  <c r="I34" i="3"/>
  <c r="H36" i="3"/>
  <c r="I24" i="3"/>
  <c r="J24" i="3"/>
  <c r="D24" i="3"/>
  <c r="C36" i="3"/>
  <c r="G24" i="3"/>
  <c r="L24" i="3"/>
  <c r="K36" i="3"/>
  <c r="Z21" i="3"/>
  <c r="Y30" i="3"/>
  <c r="AA30" i="6" s="1"/>
  <c r="AC21" i="3"/>
  <c r="Z23" i="11" l="1"/>
  <c r="P24" i="11"/>
  <c r="Q20" i="11"/>
  <c r="Q12" i="11"/>
  <c r="Q11" i="11"/>
  <c r="Q38" i="11"/>
  <c r="Q26" i="11"/>
  <c r="Q39" i="11"/>
  <c r="Q15" i="11"/>
  <c r="Q13" i="11"/>
  <c r="Q30" i="11"/>
  <c r="Q10" i="11"/>
  <c r="Q17" i="11"/>
  <c r="Q42" i="11"/>
  <c r="Q19" i="11"/>
  <c r="Q14" i="11"/>
  <c r="Q31" i="11"/>
  <c r="Q22" i="11"/>
  <c r="Q18" i="11"/>
  <c r="Q46" i="11"/>
  <c r="Q27" i="11"/>
  <c r="AD20" i="11"/>
  <c r="AC20" i="11"/>
  <c r="AA21" i="7"/>
  <c r="AB21" i="7"/>
  <c r="Y30" i="7"/>
  <c r="AA30" i="7" s="1"/>
  <c r="J41" i="9"/>
  <c r="F41" i="9"/>
  <c r="N19" i="3"/>
  <c r="N26" i="3"/>
  <c r="N17" i="3"/>
  <c r="N27" i="3"/>
  <c r="M24" i="3"/>
  <c r="R20" i="3"/>
  <c r="N32" i="3"/>
  <c r="N11" i="3"/>
  <c r="O20" i="3"/>
  <c r="N46" i="3"/>
  <c r="N10" i="3"/>
  <c r="N13" i="3"/>
  <c r="N39" i="3"/>
  <c r="N20" i="3"/>
  <c r="N30" i="3"/>
  <c r="N12" i="3"/>
  <c r="N28" i="3"/>
  <c r="N38" i="3"/>
  <c r="N18" i="3"/>
  <c r="N15" i="3"/>
  <c r="N42" i="3"/>
  <c r="N22" i="3"/>
  <c r="N14" i="3"/>
  <c r="N31" i="3"/>
  <c r="D42" i="11"/>
  <c r="L20" i="11"/>
  <c r="K24" i="11"/>
  <c r="F38" i="11"/>
  <c r="I16" i="11"/>
  <c r="H24" i="11"/>
  <c r="J20" i="11"/>
  <c r="F17" i="11"/>
  <c r="F16" i="11"/>
  <c r="I13" i="11"/>
  <c r="N43" i="8"/>
  <c r="M43" i="9"/>
  <c r="G28" i="11"/>
  <c r="D28" i="11"/>
  <c r="C34" i="11"/>
  <c r="AA15" i="11"/>
  <c r="N16" i="3"/>
  <c r="F28" i="11"/>
  <c r="E34" i="11"/>
  <c r="F34" i="11" s="1"/>
  <c r="F19" i="11"/>
  <c r="L12" i="11"/>
  <c r="F10" i="11"/>
  <c r="F22" i="11"/>
  <c r="D27" i="11"/>
  <c r="D14" i="11"/>
  <c r="Y30" i="6"/>
  <c r="AG18" i="11"/>
  <c r="X18" i="11"/>
  <c r="M16" i="11"/>
  <c r="M20" i="6"/>
  <c r="J32" i="11"/>
  <c r="I32" i="11"/>
  <c r="AI15" i="11"/>
  <c r="L24" i="6"/>
  <c r="J28" i="11"/>
  <c r="I28" i="11"/>
  <c r="H34" i="11"/>
  <c r="D15" i="11"/>
  <c r="D12" i="11"/>
  <c r="D11" i="11"/>
  <c r="E24" i="11"/>
  <c r="F18" i="11"/>
  <c r="F15" i="11"/>
  <c r="F20" i="11"/>
  <c r="D38" i="11"/>
  <c r="R41" i="9"/>
  <c r="AB24" i="11"/>
  <c r="AK23" i="11"/>
  <c r="D13" i="11"/>
  <c r="D46" i="11"/>
  <c r="D18" i="11"/>
  <c r="AD15" i="11"/>
  <c r="AC23" i="11"/>
  <c r="F13" i="11"/>
  <c r="N34" i="3"/>
  <c r="F39" i="11"/>
  <c r="Z30" i="9"/>
  <c r="AB21" i="6"/>
  <c r="AI18" i="11" s="1"/>
  <c r="R32" i="11"/>
  <c r="Q32" i="11"/>
  <c r="AC30" i="9"/>
  <c r="M34" i="11"/>
  <c r="F24" i="6"/>
  <c r="E36" i="6"/>
  <c r="T12" i="6"/>
  <c r="G32" i="10"/>
  <c r="C34" i="10"/>
  <c r="AE21" i="6"/>
  <c r="AD30" i="6"/>
  <c r="K7" i="9"/>
  <c r="U7" i="9"/>
  <c r="X7" i="9" s="1"/>
  <c r="X30" i="6"/>
  <c r="AH18" i="11"/>
  <c r="AA21" i="9"/>
  <c r="AA20" i="11" s="1"/>
  <c r="AE20" i="11" s="1"/>
  <c r="X30" i="9"/>
  <c r="X20" i="11"/>
  <c r="AG20" i="11"/>
  <c r="Q28" i="11"/>
  <c r="P34" i="11"/>
  <c r="R28" i="11"/>
  <c r="G32" i="11"/>
  <c r="D32" i="11"/>
  <c r="G24" i="6"/>
  <c r="D24" i="6"/>
  <c r="C36" i="6"/>
  <c r="D31" i="11"/>
  <c r="F30" i="11"/>
  <c r="P36" i="6"/>
  <c r="Q24" i="6"/>
  <c r="O26" i="11"/>
  <c r="K28" i="11"/>
  <c r="L26" i="11"/>
  <c r="AF3" i="9"/>
  <c r="T6" i="9"/>
  <c r="J34" i="10"/>
  <c r="H36" i="10"/>
  <c r="C24" i="11"/>
  <c r="G20" i="11"/>
  <c r="D20" i="11"/>
  <c r="AC15" i="11"/>
  <c r="AB18" i="11"/>
  <c r="R16" i="11"/>
  <c r="Q16" i="11"/>
  <c r="AI14" i="11"/>
  <c r="Q34" i="6"/>
  <c r="R34" i="6"/>
  <c r="E45" i="10"/>
  <c r="I45" i="10" s="1"/>
  <c r="I36" i="10"/>
  <c r="E41" i="10"/>
  <c r="O32" i="10"/>
  <c r="K38" i="10"/>
  <c r="K38" i="11" s="1"/>
  <c r="Q36" i="10"/>
  <c r="P41" i="10"/>
  <c r="P45" i="10"/>
  <c r="R36" i="10"/>
  <c r="K30" i="10"/>
  <c r="K30" i="11" s="1"/>
  <c r="O26" i="10"/>
  <c r="AA21" i="8"/>
  <c r="X30" i="8"/>
  <c r="Z30" i="8" s="1"/>
  <c r="Z21" i="8"/>
  <c r="P43" i="8"/>
  <c r="P43" i="9" s="1"/>
  <c r="Q43" i="9" s="1"/>
  <c r="R41" i="8"/>
  <c r="Q41" i="8"/>
  <c r="E43" i="8"/>
  <c r="F41" i="8"/>
  <c r="H43" i="8"/>
  <c r="H43" i="9" s="1"/>
  <c r="I43" i="9" s="1"/>
  <c r="J41" i="8"/>
  <c r="I41" i="8"/>
  <c r="K43" i="8"/>
  <c r="O41" i="8"/>
  <c r="L41" i="8"/>
  <c r="C43" i="8"/>
  <c r="G41" i="8"/>
  <c r="D41" i="8"/>
  <c r="L36" i="7"/>
  <c r="K41" i="7"/>
  <c r="N57" i="7"/>
  <c r="N60" i="7" s="1"/>
  <c r="O36" i="7"/>
  <c r="M41" i="7"/>
  <c r="R57" i="7"/>
  <c r="R60" i="7" s="1"/>
  <c r="N36" i="7"/>
  <c r="D36" i="7"/>
  <c r="C41" i="7"/>
  <c r="C57" i="7"/>
  <c r="G36" i="7"/>
  <c r="R36" i="7"/>
  <c r="Q36" i="7"/>
  <c r="P41" i="7"/>
  <c r="J36" i="7"/>
  <c r="I36" i="7"/>
  <c r="H41" i="7"/>
  <c r="E41" i="7"/>
  <c r="E57" i="7"/>
  <c r="E60" i="7" s="1"/>
  <c r="E61" i="7" s="1"/>
  <c r="F36" i="7"/>
  <c r="I41" i="6"/>
  <c r="H43" i="6"/>
  <c r="L36" i="6"/>
  <c r="K41" i="6"/>
  <c r="M41" i="5"/>
  <c r="N36" i="5"/>
  <c r="C41" i="5"/>
  <c r="G36" i="5"/>
  <c r="D36" i="5"/>
  <c r="K41" i="5"/>
  <c r="O36" i="5"/>
  <c r="L36" i="5"/>
  <c r="J36" i="5"/>
  <c r="I36" i="5"/>
  <c r="H41" i="5"/>
  <c r="R36" i="5"/>
  <c r="Q36" i="5"/>
  <c r="P41" i="5"/>
  <c r="O36" i="4"/>
  <c r="L36" i="4"/>
  <c r="K41" i="4"/>
  <c r="N36" i="4"/>
  <c r="M41" i="4"/>
  <c r="Y30" i="4"/>
  <c r="AC30" i="4" s="1"/>
  <c r="Z21" i="4"/>
  <c r="AC21" i="4"/>
  <c r="J36" i="4"/>
  <c r="I36" i="4"/>
  <c r="H41" i="4"/>
  <c r="F36" i="4"/>
  <c r="E41" i="4"/>
  <c r="R36" i="4"/>
  <c r="Q36" i="4"/>
  <c r="P41" i="4"/>
  <c r="X30" i="4"/>
  <c r="Z30" i="6" s="1"/>
  <c r="AA21" i="4"/>
  <c r="G36" i="4"/>
  <c r="D36" i="4"/>
  <c r="C41" i="4"/>
  <c r="J36" i="3"/>
  <c r="I36" i="3"/>
  <c r="H41" i="3"/>
  <c r="L36" i="3"/>
  <c r="K41" i="3"/>
  <c r="Q36" i="3"/>
  <c r="P41" i="3"/>
  <c r="G36" i="3"/>
  <c r="D36" i="3"/>
  <c r="C41" i="3"/>
  <c r="F36" i="3"/>
  <c r="E41" i="3"/>
  <c r="Z30" i="3"/>
  <c r="AC30" i="3"/>
  <c r="H45" i="6" l="1"/>
  <c r="K45" i="6"/>
  <c r="E45" i="6"/>
  <c r="P45" i="6"/>
  <c r="C45" i="6"/>
  <c r="O38" i="11"/>
  <c r="L38" i="11"/>
  <c r="AB23" i="11"/>
  <c r="AC18" i="11"/>
  <c r="O30" i="11"/>
  <c r="L30" i="11"/>
  <c r="K32" i="11"/>
  <c r="D36" i="6"/>
  <c r="G36" i="6"/>
  <c r="C41" i="6"/>
  <c r="AE30" i="6"/>
  <c r="AA24" i="11"/>
  <c r="AE15" i="11"/>
  <c r="AA18" i="11"/>
  <c r="L28" i="11"/>
  <c r="K34" i="11"/>
  <c r="O28" i="11"/>
  <c r="J34" i="11"/>
  <c r="I34" i="11"/>
  <c r="N15" i="6"/>
  <c r="N30" i="6"/>
  <c r="N18" i="6"/>
  <c r="N26" i="6"/>
  <c r="N11" i="6"/>
  <c r="N20" i="6"/>
  <c r="M24" i="6"/>
  <c r="N13" i="6"/>
  <c r="N10" i="6"/>
  <c r="N38" i="6"/>
  <c r="N14" i="6"/>
  <c r="N32" i="6"/>
  <c r="N46" i="6"/>
  <c r="N12" i="6"/>
  <c r="N27" i="6"/>
  <c r="N42" i="6"/>
  <c r="N39" i="6"/>
  <c r="N22" i="6"/>
  <c r="N17" i="6"/>
  <c r="N28" i="6"/>
  <c r="N34" i="6"/>
  <c r="N33" i="6"/>
  <c r="R20" i="6"/>
  <c r="O20" i="6"/>
  <c r="C36" i="11"/>
  <c r="G34" i="11"/>
  <c r="D34" i="11"/>
  <c r="G34" i="10"/>
  <c r="C36" i="10"/>
  <c r="N16" i="6"/>
  <c r="H36" i="11"/>
  <c r="J24" i="11"/>
  <c r="I24" i="11"/>
  <c r="D24" i="11"/>
  <c r="G24" i="11"/>
  <c r="M20" i="11"/>
  <c r="H41" i="10"/>
  <c r="H45" i="10"/>
  <c r="J45" i="10" s="1"/>
  <c r="J36" i="10"/>
  <c r="X23" i="11"/>
  <c r="AE23" i="11" s="1"/>
  <c r="R43" i="9"/>
  <c r="N43" i="9"/>
  <c r="O24" i="3"/>
  <c r="N24" i="3"/>
  <c r="M36" i="3"/>
  <c r="R24" i="3"/>
  <c r="Q24" i="11"/>
  <c r="F43" i="8"/>
  <c r="E43" i="9"/>
  <c r="Q36" i="6"/>
  <c r="P41" i="6"/>
  <c r="AC30" i="6"/>
  <c r="AH23" i="11"/>
  <c r="Y24" i="11"/>
  <c r="F36" i="6"/>
  <c r="E41" i="6"/>
  <c r="J36" i="6"/>
  <c r="T25" i="6"/>
  <c r="E36" i="11"/>
  <c r="F24" i="11"/>
  <c r="AB30" i="6"/>
  <c r="Z24" i="11"/>
  <c r="P36" i="11"/>
  <c r="R34" i="11"/>
  <c r="Q34" i="11"/>
  <c r="AG23" i="11"/>
  <c r="X24" i="11"/>
  <c r="L24" i="11"/>
  <c r="K36" i="11"/>
  <c r="AD18" i="11"/>
  <c r="E43" i="10"/>
  <c r="I41" i="10"/>
  <c r="R45" i="10"/>
  <c r="Q45" i="10"/>
  <c r="P43" i="10"/>
  <c r="R41" i="10"/>
  <c r="Q41" i="10"/>
  <c r="O38" i="10"/>
  <c r="K42" i="10"/>
  <c r="K42" i="11" s="1"/>
  <c r="K34" i="10"/>
  <c r="O30" i="10"/>
  <c r="C45" i="8"/>
  <c r="G43" i="8"/>
  <c r="D43" i="8"/>
  <c r="K45" i="8"/>
  <c r="O43" i="8"/>
  <c r="L43" i="8"/>
  <c r="R43" i="8"/>
  <c r="Q43" i="8"/>
  <c r="J43" i="8"/>
  <c r="I43" i="8"/>
  <c r="J45" i="7"/>
  <c r="I45" i="7"/>
  <c r="F45" i="7"/>
  <c r="N45" i="7"/>
  <c r="R45" i="7"/>
  <c r="Q45" i="7"/>
  <c r="G45" i="7"/>
  <c r="D45" i="7"/>
  <c r="O45" i="7"/>
  <c r="L45" i="7"/>
  <c r="E43" i="7"/>
  <c r="F41" i="7"/>
  <c r="D41" i="7"/>
  <c r="C43" i="7"/>
  <c r="G41" i="7"/>
  <c r="P43" i="7"/>
  <c r="R41" i="7"/>
  <c r="Q41" i="7"/>
  <c r="L41" i="7"/>
  <c r="K43" i="7"/>
  <c r="O41" i="7"/>
  <c r="H43" i="7"/>
  <c r="J41" i="7"/>
  <c r="I41" i="7"/>
  <c r="M43" i="7"/>
  <c r="N43" i="7" s="1"/>
  <c r="N41" i="7"/>
  <c r="I43" i="6"/>
  <c r="L41" i="6"/>
  <c r="K43" i="6"/>
  <c r="L45" i="5"/>
  <c r="O45" i="5"/>
  <c r="R45" i="5"/>
  <c r="Q45" i="5"/>
  <c r="D45" i="5"/>
  <c r="G45" i="5"/>
  <c r="N45" i="5"/>
  <c r="M43" i="5"/>
  <c r="N43" i="5" s="1"/>
  <c r="N41" i="5"/>
  <c r="L41" i="5"/>
  <c r="K43" i="5"/>
  <c r="O41" i="5"/>
  <c r="H43" i="5"/>
  <c r="J41" i="5"/>
  <c r="I41" i="5"/>
  <c r="I42" i="5" s="1"/>
  <c r="D41" i="5"/>
  <c r="C43" i="5"/>
  <c r="G41" i="5"/>
  <c r="P43" i="5"/>
  <c r="R41" i="5"/>
  <c r="Q41" i="5"/>
  <c r="O45" i="4"/>
  <c r="L45" i="4"/>
  <c r="G45" i="4"/>
  <c r="D45" i="4"/>
  <c r="F45" i="4"/>
  <c r="N45" i="4"/>
  <c r="R45" i="4"/>
  <c r="Q45" i="4"/>
  <c r="F41" i="4"/>
  <c r="E43" i="4"/>
  <c r="F43" i="4" s="1"/>
  <c r="Z30" i="4"/>
  <c r="G41" i="4"/>
  <c r="D41" i="4"/>
  <c r="C43" i="4"/>
  <c r="N41" i="4"/>
  <c r="M43" i="4"/>
  <c r="N43" i="4" s="1"/>
  <c r="R41" i="4"/>
  <c r="Q41" i="4"/>
  <c r="P43" i="4"/>
  <c r="J41" i="4"/>
  <c r="I41" i="4"/>
  <c r="H43" i="4"/>
  <c r="O41" i="4"/>
  <c r="L41" i="4"/>
  <c r="K43" i="4"/>
  <c r="J45" i="3"/>
  <c r="I45" i="3"/>
  <c r="L45" i="3"/>
  <c r="F45" i="3"/>
  <c r="Q45" i="3"/>
  <c r="G45" i="3"/>
  <c r="D45" i="3"/>
  <c r="F41" i="3"/>
  <c r="E43" i="3"/>
  <c r="F43" i="3" s="1"/>
  <c r="G41" i="3"/>
  <c r="D41" i="3"/>
  <c r="C43" i="3"/>
  <c r="L41" i="3"/>
  <c r="K43" i="3"/>
  <c r="Q41" i="3"/>
  <c r="P43" i="3"/>
  <c r="J41" i="3"/>
  <c r="I41" i="3"/>
  <c r="H43" i="3"/>
  <c r="M45" i="6" l="1"/>
  <c r="R45" i="3"/>
  <c r="N45" i="3"/>
  <c r="O45" i="3"/>
  <c r="I43" i="10"/>
  <c r="E65" i="7"/>
  <c r="L36" i="11"/>
  <c r="AC24" i="11"/>
  <c r="AI23" i="11"/>
  <c r="O45" i="6"/>
  <c r="K45" i="11"/>
  <c r="L45" i="6"/>
  <c r="F36" i="11"/>
  <c r="E41" i="11"/>
  <c r="O36" i="3"/>
  <c r="R36" i="3"/>
  <c r="N36" i="3"/>
  <c r="M41" i="3"/>
  <c r="H43" i="10"/>
  <c r="J43" i="10" s="1"/>
  <c r="J41" i="10"/>
  <c r="H41" i="11"/>
  <c r="J36" i="11"/>
  <c r="I36" i="11"/>
  <c r="N24" i="6"/>
  <c r="M36" i="6"/>
  <c r="O24" i="6"/>
  <c r="R24" i="6"/>
  <c r="C43" i="6"/>
  <c r="G41" i="6"/>
  <c r="D41" i="6"/>
  <c r="P41" i="11"/>
  <c r="Q41" i="6"/>
  <c r="P43" i="6"/>
  <c r="M24" i="11"/>
  <c r="N18" i="11"/>
  <c r="N22" i="11"/>
  <c r="N20" i="11"/>
  <c r="N14" i="11"/>
  <c r="N15" i="11"/>
  <c r="N13" i="11"/>
  <c r="N12" i="11"/>
  <c r="N27" i="11"/>
  <c r="N17" i="11"/>
  <c r="N11" i="11"/>
  <c r="N19" i="11"/>
  <c r="N46" i="11"/>
  <c r="N26" i="11"/>
  <c r="N38" i="11"/>
  <c r="N31" i="11"/>
  <c r="N10" i="11"/>
  <c r="N39" i="11"/>
  <c r="N30" i="11"/>
  <c r="N42" i="11"/>
  <c r="N32" i="11"/>
  <c r="O20" i="11"/>
  <c r="R20" i="11"/>
  <c r="N28" i="11"/>
  <c r="N16" i="11"/>
  <c r="C59" i="7"/>
  <c r="C60" i="7" s="1"/>
  <c r="C61" i="7" s="1"/>
  <c r="C41" i="10"/>
  <c r="C45" i="10"/>
  <c r="G45" i="10" s="1"/>
  <c r="G36" i="10"/>
  <c r="O34" i="11"/>
  <c r="L34" i="11"/>
  <c r="O42" i="11"/>
  <c r="L42" i="11"/>
  <c r="F41" i="6"/>
  <c r="E43" i="6"/>
  <c r="J41" i="6"/>
  <c r="T28" i="6"/>
  <c r="J43" i="9"/>
  <c r="E64" i="7"/>
  <c r="F43" i="9"/>
  <c r="O32" i="11"/>
  <c r="L32" i="11"/>
  <c r="G45" i="6"/>
  <c r="C45" i="11"/>
  <c r="D45" i="6"/>
  <c r="Q36" i="11"/>
  <c r="AA23" i="11"/>
  <c r="AE18" i="11"/>
  <c r="R45" i="6"/>
  <c r="P45" i="11"/>
  <c r="Q45" i="6"/>
  <c r="T31" i="6"/>
  <c r="E45" i="11"/>
  <c r="F45" i="11" s="1"/>
  <c r="F45" i="6"/>
  <c r="G36" i="11"/>
  <c r="D36" i="11"/>
  <c r="C41" i="11"/>
  <c r="N34" i="11"/>
  <c r="J45" i="6"/>
  <c r="H45" i="11"/>
  <c r="I45" i="6"/>
  <c r="O42" i="10"/>
  <c r="K46" i="10"/>
  <c r="R43" i="10"/>
  <c r="Q43" i="10"/>
  <c r="K39" i="10"/>
  <c r="K39" i="11" s="1"/>
  <c r="O34" i="10"/>
  <c r="O45" i="8"/>
  <c r="L45" i="8"/>
  <c r="G45" i="8"/>
  <c r="D45" i="8"/>
  <c r="R43" i="7"/>
  <c r="Q43" i="7"/>
  <c r="J43" i="7"/>
  <c r="I43" i="7"/>
  <c r="G43" i="7"/>
  <c r="C63" i="7"/>
  <c r="D43" i="7"/>
  <c r="O43" i="7"/>
  <c r="L43" i="7"/>
  <c r="E63" i="7"/>
  <c r="F43" i="7"/>
  <c r="L43" i="6"/>
  <c r="R43" i="5"/>
  <c r="Q43" i="5"/>
  <c r="O43" i="5"/>
  <c r="L43" i="5"/>
  <c r="G43" i="5"/>
  <c r="D43" i="5"/>
  <c r="J43" i="5"/>
  <c r="I43" i="5"/>
  <c r="J43" i="4"/>
  <c r="I43" i="4"/>
  <c r="R43" i="4"/>
  <c r="Q43" i="4"/>
  <c r="G43" i="4"/>
  <c r="D43" i="4"/>
  <c r="O43" i="4"/>
  <c r="L43" i="4"/>
  <c r="L43" i="3"/>
  <c r="G43" i="3"/>
  <c r="D43" i="3"/>
  <c r="J43" i="3"/>
  <c r="I43" i="3"/>
  <c r="Q43" i="3"/>
  <c r="G45" i="11" l="1"/>
  <c r="D45" i="11"/>
  <c r="F41" i="11"/>
  <c r="E43" i="11"/>
  <c r="F43" i="11" s="1"/>
  <c r="O39" i="11"/>
  <c r="L39" i="11"/>
  <c r="R45" i="11"/>
  <c r="Q45" i="11"/>
  <c r="J43" i="6"/>
  <c r="T30" i="6"/>
  <c r="F43" i="6"/>
  <c r="G41" i="10"/>
  <c r="C43" i="10"/>
  <c r="J41" i="11"/>
  <c r="I41" i="11"/>
  <c r="H43" i="11"/>
  <c r="K41" i="11"/>
  <c r="N24" i="11"/>
  <c r="M36" i="11"/>
  <c r="R24" i="11"/>
  <c r="O24" i="11"/>
  <c r="L45" i="11"/>
  <c r="C43" i="11"/>
  <c r="G41" i="11"/>
  <c r="D41" i="11"/>
  <c r="G43" i="6"/>
  <c r="D43" i="6"/>
  <c r="O46" i="10"/>
  <c r="K46" i="11"/>
  <c r="Q43" i="6"/>
  <c r="R41" i="3"/>
  <c r="O41" i="3"/>
  <c r="N41" i="3"/>
  <c r="M43" i="3"/>
  <c r="M41" i="6"/>
  <c r="N36" i="6"/>
  <c r="O36" i="6"/>
  <c r="R36" i="6"/>
  <c r="J45" i="11"/>
  <c r="I45" i="11"/>
  <c r="P43" i="11"/>
  <c r="Q41" i="11"/>
  <c r="M45" i="11"/>
  <c r="N45" i="11" s="1"/>
  <c r="N45" i="6"/>
  <c r="O39" i="10"/>
  <c r="K43" i="10"/>
  <c r="O43" i="10" s="1"/>
  <c r="E68" i="7"/>
  <c r="K63" i="7"/>
  <c r="E66" i="7"/>
  <c r="J45" i="5"/>
  <c r="I45" i="5"/>
  <c r="J45" i="4"/>
  <c r="I45" i="4"/>
  <c r="G43" i="11" l="1"/>
  <c r="D43" i="11"/>
  <c r="O46" i="11"/>
  <c r="L46" i="11"/>
  <c r="O45" i="11"/>
  <c r="G43" i="10"/>
  <c r="C65" i="7"/>
  <c r="Q43" i="11"/>
  <c r="N43" i="3"/>
  <c r="O43" i="3"/>
  <c r="R43" i="3"/>
  <c r="J43" i="11"/>
  <c r="I43" i="11"/>
  <c r="M41" i="11"/>
  <c r="M43" i="6"/>
  <c r="N41" i="6"/>
  <c r="O41" i="6"/>
  <c r="R41" i="6"/>
  <c r="N36" i="11"/>
  <c r="O36" i="11"/>
  <c r="R36" i="11"/>
  <c r="O41" i="11"/>
  <c r="L41" i="11"/>
  <c r="K43" i="11"/>
  <c r="N43" i="6" l="1"/>
  <c r="O43" i="6"/>
  <c r="R43" i="6"/>
  <c r="N41" i="11"/>
  <c r="M43" i="11"/>
  <c r="R41" i="11"/>
  <c r="C68" i="7"/>
  <c r="F68" i="7" s="1"/>
  <c r="C66" i="7"/>
  <c r="O43" i="11"/>
  <c r="L43" i="11"/>
  <c r="N43" i="11" l="1"/>
  <c r="R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6074F0E9-18EB-4CA7-91EA-CAFDFA981673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<sst xmlns="http://schemas.openxmlformats.org/spreadsheetml/2006/main" count="1440" uniqueCount="583">
  <si>
    <t>Periodo ant</t>
  </si>
  <si>
    <t>Periodo Actual</t>
  </si>
  <si>
    <t>MES INIC</t>
  </si>
  <si>
    <t>MES FIN</t>
  </si>
  <si>
    <t>AÑO</t>
  </si>
  <si>
    <t>TRM</t>
  </si>
  <si>
    <t>ENERO</t>
  </si>
  <si>
    <t>AGOSTO</t>
  </si>
  <si>
    <t>PPTO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</si>
  <si>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</si>
  <si>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</si>
  <si>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</si>
  <si>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</si>
  <si>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</si>
  <si>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</si>
  <si>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</si>
  <si>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</si>
  <si>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</si>
  <si>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</si>
  <si>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</si>
  <si>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</si>
  <si>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</si>
  <si>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</si>
  <si>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</si>
  <si>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</si>
  <si>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</si>
  <si>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</si>
  <si>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</si>
  <si>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</si>
  <si>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</si>
  <si>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</si>
  <si>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</si>
  <si>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</si>
  <si>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</si>
  <si>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</si>
  <si>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</si>
  <si>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</si>
  <si>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</si>
  <si>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</si>
  <si>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</si>
  <si>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</si>
  <si>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</si>
  <si>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</si>
  <si>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</si>
  <si>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</si>
  <si>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</si>
  <si>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</si>
  <si>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</si>
  <si>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</si>
  <si>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</si>
  <si>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</si>
  <si>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</si>
  <si>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</si>
  <si>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</si>
  <si>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</si>
  <si>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</si>
  <si>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</si>
  <si>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</si>
  <si>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</si>
  <si>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</si>
  <si>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</si>
  <si>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</si>
  <si>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</si>
  <si>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</si>
  <si>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</si>
  <si>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</si>
  <si>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</si>
  <si>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</si>
  <si>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</si>
  <si>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</si>
  <si>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</si>
  <si>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</si>
  <si>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</si>
  <si>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</si>
  <si>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</si>
  <si>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</si>
  <si>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</si>
  <si>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</si>
  <si>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</si>
  <si>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</si>
  <si>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</si>
  <si>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</si>
  <si>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</si>
  <si>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</si>
  <si>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</si>
  <si>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</si>
  <si>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</si>
  <si>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</si>
  <si>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</si>
  <si>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</si>
  <si>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</si>
  <si>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</si>
  <si>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</si>
  <si>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</si>
  <si>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</si>
  <si>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</si>
  <si>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</si>
  <si>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</si>
  <si>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</si>
  <si>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</si>
  <si>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</si>
  <si>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</si>
  <si>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</si>
  <si>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</si>
  <si>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</si>
  <si>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</si>
  <si>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</si>
  <si>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OK</t>
  </si>
  <si>
    <t>Salvador</t>
  </si>
  <si>
    <t>Total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</si>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</sst>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166" fontId="2" fillId="0" borderId="0" xfId="4" applyNumberFormat="1" applyFont="1" applyFill="1" applyBorder="1" applyAlignment="1">
      <alignment horizontal="left" vertical="center" wrapText="1"/>
    </xf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7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7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7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7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5" applyFont="1" applyFill="1" applyBorder="1" applyAlignment="1">
      <alignment horizontal="right"/>
    </xf>
    <xf numFmtId="9" fontId="3" fillId="0" borderId="0" xfId="5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7" fontId="6" fillId="0" borderId="0" xfId="3" applyNumberFormat="1" applyFont="1" applyFill="1" applyBorder="1" applyAlignment="1">
      <alignment horizontal="right"/>
    </xf>
    <xf numFmtId="9" fontId="6" fillId="0" borderId="0" xfId="5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8" fontId="3" fillId="0" borderId="0" xfId="5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5" applyFont="1" applyFill="1" applyBorder="1" applyAlignment="1">
      <alignment horizontal="right"/>
    </xf>
    <xf numFmtId="9" fontId="9" fillId="0" borderId="0" xfId="5" applyFont="1" applyFill="1" applyBorder="1" applyAlignment="1">
      <alignment horizontal="right"/>
    </xf>
    <xf numFmtId="168" fontId="6" fillId="0" borderId="0" xfId="1" applyNumberFormat="1" applyFont="1" applyAlignment="1">
      <alignment horizontal="left"/>
    </xf>
    <xf numFmtId="167" fontId="13" fillId="0" borderId="0" xfId="3" applyNumberFormat="1" applyFont="1" applyFill="1" applyBorder="1" applyAlignment="1">
      <alignment horizontal="right"/>
    </xf>
    <xf numFmtId="9" fontId="13" fillId="0" borderId="0" xfId="5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7" fontId="3" fillId="0" borderId="0" xfId="3" applyNumberFormat="1" applyFont="1" applyFill="1" applyBorder="1" applyAlignment="1">
      <alignment horizontal="center" wrapText="1"/>
    </xf>
    <xf numFmtId="167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9" fontId="3" fillId="0" borderId="0" xfId="1" applyNumberFormat="1" applyFont="1" applyAlignment="1">
      <alignment horizontal="centerContinuous"/>
    </xf>
    <xf numFmtId="169" fontId="3" fillId="0" borderId="0" xfId="1" applyNumberFormat="1" applyFont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70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7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7" fontId="3" fillId="0" borderId="0" xfId="3" applyNumberFormat="1" applyFont="1" applyFill="1" applyBorder="1" applyAlignment="1"/>
    <xf numFmtId="9" fontId="3" fillId="0" borderId="0" xfId="5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6" applyNumberFormat="1" applyFont="1"/>
    <xf numFmtId="167" fontId="9" fillId="0" borderId="0" xfId="3" applyNumberFormat="1" applyFont="1" applyFill="1" applyBorder="1" applyAlignment="1">
      <alignment horizontal="right"/>
    </xf>
    <xf numFmtId="9" fontId="9" fillId="0" borderId="0" xfId="5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7" fontId="9" fillId="0" borderId="0" xfId="1" applyNumberFormat="1" applyFont="1"/>
    <xf numFmtId="3" fontId="11" fillId="0" borderId="0" xfId="1" applyNumberFormat="1" applyFont="1"/>
    <xf numFmtId="167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7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1" fontId="6" fillId="0" borderId="0" xfId="5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2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7" fontId="3" fillId="0" borderId="0" xfId="1" applyNumberFormat="1" applyFont="1" applyAlignment="1">
      <alignment horizontal="right"/>
    </xf>
    <xf numFmtId="9" fontId="3" fillId="0" borderId="0" xfId="5" applyFont="1" applyFill="1" applyBorder="1" applyAlignment="1"/>
    <xf numFmtId="171" fontId="3" fillId="0" borderId="0" xfId="5" applyNumberFormat="1" applyFont="1" applyFill="1" applyBorder="1" applyAlignment="1"/>
    <xf numFmtId="3" fontId="9" fillId="0" borderId="0" xfId="1" applyNumberFormat="1" applyFont="1"/>
    <xf numFmtId="167" fontId="3" fillId="0" borderId="0" xfId="3" applyNumberFormat="1" applyFont="1" applyFill="1" applyBorder="1" applyAlignment="1">
      <alignment horizontal="left"/>
    </xf>
    <xf numFmtId="168" fontId="3" fillId="0" borderId="0" xfId="1" applyNumberFormat="1" applyFont="1"/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3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4" fontId="19" fillId="0" borderId="0" xfId="3" applyNumberFormat="1" applyFont="1"/>
    <xf numFmtId="175" fontId="1" fillId="0" borderId="0" xfId="1" applyNumberFormat="1"/>
    <xf numFmtId="167" fontId="0" fillId="0" borderId="0" xfId="3" applyNumberFormat="1" applyFont="1"/>
    <xf numFmtId="43" fontId="19" fillId="0" borderId="0" xfId="3" applyFont="1"/>
    <xf numFmtId="167" fontId="18" fillId="0" borderId="0" xfId="3" applyNumberFormat="1" applyFont="1"/>
    <xf numFmtId="176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6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7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3" applyNumberFormat="1" applyFont="1"/>
    <xf numFmtId="167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6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8">
    <cellStyle name="Millares [0] 2" xfId="7" xr:uid="{5CC20BFE-5217-4E70-8858-9EF89E2A9BB4}"/>
    <cellStyle name="Millares 2" xfId="3" xr:uid="{27AE95B5-8F86-4FEB-B066-3758ACAFBFA4}"/>
    <cellStyle name="Moneda [0] 2" xfId="4" xr:uid="{4DBE1D5F-DC06-4FAC-AA94-BEFF3302FFA7}"/>
    <cellStyle name="Normal" xfId="0" builtinId="0"/>
    <cellStyle name="Normal 2" xfId="1" xr:uid="{294C0D41-99DB-407C-BD30-DD3BBE407F31}"/>
    <cellStyle name="Normal 2 2" xfId="6" xr:uid="{C0296BD4-5F80-433C-B59C-F614E7D3AAC9}"/>
    <cellStyle name="Normal 3" xfId="2" xr:uid="{83DCD612-9775-4B47-97B4-7B889CB8EB0D}"/>
    <cellStyle name="Porcentaje 2" xfId="5" xr:uid="{455A1D23-1E6A-4AC5-8A33-01D98C1417F4}"/>
  </cellStyles>
  <dxfs count="69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33" formatCode="_-* #,##0_-;\-* #,##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E25F6D-E158-410E-978C-B30890387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05358A-25C5-4683-B124-2B672B8D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B2B5C4-556B-4672-A263-CBCA2280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24258D1-1722-44E4-BFB9-FE95CC87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FF2035-2FA3-484A-B6D1-04530424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18D1C05-27AF-4DD3-A7C0-042FA804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ADFE0B9-D045-4DB4-B7F3-94DA7C4E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A18218E-965F-4D33-908D-16A1D35D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AAD2866-029A-4DC5-9B26-8E349E82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C872ECB-0977-4C27-8F07-C738DFA3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592F56-890B-43A6-85E1-10C252ADA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6D44D12-9D12-4032-AFCC-55FE65A1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54A0DB7-17B5-4401-9DAE-66132944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D56B40F-D111-45FC-8CD2-11D56D52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9C44549-B698-4FE2-9C67-D284FF99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257969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8578484-EA48-4CBE-A59C-966B4487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29575" y="13087963"/>
          <a:ext cx="2876494" cy="1791800"/>
        </a:xfrm>
        <a:prstGeom prst="rect">
          <a:avLst/>
        </a:prstGeom>
      </xdr:spPr>
    </xdr:pic>
    <xdr:clientData/>
  </xdr:twoCellAnchor>
  <xdr:twoCellAnchor editAs="oneCell">
    <xdr:from>
      <xdr:col>55</xdr:col>
      <xdr:colOff>714376</xdr:colOff>
      <xdr:row>74</xdr:row>
      <xdr:rowOff>61987</xdr:rowOff>
    </xdr:from>
    <xdr:to>
      <xdr:col>60</xdr:col>
      <xdr:colOff>118628</xdr:colOff>
      <xdr:row>82</xdr:row>
      <xdr:rowOff>59114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F4C7214E-E791-42E5-8DD0-B72A3126B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186476" y="13406512"/>
          <a:ext cx="3214252" cy="1625902"/>
        </a:xfrm>
        <a:prstGeom prst="rect">
          <a:avLst/>
        </a:prstGeom>
      </xdr:spPr>
    </xdr:pic>
    <xdr:clientData/>
  </xdr:twoCellAnchor>
  <xdr:twoCellAnchor editAs="oneCell">
    <xdr:from>
      <xdr:col>45</xdr:col>
      <xdr:colOff>128986</xdr:colOff>
      <xdr:row>84</xdr:row>
      <xdr:rowOff>49609</xdr:rowOff>
    </xdr:from>
    <xdr:to>
      <xdr:col>49</xdr:col>
      <xdr:colOff>119391</xdr:colOff>
      <xdr:row>95</xdr:row>
      <xdr:rowOff>64996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C4FB3C8-4F7B-4CED-AA0D-FBAF90E63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981086" y="15346759"/>
          <a:ext cx="3038405" cy="1796562"/>
        </a:xfrm>
        <a:prstGeom prst="rect">
          <a:avLst/>
        </a:prstGeom>
      </xdr:spPr>
    </xdr:pic>
    <xdr:clientData/>
  </xdr:twoCellAnchor>
  <xdr:twoCellAnchor editAs="oneCell">
    <xdr:from>
      <xdr:col>49</xdr:col>
      <xdr:colOff>549187</xdr:colOff>
      <xdr:row>85</xdr:row>
      <xdr:rowOff>39687</xdr:rowOff>
    </xdr:from>
    <xdr:to>
      <xdr:col>53</xdr:col>
      <xdr:colOff>292583</xdr:colOff>
      <xdr:row>95</xdr:row>
      <xdr:rowOff>39688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16F0BE3-5A98-48C6-8695-D15E5F8C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49287" y="15498762"/>
          <a:ext cx="2791396" cy="161925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2AF9F3C0-14DC-46C5-B239-A6EB400D5624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F031A766-1DE7-4E7A-BD83-0B8CAC26C98E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2DFF0BE0-51FF-4D6B-9DE8-D2D4EF4C3357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C3DAFB-1BD6-47B3-845F-EF8F896E641F}" name="UnoBiable: SmartZoom 000 en ctas" cacheId="5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4" type="button" dataOnly="0" labelOnly="1" outline="0" axis="axisRow" fieldPosition="0"/>
    </format>
    <format dxfId="22">
      <pivotArea dataOnly="0" labelOnly="1" outline="0" fieldPosition="0">
        <references count="1">
          <reference field="4" count="0"/>
        </references>
      </pivotArea>
    </format>
    <format dxfId="21">
      <pivotArea dataOnly="0" labelOnly="1" grandRow="1" outline="0" fieldPosition="0"/>
    </format>
    <format dxfId="20">
      <pivotArea type="topRight" dataOnly="0" labelOnly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Row" fieldPosition="0"/>
    </format>
    <format dxfId="15">
      <pivotArea dataOnly="0" labelOnly="1" outline="0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77186B-A382-4271-804C-FB93DDAA0C01}" name="UnoBiable: SmartZoom 001 en ctas" cacheId="56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45">
      <pivotArea outline="0" collapsedLevelsAreSubtotals="1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31" type="button" dataOnly="0" labelOnly="1" outline="0" axis="axisRow" fieldPosition="0"/>
    </format>
    <format dxfId="40">
      <pivotArea field="32" type="button" dataOnly="0" labelOnly="1" outline="0" axis="axisRow" fieldPosition="1"/>
    </format>
    <format dxfId="39">
      <pivotArea dataOnly="0" labelOnly="1" outline="0" fieldPosition="0">
        <references count="1">
          <reference field="31" count="0"/>
        </references>
      </pivotArea>
    </format>
    <format dxfId="38">
      <pivotArea dataOnly="0" labelOnly="1" grandRow="1" outline="0" fieldPosition="0"/>
    </format>
    <format dxfId="3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6">
      <pivotArea type="topRight" dataOnly="0" labelOnly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31" type="button" dataOnly="0" labelOnly="1" outline="0" axis="axisRow" fieldPosition="0"/>
    </format>
    <format dxfId="31">
      <pivotArea field="32" type="button" dataOnly="0" labelOnly="1" outline="0" axis="axisRow" fieldPosition="1"/>
    </format>
    <format dxfId="30">
      <pivotArea dataOnly="0" labelOnly="1" outline="0" fieldPosition="0">
        <references count="1">
          <reference field="31" count="0"/>
        </references>
      </pivotArea>
    </format>
    <format dxfId="29">
      <pivotArea dataOnly="0" labelOnly="1" grandRow="1" outline="0" fieldPosition="0"/>
    </format>
    <format dxfId="2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7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DD81B2-B35D-4BE3-87EE-3DDAA12C7355}" name="UnoBiable: SmartZoom 002 en ctas" cacheId="58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68">
      <pivotArea outline="0" collapsedLevelsAreSubtotals="1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field="5" type="button" dataOnly="0" labelOnly="1" outline="0" axis="axisRow" fieldPosition="0"/>
    </format>
    <format dxfId="63">
      <pivotArea field="6" type="button" dataOnly="0" labelOnly="1" outline="0" axis="axisRow" fieldPosition="1"/>
    </format>
    <format dxfId="62">
      <pivotArea dataOnly="0" labelOnly="1" outline="0" fieldPosition="0">
        <references count="1">
          <reference field="5" count="0"/>
        </references>
      </pivotArea>
    </format>
    <format dxfId="61">
      <pivotArea dataOnly="0" labelOnly="1" grandRow="1" outline="0" fieldPosition="0"/>
    </format>
    <format dxfId="60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8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7">
      <pivotArea type="topRight" dataOnly="0" labelOnly="1" outline="0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5" type="button" dataOnly="0" labelOnly="1" outline="0" axis="axisRow" fieldPosition="0"/>
    </format>
    <format dxfId="52">
      <pivotArea field="6" type="button" dataOnly="0" labelOnly="1" outline="0" axis="axisRow" fieldPosition="1"/>
    </format>
    <format dxfId="51">
      <pivotArea dataOnly="0" labelOnly="1" outline="0" fieldPosition="0">
        <references count="1">
          <reference field="5" count="0"/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7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61FCA-7B69-4A68-88BC-8EBB3B1DB7A7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4160.3100000000004</v>
      </c>
    </row>
    <row r="4" spans="1:7" x14ac:dyDescent="0.2">
      <c r="A4" s="2" t="str">
        <f>VLOOKUP(E4,B22:E33,4,0)</f>
        <v>202308</v>
      </c>
      <c r="B4" s="3" t="str">
        <f>VLOOKUP(E3,B22:D33,3,0)</f>
        <v>202408</v>
      </c>
      <c r="C4" s="3"/>
      <c r="D4" s="7" t="str">
        <f>+D3</f>
        <v>ENERO</v>
      </c>
      <c r="E4" s="7" t="str">
        <f>+E3</f>
        <v>AGOSTO</v>
      </c>
      <c r="F4" s="5">
        <v>2023</v>
      </c>
      <c r="G4" s="8">
        <v>4085.33</v>
      </c>
    </row>
    <row r="5" spans="1:7" x14ac:dyDescent="0.2">
      <c r="A5" s="2"/>
      <c r="B5" s="3">
        <f>+B4-1</f>
        <v>202407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11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12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13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14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7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F4A6266E-805A-4306-B521-2702BBC6E378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E576-C9A3-41EC-B3E9-DD1AC85DD66C}">
  <dimension ref="A1:AK46"/>
  <sheetViews>
    <sheetView showGridLines="0" topLeftCell="S1" workbookViewId="0">
      <selection activeCell="AM34" sqref="AM34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144</v>
      </c>
      <c r="T3" s="118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90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AGOSTO de 2024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90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145</v>
      </c>
      <c r="E7" s="61"/>
      <c r="F7" s="61" t="s">
        <v>146</v>
      </c>
      <c r="G7" s="62" t="s">
        <v>24</v>
      </c>
      <c r="H7" s="61"/>
      <c r="I7" s="61" t="s">
        <v>147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148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15514.149070577161</v>
      </c>
      <c r="X8" s="32">
        <f>'COLOMBIA USD'!Y10+'EL SALVADOR USD'!X10+'VENEZUELA USD'!X9+'PANAMA USD'!W10</f>
        <v>30699.143082859893</v>
      </c>
      <c r="Y8" s="32">
        <f>'COLOMBIA USD'!X10+'EL SALVADOR USD'!W10+'VENEZUELA USD'!Y9+'PANAMA USD'!V10</f>
        <v>6111.2324682535691</v>
      </c>
      <c r="Z8" s="32">
        <f>'COLOMBIA USD'!Z10+'EL SALVADOR USD'!Y10+'VENEZUELA USD'!Z9+'PANAMA USD'!X10</f>
        <v>32668.653219239452</v>
      </c>
      <c r="AA8" s="32">
        <f>'COLOMBIA USD'!AD10+'EL SALVADOR USD'!AC10+'VENEZUELA USD'!AA9+'PANAMA USD'!AB10</f>
        <v>28993.130616302722</v>
      </c>
      <c r="AB8" s="32">
        <f>'COLOMBIA USD'!AA10+'EL SALVADOR USD'!Z10+'VENEZUELA USD'!AB9+'PANAMA USD'!Y10</f>
        <v>33288.117049210276</v>
      </c>
      <c r="AC8" s="63">
        <f>+AB8-Z8</f>
        <v>619.46382997082401</v>
      </c>
      <c r="AD8" s="68">
        <f>IF(Z8=0,"",(AB8-Z8)/ABS(Z8)+1)</f>
        <v>1.0189620253339984</v>
      </c>
      <c r="AE8" s="68">
        <f>IF(X8=0,"",(AB8-AA8)/ABS(AA8))</f>
        <v>0.14813807069501145</v>
      </c>
      <c r="AF8" s="55"/>
      <c r="AG8" s="55">
        <f>+'COLOMBIA USD'!Y10+'EL SALVADOR USD'!X10+'VENEZUELA USD'!X9+'PANAMA USD'!W10</f>
        <v>30699.143082859893</v>
      </c>
      <c r="AH8" s="55">
        <f>+'COLOMBIA USD'!X10+'EL SALVADOR USD'!W10+'VENEZUELA USD'!Y9+'PANAMA USD'!V10</f>
        <v>6111.2324682535691</v>
      </c>
      <c r="AI8" s="55">
        <f>+'COLOMBIA USD'!Z10+'EL SALVADOR USD'!Y10+'VENEZUELA USD'!Z9+'PANAMA USD'!X10</f>
        <v>32668.653219239452</v>
      </c>
      <c r="AJ8" s="55">
        <f>+'COLOMBIA USD'!AD10+'EL SALVADOR USD'!AC10+'VENEZUELA USD'!AA9+'PANAMA USD'!AB10</f>
        <v>28993.130616302722</v>
      </c>
      <c r="AK8" s="55">
        <f>+'COLOMBIA USD'!AA10+'EL SALVADOR USD'!Z10+'VENEZUELA USD'!AB9+'PANAMA USD'!Y10</f>
        <v>33288.117049210276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301380.15867292072</v>
      </c>
      <c r="X9" s="32">
        <f>'COLOMBIA USD'!Y11+'EL SALVADOR USD'!X11+'VENEZUELA USD'!X10+'PANAMA USD'!W11</f>
        <v>304198.65178030153</v>
      </c>
      <c r="Y9" s="32">
        <f>'COLOMBIA USD'!X11+'EL SALVADOR USD'!W11+'VENEZUELA USD'!Y10+'PANAMA USD'!V11</f>
        <v>316682.37645633903</v>
      </c>
      <c r="Z9" s="32">
        <f>'COLOMBIA USD'!Z11+'EL SALVADOR USD'!Y11+'VENEZUELA USD'!Z10+'PANAMA USD'!X11</f>
        <v>2232114.1981301587</v>
      </c>
      <c r="AA9" s="32">
        <f>'COLOMBIA USD'!AD11+'EL SALVADOR USD'!AC11+'VENEZUELA USD'!AA10+'PANAMA USD'!AB11</f>
        <v>2313321.5906662331</v>
      </c>
      <c r="AB9" s="32">
        <f>'COLOMBIA USD'!AA11+'EL SALVADOR USD'!Z11+'VENEZUELA USD'!AB10+'PANAMA USD'!Y11</f>
        <v>2222815.0495093237</v>
      </c>
      <c r="AC9" s="63">
        <f>+AB9-Z9</f>
        <v>-9299.1486208350398</v>
      </c>
      <c r="AD9" s="68">
        <f>IF(Z9=0,"",(AB9-Z9)/ABS(Z9)+1)</f>
        <v>0.99583392792867631</v>
      </c>
      <c r="AE9" s="68">
        <f>IF(AA9=0,"",(AB9-AA9)/ABS(AA9))</f>
        <v>-3.9124063650330471E-2</v>
      </c>
      <c r="AF9" s="55"/>
      <c r="AG9" s="55">
        <f>+'COLOMBIA USD'!Y11+'EL SALVADOR USD'!X11+'VENEZUELA USD'!X10+'PANAMA USD'!W11</f>
        <v>304198.65178030153</v>
      </c>
      <c r="AH9" s="55">
        <f>+'COLOMBIA USD'!X11+'EL SALVADOR USD'!W11+'VENEZUELA USD'!Y10+'PANAMA USD'!V11</f>
        <v>316682.37645633903</v>
      </c>
      <c r="AI9" s="55">
        <f>+'COLOMBIA USD'!AB11+'EL SALVADOR USD'!AA11+'VENEZUELA USD'!AC10+'PANAMA USD'!Z11</f>
        <v>-9749.4957208296055</v>
      </c>
      <c r="AK9" s="55">
        <f>+'COLOMBIA USD'!AA11+'EL SALVADOR USD'!Z11+'VENEZUELA USD'!AB10+'PANAMA USD'!Y11</f>
        <v>2222815.0495093237</v>
      </c>
    </row>
    <row r="10" spans="1:37" x14ac:dyDescent="0.2">
      <c r="B10" s="3" t="s">
        <v>65</v>
      </c>
      <c r="C10" s="32">
        <f>+'COLOMBIA USD'!C10+'EL SALVADOR USD'!C10+'VENEZUELA USD'!C10+'PANAMA USD'!C10</f>
        <v>107739.86731792227</v>
      </c>
      <c r="D10" s="34">
        <f t="shared" ref="D10:D15" si="0">+C10/$C$20</f>
        <v>0.45302246621827641</v>
      </c>
      <c r="E10" s="32">
        <f>+'COLOMBIA USD'!E10+'EL SALVADOR USD'!E10+'VENEZUELA USD'!E10+'PANAMA USD'!E10</f>
        <v>93144.629922764201</v>
      </c>
      <c r="F10" s="34">
        <f t="shared" ref="F10:F20" si="1">+E10/$E$20</f>
        <v>0.41688592263860974</v>
      </c>
      <c r="G10" s="34">
        <f t="shared" ref="G10:G20" si="2">IF(C10=0,"",(E10-C10)/ABS(C10)+1)</f>
        <v>0.8645326214103275</v>
      </c>
      <c r="H10" s="32">
        <f>+'COLOMBIA USD'!H10+'EL SALVADOR USD'!H10+'VENEZUELA USD'!H10+'PANAMA USD'!H10</f>
        <v>120648.02044019364</v>
      </c>
      <c r="I10" s="34">
        <f t="shared" ref="I10:I18" si="3">+H10/$H$20</f>
        <v>0.44790914723551029</v>
      </c>
      <c r="J10" s="34">
        <f t="shared" ref="J10:J20" si="4">IF(H10=0,"",(E10-H10)/ABS(H10))</f>
        <v>-0.227963877211422</v>
      </c>
      <c r="K10" s="32">
        <f>+'COLOMBIA USD'!K10+'EL SALVADOR USD'!K10+'VENEZUELA USD'!K10+'PANAMA USD'!K10</f>
        <v>852322.01197359257</v>
      </c>
      <c r="L10" s="34">
        <f t="shared" ref="L10:L46" si="5">+K10/$K$20</f>
        <v>0.44722055782639852</v>
      </c>
      <c r="M10" s="32">
        <f>+'COLOMBIA USD'!M10+'EL SALVADOR USD'!M10+'VENEZUELA USD'!M10+'PANAMA USD'!M10</f>
        <v>817294.81866322621</v>
      </c>
      <c r="N10" s="34">
        <f t="shared" ref="N10:N20" si="6">+M10/$M$20</f>
        <v>0.42651813193670507</v>
      </c>
      <c r="O10" s="34">
        <f t="shared" ref="O10:O18" si="7">IF(K10=0,"",(M10-K10)/ABS(K10)+1)</f>
        <v>0.95890380300133371</v>
      </c>
      <c r="P10" s="32">
        <f>+'COLOMBIA USD'!P10+'EL SALVADOR USD'!P10+'VENEZUELA USD'!P10+'PANAMA USD'!P10</f>
        <v>857219.27548409963</v>
      </c>
      <c r="Q10" s="34">
        <f t="shared" ref="Q10:Q46" si="8">+P10/$P$20</f>
        <v>0.45822554627298867</v>
      </c>
      <c r="R10" s="34">
        <f t="shared" ref="R10:R18" si="9">IF(P10=0,"",(M10-P10)/ABS(P10))</f>
        <v>-4.6574380631288055E-2</v>
      </c>
      <c r="V10" s="3" t="s">
        <v>33</v>
      </c>
      <c r="W10" s="32">
        <f>'COLOMBIA USD'!W13+'EL SALVADOR USD'!V13+'VENEZUELA USD'!W11+'PANAMA USD'!U13</f>
        <v>41208.452734769853</v>
      </c>
      <c r="X10" s="32">
        <f>'COLOMBIA USD'!Y13+'EL SALVADOR USD'!X13+'VENEZUELA USD'!X11+'PANAMA USD'!W13</f>
        <v>34849.993513375906</v>
      </c>
      <c r="Y10" s="32">
        <f>'COLOMBIA USD'!X13+'EL SALVADOR USD'!W13+'VENEZUELA USD'!Y11+'PANAMA USD'!V13</f>
        <v>84545.002762485878</v>
      </c>
      <c r="Z10" s="32">
        <f>'COLOMBIA USD'!Z13+'EL SALVADOR USD'!Y13+'VENEZUELA USD'!Z11+'PANAMA USD'!X13</f>
        <v>344851.78194988344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385249.3206936341</v>
      </c>
      <c r="AC10" s="63">
        <f>+Z10-AB10</f>
        <v>-40397.538743750658</v>
      </c>
      <c r="AD10" s="68">
        <f>IF(Z10=0,"",(AB10-Z10)/ABS(Z10)+1)</f>
        <v>1.1171446425920499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34849.993513375906</v>
      </c>
      <c r="AH10" s="55">
        <f>+'COLOMBIA USD'!X13+'EL SALVADOR USD'!W13+'VENEZUELA USD'!Y11+'PANAMA USD'!V13</f>
        <v>84545.002762485878</v>
      </c>
      <c r="AI10" s="55">
        <f>+'COLOMBIA USD'!AB13+'EL SALVADOR USD'!AA13+'VENEZUELA USD'!AC11+'PANAMA USD'!Z13</f>
        <v>-44631.893508116897</v>
      </c>
      <c r="AK10" s="55">
        <f>+'COLOMBIA USD'!AA13+'EL SALVADOR USD'!Z13+'VENEZUELA USD'!AB11+'PANAMA USD'!Y13</f>
        <v>385249.3206936341</v>
      </c>
    </row>
    <row r="11" spans="1:37" x14ac:dyDescent="0.2">
      <c r="B11" s="3" t="s">
        <v>67</v>
      </c>
      <c r="C11" s="32">
        <f>+'COLOMBIA USD'!C11+'EL SALVADOR USD'!C11+'VENEZUELA USD'!C11+'PANAMA USD'!C11</f>
        <v>10487.437554220365</v>
      </c>
      <c r="D11" s="34">
        <f t="shared" si="0"/>
        <v>4.4097370299366924E-2</v>
      </c>
      <c r="E11" s="32">
        <f>+'COLOMBIA USD'!E11+'EL SALVADOR USD'!E11+'VENEZUELA USD'!E11+'PANAMA USD'!E11</f>
        <v>12145.935187335042</v>
      </c>
      <c r="F11" s="34">
        <f t="shared" si="1"/>
        <v>5.4361366845083477E-2</v>
      </c>
      <c r="G11" s="34">
        <f t="shared" si="2"/>
        <v>1.1581413595590146</v>
      </c>
      <c r="H11" s="32">
        <f>+'COLOMBIA USD'!H11+'EL SALVADOR USD'!H11+'VENEZUELA USD'!H11+'PANAMA USD'!H11</f>
        <v>6112.6982688838443</v>
      </c>
      <c r="I11" s="34">
        <f t="shared" si="3"/>
        <v>2.2693563134597489E-2</v>
      </c>
      <c r="J11" s="34">
        <f t="shared" si="4"/>
        <v>0.98700060972465509</v>
      </c>
      <c r="K11" s="32">
        <f>+'COLOMBIA USD'!K11+'EL SALVADOR USD'!K11+'VENEZUELA USD'!K11+'PANAMA USD'!K11</f>
        <v>92225.628024747333</v>
      </c>
      <c r="L11" s="34">
        <f t="shared" si="5"/>
        <v>4.8391565900793999E-2</v>
      </c>
      <c r="M11" s="32">
        <f>+'COLOMBIA USD'!M11+'EL SALVADOR USD'!M11+'VENEZUELA USD'!M11+'PANAMA USD'!M11</f>
        <v>116961.95984215362</v>
      </c>
      <c r="N11" s="34">
        <f t="shared" si="6"/>
        <v>6.1038434944596688E-2</v>
      </c>
      <c r="O11" s="34">
        <f t="shared" si="7"/>
        <v>1.2682153794688031</v>
      </c>
      <c r="P11" s="32">
        <f>+'COLOMBIA USD'!P11+'EL SALVADOR USD'!P11+'VENEZUELA USD'!P11+'PANAMA USD'!P11</f>
        <v>83633.530310954593</v>
      </c>
      <c r="Q11" s="34">
        <f t="shared" si="8"/>
        <v>4.4706204362744251E-2</v>
      </c>
      <c r="R11" s="34">
        <f t="shared" si="9"/>
        <v>0.39850559228196974</v>
      </c>
      <c r="V11" s="3" t="s">
        <v>34</v>
      </c>
      <c r="W11" s="32">
        <f>'COLOMBIA USD'!W14+'EL SALVADOR USD'!V14+'VENEZUELA USD'!W12+'PANAMA USD'!U14</f>
        <v>2751.6359883411023</v>
      </c>
      <c r="X11" s="32">
        <f>'COLOMBIA USD'!Y14+'EL SALVADOR USD'!X14+'VENEZUELA USD'!X12+'PANAMA USD'!W14</f>
        <v>2935.3800060215453</v>
      </c>
      <c r="Y11" s="32">
        <f>'COLOMBIA USD'!X14+'EL SALVADOR USD'!W14+'VENEZUELA USD'!Y12+'PANAMA USD'!V14</f>
        <v>3082.9998245323063</v>
      </c>
      <c r="Z11" s="32">
        <f>'COLOMBIA USD'!Z14+'EL SALVADOR USD'!Y14+'VENEZUELA USD'!Z12+'PANAMA USD'!X14</f>
        <v>21917.820648044188</v>
      </c>
      <c r="AA11" s="32">
        <f>'COLOMBIA USD'!AD14+'EL SALVADOR USD'!AC14+'VENEZUELA USD'!AA12+'PANAMA USD'!AB14</f>
        <v>19169.414465906062</v>
      </c>
      <c r="AB11" s="32">
        <f>'COLOMBIA USD'!AA14+'EL SALVADOR USD'!Z14+'VENEZUELA USD'!AB12+'PANAMA USD'!Y14</f>
        <v>24066.650321730831</v>
      </c>
      <c r="AC11" s="63">
        <f>+Z11-AB11</f>
        <v>-2148.8296736866432</v>
      </c>
      <c r="AD11" s="68">
        <f t="shared" ref="AD11:AD22" si="11">IF(Z11=0,"",(AB11-Z11)/ABS(Z11)+1)</f>
        <v>1.0980402982665338</v>
      </c>
      <c r="AE11" s="68">
        <f t="shared" si="10"/>
        <v>0.25547133244652792</v>
      </c>
      <c r="AF11" s="55"/>
      <c r="AG11" s="55">
        <f>+'COLOMBIA USD'!Y14+'EL SALVADOR USD'!X14+'VENEZUELA USD'!X12+'PANAMA USD'!W14</f>
        <v>2935.3800060215453</v>
      </c>
      <c r="AH11" s="55">
        <f>+'COLOMBIA USD'!X14+'EL SALVADOR USD'!W14+'VENEZUELA USD'!Y12+'PANAMA USD'!V14</f>
        <v>3082.9998245323063</v>
      </c>
      <c r="AI11" s="55">
        <f>+'COLOMBIA USD'!AB14+'EL SALVADOR USD'!AA14+'VENEZUELA USD'!AC12+'PANAMA USD'!Z14</f>
        <v>-2148.8296736866432</v>
      </c>
      <c r="AK11" s="55">
        <f>+'COLOMBIA USD'!AA14+'EL SALVADOR USD'!Z14+'VENEZUELA USD'!AB12+'PANAMA USD'!Y14</f>
        <v>24066.650321730831</v>
      </c>
    </row>
    <row r="12" spans="1:37" x14ac:dyDescent="0.2">
      <c r="B12" s="3" t="s">
        <v>69</v>
      </c>
      <c r="C12" s="32">
        <f>+'COLOMBIA USD'!C12+'EL SALVADOR USD'!C12+'VENEZUELA USD'!C12+'PANAMA USD'!C12</f>
        <v>19053.845179664262</v>
      </c>
      <c r="D12" s="34">
        <f t="shared" si="0"/>
        <v>8.0117231894872021E-2</v>
      </c>
      <c r="E12" s="32">
        <f>+'COLOMBIA USD'!E12+'EL SALVADOR USD'!E12+'VENEZUELA USD'!E12+'PANAMA USD'!E12</f>
        <v>16343.478252337029</v>
      </c>
      <c r="F12" s="34">
        <f t="shared" si="1"/>
        <v>7.3148242856289597E-2</v>
      </c>
      <c r="G12" s="34">
        <f t="shared" si="2"/>
        <v>0.85775223311775695</v>
      </c>
      <c r="H12" s="32">
        <f>+'COLOMBIA USD'!H12+'EL SALVADOR USD'!H12+'VENEZUELA USD'!H12+'PANAMA USD'!H12</f>
        <v>21841.237867178475</v>
      </c>
      <c r="I12" s="34">
        <f t="shared" si="3"/>
        <v>8.1086205906754333E-2</v>
      </c>
      <c r="J12" s="34">
        <f t="shared" si="4"/>
        <v>-0.251714653183788</v>
      </c>
      <c r="K12" s="32">
        <f>+'COLOMBIA USD'!K12+'EL SALVADOR USD'!K12+'VENEZUELA USD'!K12+'PANAMA USD'!K12</f>
        <v>156022.69347195223</v>
      </c>
      <c r="L12" s="34">
        <f t="shared" si="5"/>
        <v>8.1866424928452447E-2</v>
      </c>
      <c r="M12" s="32">
        <f>+'COLOMBIA USD'!M12+'EL SALVADOR USD'!M12+'VENEZUELA USD'!M12+'PANAMA USD'!M12</f>
        <v>145192.40816902486</v>
      </c>
      <c r="N12" s="34">
        <f t="shared" si="6"/>
        <v>7.5770937597442106E-2</v>
      </c>
      <c r="O12" s="34">
        <f t="shared" si="7"/>
        <v>0.93058519205172996</v>
      </c>
      <c r="P12" s="32">
        <f>+'COLOMBIA USD'!P12+'EL SALVADOR USD'!P12+'VENEZUELA USD'!P12+'PANAMA USD'!P12</f>
        <v>188994.34118747176</v>
      </c>
      <c r="Q12" s="34">
        <f t="shared" si="8"/>
        <v>0.1010267007636125</v>
      </c>
      <c r="R12" s="34">
        <f t="shared" si="9"/>
        <v>-0.23176319853406535</v>
      </c>
      <c r="V12" s="3" t="s">
        <v>35</v>
      </c>
      <c r="W12" s="32">
        <f>'COLOMBIA USD'!W15+'EL SALVADOR USD'!V15+'VENEZUELA USD'!W13+'PANAMA USD'!U15</f>
        <v>93850.265534800914</v>
      </c>
      <c r="X12" s="32">
        <f>'COLOMBIA USD'!Y15+'EL SALVADOR USD'!X15+'VENEZUELA USD'!X13+'PANAMA USD'!W15</f>
        <v>103308.32769201019</v>
      </c>
      <c r="Y12" s="32">
        <f>'COLOMBIA USD'!X15+'EL SALVADOR USD'!W15+'VENEZUELA USD'!Y13+'PANAMA USD'!V15</f>
        <v>106567.19919669446</v>
      </c>
      <c r="Z12" s="32">
        <f>'COLOMBIA USD'!Z15+'EL SALVADOR USD'!Y15+'VENEZUELA USD'!Z13+'PANAMA USD'!X15</f>
        <v>859485.20383804315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908988.01533371303</v>
      </c>
      <c r="AC12" s="63">
        <f>+Z12-AB12</f>
        <v>-49502.811495669885</v>
      </c>
      <c r="AD12" s="68">
        <f t="shared" si="11"/>
        <v>1.0575958856238763</v>
      </c>
      <c r="AE12" s="68" t="e">
        <f t="shared" si="10"/>
        <v>#VALUE!</v>
      </c>
      <c r="AF12" s="55"/>
      <c r="AG12" s="55">
        <f>+'COLOMBIA USD'!Y15+'EL SALVADOR USD'!X15+'VENEZUELA USD'!X13+'PANAMA USD'!W15</f>
        <v>103308.32769201019</v>
      </c>
      <c r="AH12" s="55">
        <f>+'COLOMBIA USD'!X15+'EL SALVADOR USD'!W15+'VENEZUELA USD'!Y13+'PANAMA USD'!V15</f>
        <v>106567.19919669446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908988.01533371303</v>
      </c>
    </row>
    <row r="13" spans="1:37" x14ac:dyDescent="0.2">
      <c r="B13" s="3" t="s">
        <v>71</v>
      </c>
      <c r="C13" s="32">
        <f>+'COLOMBIA USD'!C13+'EL SALVADOR USD'!C13+'VENEZUELA USD'!C13+'PANAMA USD'!C13</f>
        <v>21969.620081751473</v>
      </c>
      <c r="D13" s="34">
        <f t="shared" si="0"/>
        <v>9.237742461613381E-2</v>
      </c>
      <c r="E13" s="32">
        <f>+'COLOMBIA USD'!E13+'EL SALVADOR USD'!E13+'VENEZUELA USD'!E13+'PANAMA USD'!E13</f>
        <v>12887.189416173314</v>
      </c>
      <c r="F13" s="34">
        <f t="shared" si="1"/>
        <v>5.7678986479787628E-2</v>
      </c>
      <c r="G13" s="34">
        <f t="shared" si="2"/>
        <v>0.58659136426659209</v>
      </c>
      <c r="H13" s="32">
        <f>+'COLOMBIA USD'!H13+'EL SALVADOR USD'!H13+'VENEZUELA USD'!H13+'PANAMA USD'!H13</f>
        <v>14857.433379191896</v>
      </c>
      <c r="I13" s="34">
        <f t="shared" si="3"/>
        <v>5.5158636591812839E-2</v>
      </c>
      <c r="J13" s="34">
        <f t="shared" si="4"/>
        <v>-0.13260998132947674</v>
      </c>
      <c r="K13" s="32">
        <f>+'COLOMBIA USD'!K13+'EL SALVADOR USD'!K13+'VENEZUELA USD'!K13+'PANAMA USD'!K13</f>
        <v>193028.23928869129</v>
      </c>
      <c r="L13" s="34">
        <f t="shared" si="5"/>
        <v>0.1012835473426805</v>
      </c>
      <c r="M13" s="32">
        <f>+'COLOMBIA USD'!M13+'EL SALVADOR USD'!M13+'VENEZUELA USD'!M13+'PANAMA USD'!M13</f>
        <v>202675.27248002065</v>
      </c>
      <c r="N13" s="34">
        <f t="shared" si="6"/>
        <v>0.10576927276907333</v>
      </c>
      <c r="O13" s="34">
        <f t="shared" si="7"/>
        <v>1.0499773153756087</v>
      </c>
      <c r="P13" s="32">
        <f>+'COLOMBIA USD'!P13+'EL SALVADOR USD'!P13+'VENEZUELA USD'!P13+'PANAMA USD'!P13</f>
        <v>161867.4078052098</v>
      </c>
      <c r="Q13" s="34">
        <f t="shared" si="8"/>
        <v>8.6526030721191693E-2</v>
      </c>
      <c r="R13" s="34">
        <f t="shared" si="9"/>
        <v>0.25210674111689468</v>
      </c>
      <c r="V13" s="3" t="s">
        <v>36</v>
      </c>
      <c r="W13" s="32">
        <f>'COLOMBIA USD'!W16+'EL SALVADOR USD'!V16+'VENEZUELA USD'!W14+'PANAMA USD'!U16</f>
        <v>69234.18348020369</v>
      </c>
      <c r="X13" s="32">
        <f>'COLOMBIA USD'!Y16+'EL SALVADOR USD'!X16+'VENEZUELA USD'!X14+'PANAMA USD'!W16</f>
        <v>65111.194341705566</v>
      </c>
      <c r="Y13" s="32">
        <f>'COLOMBIA USD'!X16+'EL SALVADOR USD'!W16+'VENEZUELA USD'!Y14+'PANAMA USD'!V16</f>
        <v>55841.378173741847</v>
      </c>
      <c r="Z13" s="32">
        <f>'COLOMBIA USD'!Z16+'EL SALVADOR USD'!Y16+'VENEZUELA USD'!Z14+'PANAMA USD'!X16</f>
        <v>568763.20522895001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499496.74146493885</v>
      </c>
      <c r="AC13" s="63">
        <f>+Z13-AB13</f>
        <v>69266.463764011161</v>
      </c>
      <c r="AD13" s="68">
        <f t="shared" si="11"/>
        <v>0.87821563855184936</v>
      </c>
      <c r="AE13" s="68" t="e">
        <f t="shared" si="10"/>
        <v>#VALUE!</v>
      </c>
      <c r="AF13" s="55"/>
      <c r="AG13" s="55">
        <f>+'COLOMBIA USD'!Y16+'EL SALVADOR USD'!X16+'VENEZUELA USD'!X14+'PANAMA USD'!W16</f>
        <v>65111.194341705566</v>
      </c>
      <c r="AH13" s="55">
        <f>+'COLOMBIA USD'!X16+'EL SALVADOR USD'!W16+'VENEZUELA USD'!Y14+'PANAMA USD'!V16</f>
        <v>55841.378173741847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499496.74146493885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207044.53773811553</v>
      </c>
      <c r="X14" s="32">
        <f>SUM(X10:X13)</f>
        <v>206204.89555311319</v>
      </c>
      <c r="Y14" s="32">
        <f>SUM(Y10:Y13)</f>
        <v>250036.57995745452</v>
      </c>
      <c r="Z14" s="32">
        <f>'COLOMBIA USD'!Z17+'EL SALVADOR USD'!Y17+'VENEZUELA USD'!Z15+'PANAMA USD'!X17</f>
        <v>1744743.2316741846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1792491.3253128584</v>
      </c>
      <c r="AC14" s="63">
        <f>+AB14-Z14</f>
        <v>47748.09363867389</v>
      </c>
      <c r="AD14" s="68">
        <f t="shared" si="11"/>
        <v>1.0273668312745692</v>
      </c>
      <c r="AE14" s="68" t="e">
        <f t="shared" si="10"/>
        <v>#VALUE!</v>
      </c>
      <c r="AF14" s="55"/>
      <c r="AG14" s="55">
        <f>+'COLOMBIA USD'!Y17+'EL SALVADOR USD'!X17+'VENEZUELA USD'!X15+'PANAMA USD'!W17</f>
        <v>206204.89555311319</v>
      </c>
      <c r="AH14" s="55">
        <f>+'COLOMBIA USD'!X17+'EL SALVADOR USD'!W17+'VENEZUELA USD'!Y15+'PANAMA USD'!V17</f>
        <v>226085.88519135906</v>
      </c>
      <c r="AI14" s="55">
        <f>+'COLOMBIA USD'!AB17+'EL SALVADOR USD'!AA17+'VENEZUELA USD'!AC15+'PANAMA USD'!Z17</f>
        <v>27017.938681217132</v>
      </c>
      <c r="AK14" s="55">
        <f>+'COLOMBIA USD'!AA17+'EL SALVADOR USD'!Z17+'VENEZUELA USD'!AB15+'PANAMA USD'!Y17</f>
        <v>1792491.3253128584</v>
      </c>
    </row>
    <row r="15" spans="1:37" x14ac:dyDescent="0.2">
      <c r="B15" s="3" t="s">
        <v>74</v>
      </c>
      <c r="C15" s="32">
        <f>+'COLOMBIA USD'!C15+'EL SALVADOR USD'!C15+'VENEZUELA USD'!C15+'PANAMA USD'!C15</f>
        <v>35669.496389968896</v>
      </c>
      <c r="D15" s="34">
        <f t="shared" si="0"/>
        <v>0.14998239394211313</v>
      </c>
      <c r="E15" s="32">
        <f>+'COLOMBIA USD'!E15+'EL SALVADOR USD'!E15+'VENEZUELA USD'!E15+'PANAMA USD'!E15</f>
        <v>34216.772444304115</v>
      </c>
      <c r="F15" s="34">
        <f t="shared" si="1"/>
        <v>0.15314345831839404</v>
      </c>
      <c r="G15" s="34">
        <f t="shared" si="2"/>
        <v>0.95927265331188361</v>
      </c>
      <c r="H15" s="32">
        <f>+'COLOMBIA USD'!H15+'EL SALVADOR USD'!H15+'VENEZUELA USD'!H15+'PANAMA USD'!H15</f>
        <v>35970.205810793748</v>
      </c>
      <c r="I15" s="34">
        <f t="shared" si="3"/>
        <v>0.13354039421297417</v>
      </c>
      <c r="J15" s="34">
        <f t="shared" si="4"/>
        <v>-4.8746826073579823E-2</v>
      </c>
      <c r="K15" s="32">
        <f>+'COLOMBIA USD'!K15+'EL SALVADOR USD'!K15+'VENEZUELA USD'!K15+'PANAMA USD'!K15</f>
        <v>271003.88135135529</v>
      </c>
      <c r="L15" s="34">
        <f t="shared" si="5"/>
        <v>0.14219802526328196</v>
      </c>
      <c r="M15" s="32">
        <f>+'COLOMBIA USD'!M15+'EL SALVADOR USD'!M15+'VENEZUELA USD'!M15+'PANAMA USD'!M15</f>
        <v>269014.2543287591</v>
      </c>
      <c r="N15" s="34">
        <f t="shared" si="6"/>
        <v>0.14038931191111276</v>
      </c>
      <c r="O15" s="34">
        <f t="shared" si="7"/>
        <v>0.99265830801878208</v>
      </c>
      <c r="P15" s="32">
        <f>+'COLOMBIA USD'!P15+'EL SALVADOR USD'!P15+'VENEZUELA USD'!P15+'PANAMA USD'!P15</f>
        <v>276239.29161734454</v>
      </c>
      <c r="Q15" s="34">
        <f t="shared" si="8"/>
        <v>0.14766338546451527</v>
      </c>
      <c r="R15" s="34">
        <f t="shared" si="9"/>
        <v>-2.6154994991059406E-2</v>
      </c>
      <c r="V15" s="3" t="s">
        <v>38</v>
      </c>
      <c r="W15" s="32">
        <f>W9-W14</f>
        <v>94335.620934805193</v>
      </c>
      <c r="X15" s="32">
        <f>X9-X14</f>
        <v>97993.756227188336</v>
      </c>
      <c r="Y15" s="32">
        <f t="shared" ref="Y15:AB15" si="12">Y9-Y14</f>
        <v>66645.796498884505</v>
      </c>
      <c r="Z15" s="32">
        <f t="shared" si="12"/>
        <v>487370.96645597415</v>
      </c>
      <c r="AA15" s="32" t="e">
        <f>AA9-AA14</f>
        <v>#VALUE!</v>
      </c>
      <c r="AB15" s="32">
        <f t="shared" si="12"/>
        <v>430323.72419646522</v>
      </c>
      <c r="AC15" s="63">
        <f>+AB15-Z15</f>
        <v>-57047.24225950893</v>
      </c>
      <c r="AD15" s="68">
        <f t="shared" si="11"/>
        <v>0.882949034337559</v>
      </c>
      <c r="AE15" s="68" t="e">
        <f t="shared" si="10"/>
        <v>#VALUE!</v>
      </c>
      <c r="AF15" s="55"/>
      <c r="AG15" s="55">
        <f>+'COLOMBIA USD'!Y19+'EL SALVADOR USD'!X19+'VENEZUELA USD'!X16+'PANAMA USD'!W19</f>
        <v>92514.163360120263</v>
      </c>
      <c r="AH15" s="55">
        <f>+'COLOMBIA USD'!X19+'EL SALVADOR USD'!W19+'VENEZUELA USD'!Y16+'PANAMA USD'!V19</f>
        <v>113847.5102552532</v>
      </c>
      <c r="AI15" s="55">
        <f>+'COLOMBIA USD'!AB19+'EL SALVADOR USD'!AA19+'VENEZUELA USD'!AC16+'PANAMA USD'!Z19</f>
        <v>-36772.63481336621</v>
      </c>
      <c r="AK15" s="55">
        <f>+'COLOMBIA USD'!AA19+'EL SALVADOR USD'!Z19+'VENEZUELA USD'!AB16+'PANAMA USD'!Y19</f>
        <v>454392.99237617786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76</v>
      </c>
      <c r="C17" s="32">
        <f>+'COLOMBIA USD'!C17+'EL SALVADOR USD'!C17+'VENEZUELA USD'!C17+'PANAMA USD'!C17</f>
        <v>3650.7774488789087</v>
      </c>
      <c r="D17" s="34">
        <f>+C17/$C$20</f>
        <v>1.5350716913590176E-2</v>
      </c>
      <c r="E17" s="32">
        <f>+'COLOMBIA USD'!E17+'EL SALVADOR USD'!E17+'VENEZUELA USD'!E17+'PANAMA USD'!E17</f>
        <v>5077.1307907343435</v>
      </c>
      <c r="F17" s="34">
        <f t="shared" si="1"/>
        <v>2.2723632653941069E-2</v>
      </c>
      <c r="G17" s="34">
        <f t="shared" si="2"/>
        <v>1.3906985188301313</v>
      </c>
      <c r="H17" s="32">
        <f>+'COLOMBIA USD'!H17+'EL SALVADOR USD'!H17+'VENEZUELA USD'!H17+'PANAMA USD'!H17</f>
        <v>11782.339492770476</v>
      </c>
      <c r="I17" s="34">
        <f t="shared" si="3"/>
        <v>4.3742264608992602E-2</v>
      </c>
      <c r="J17" s="34">
        <f t="shared" si="4"/>
        <v>-0.56908975557446639</v>
      </c>
      <c r="K17" s="32">
        <f>+'COLOMBIA USD'!K17+'EL SALVADOR USD'!K17+'VENEZUELA USD'!K17+'PANAMA USD'!K17</f>
        <v>30974.788200469531</v>
      </c>
      <c r="L17" s="34">
        <f t="shared" si="5"/>
        <v>1.6252732961210586E-2</v>
      </c>
      <c r="M17" s="32">
        <f>+'COLOMBIA USD'!M17+'EL SALVADOR USD'!M17+'VENEZUELA USD'!M17+'PANAMA USD'!M17</f>
        <v>30287.576166199153</v>
      </c>
      <c r="N17" s="34">
        <f t="shared" si="6"/>
        <v>1.5806047110915305E-2</v>
      </c>
      <c r="O17" s="34">
        <f t="shared" si="7"/>
        <v>0.97781382620527613</v>
      </c>
      <c r="P17" s="32">
        <f>+'COLOMBIA USD'!P17+'EL SALVADOR USD'!P17+'VENEZUELA USD'!P17+'PANAMA USD'!P17</f>
        <v>33237.356835310733</v>
      </c>
      <c r="Q17" s="34">
        <f t="shared" si="8"/>
        <v>1.7766989646761641E-2</v>
      </c>
      <c r="R17" s="34">
        <f t="shared" si="9"/>
        <v>-8.8748954488998041E-2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2">
        <f>+'COLOMBIA USD'!C18+'EL SALVADOR USD'!C18+'VENEZUELA USD'!C18+'PANAMA USD'!C18</f>
        <v>39253.512980164</v>
      </c>
      <c r="D18" s="41">
        <f t="shared" ref="D18:D46" si="13">+C18/$C$20</f>
        <v>0.16505239611564759</v>
      </c>
      <c r="E18" s="32">
        <f>+'COLOMBIA USD'!E18+'EL SALVADOR USD'!E18+'VENEZUELA USD'!E18+'PANAMA USD'!E18</f>
        <v>49614.403974703804</v>
      </c>
      <c r="F18" s="34">
        <f t="shared" si="1"/>
        <v>0.2220583902078945</v>
      </c>
      <c r="G18" s="41">
        <f t="shared" si="2"/>
        <v>1.2639481210197792</v>
      </c>
      <c r="H18" s="32">
        <f>+'COLOMBIA USD'!H18+'EL SALVADOR USD'!H18+'VENEZUELA USD'!H18+'PANAMA USD'!H18</f>
        <v>44183.531562933713</v>
      </c>
      <c r="I18" s="34">
        <f t="shared" si="3"/>
        <v>0.16403259557845035</v>
      </c>
      <c r="J18" s="41">
        <f t="shared" si="4"/>
        <v>0.12291621379414902</v>
      </c>
      <c r="K18" s="32">
        <f>+'COLOMBIA USD'!K18+'EL SALVADOR USD'!K18+'VENEZUELA USD'!K18+'PANAMA USD'!K18</f>
        <v>310243.04492304899</v>
      </c>
      <c r="L18" s="34">
        <f t="shared" si="5"/>
        <v>0.16278714577718212</v>
      </c>
      <c r="M18" s="32">
        <f>+'COLOMBIA USD'!M18+'EL SALVADOR USD'!M18+'VENEZUELA USD'!M18+'PANAMA USD'!M18</f>
        <v>334775.52562188875</v>
      </c>
      <c r="N18" s="34">
        <f t="shared" si="6"/>
        <v>0.17470786373015484</v>
      </c>
      <c r="O18" s="34">
        <f t="shared" si="7"/>
        <v>1.0790750384264849</v>
      </c>
      <c r="P18" s="32">
        <f>+'COLOMBIA USD'!P18+'EL SALVADOR USD'!P18+'VENEZUELA USD'!P18+'PANAMA USD'!P18</f>
        <v>269545.34223673481</v>
      </c>
      <c r="Q18" s="34">
        <f t="shared" si="8"/>
        <v>0.14408514276818604</v>
      </c>
      <c r="R18" s="41">
        <f t="shared" si="9"/>
        <v>0.24200078118160889</v>
      </c>
      <c r="V18" s="3" t="s">
        <v>40</v>
      </c>
      <c r="W18" s="32">
        <f>W8+W15</f>
        <v>109849.77000538235</v>
      </c>
      <c r="X18" s="32">
        <f>'COLOMBIA USD'!Y21+'EL SALVADOR USD'!X21+'VENEZUELA USD'!X19+'PANAMA USD'!W21</f>
        <v>123213.30644298013</v>
      </c>
      <c r="Y18" s="32">
        <f t="shared" ref="Y18" si="14">Y8+Y15</f>
        <v>72757.028967138074</v>
      </c>
      <c r="Z18" s="32">
        <f>Z8+Z15</f>
        <v>520039.61967521359</v>
      </c>
      <c r="AA18" s="32" t="e">
        <f>AA8+AA15</f>
        <v>#VALUE!</v>
      </c>
      <c r="AB18" s="32">
        <f>AB8+AB15</f>
        <v>463611.84124567552</v>
      </c>
      <c r="AC18" s="63">
        <f>+AB18-Z18</f>
        <v>-56427.77842953807</v>
      </c>
      <c r="AD18" s="68">
        <f t="shared" si="11"/>
        <v>0.89149330878908883</v>
      </c>
      <c r="AE18" s="68" t="e">
        <f t="shared" si="10"/>
        <v>#VALUE!</v>
      </c>
      <c r="AF18" s="55"/>
      <c r="AG18" s="55">
        <f>+'COLOMBIA USD'!Y21+'EL SALVADOR USD'!X21+'VENEZUELA USD'!X19+'PANAMA USD'!W21</f>
        <v>123213.30644298013</v>
      </c>
      <c r="AH18" s="55">
        <f>+'COLOMBIA USD'!X21+'EL SALVADOR USD'!W21+'VENEZUELA USD'!Y19+'PANAMA USD'!V21</f>
        <v>111967.75152387732</v>
      </c>
      <c r="AI18" s="55">
        <f>+'COLOMBIA USD'!AB21+'EL SALVADOR USD'!AA21+'VENEZUELA USD'!AC19+'PANAMA USD'!Z21</f>
        <v>-36153.087509364239</v>
      </c>
      <c r="AK18" s="55">
        <f>+'COLOMBIA USD'!AA21+'EL SALVADOR USD'!Z21+'VENEZUELA USD'!AB19+'PANAMA USD'!Y21</f>
        <v>478274.71757731005</v>
      </c>
    </row>
    <row r="19" spans="2:37" x14ac:dyDescent="0.2">
      <c r="B19" s="3" t="s">
        <v>80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13962.775100175506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3864.2214736937613</v>
      </c>
      <c r="X19" s="32">
        <f>'COLOMBIA USD'!Y23+'EL SALVADOR USD'!X23+'VENEZUELA USD'!X20+'PANAMA USD'!W23</f>
        <v>3057.7897011991686</v>
      </c>
      <c r="Y19" s="32">
        <f>'COLOMBIA USD'!X23+'EL SALVADOR USD'!W23+'VENEZUELA USD'!Y20+'PANAMA USD'!V23</f>
        <v>6145</v>
      </c>
      <c r="Z19" s="32">
        <f>'COLOMBIA USD'!Z23+'EL SALVADOR USD'!Y23+'VENEZUELA USD'!Z20+'PANAMA USD'!X23</f>
        <v>26138.61386138614</v>
      </c>
      <c r="AA19" s="32">
        <f>'COLOMBIA USD'!AD23+'EL SALVADOR USD'!AC23+'VENEZUELA USD'!AA20+'PANAMA USD'!AB23</f>
        <v>23129.771149454267</v>
      </c>
      <c r="AB19" s="32">
        <f>'COLOMBIA USD'!AA23+'EL SALVADOR USD'!Z23+'VENEZUELA USD'!AB20+'PANAMA USD'!Y23</f>
        <v>59130.970396436795</v>
      </c>
      <c r="AC19" s="63">
        <f t="shared" ref="AC19:AC22" si="15">+AB19-Z19</f>
        <v>32992.356535050654</v>
      </c>
      <c r="AD19" s="68">
        <f t="shared" si="11"/>
        <v>2.2622075795606502</v>
      </c>
      <c r="AE19" s="68">
        <f t="shared" si="10"/>
        <v>1.5564874816252539</v>
      </c>
      <c r="AF19" s="55"/>
      <c r="AG19" s="55">
        <f>+'COLOMBIA USD'!Y23+'EL SALVADOR USD'!X23+'VENEZUELA USD'!X20+'PANAMA USD'!W23</f>
        <v>3057.7897011991686</v>
      </c>
      <c r="AH19" s="55">
        <f>+'COLOMBIA USD'!X23+'EL SALVADOR USD'!W23+'VENEZUELA USD'!Y20+'PANAMA USD'!V23</f>
        <v>6145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59130.970396436795</v>
      </c>
    </row>
    <row r="20" spans="2:37" x14ac:dyDescent="0.2">
      <c r="B20" s="20" t="s">
        <v>39</v>
      </c>
      <c r="C20" s="69">
        <f>SUM(C10:C19)</f>
        <v>237824.55695257016</v>
      </c>
      <c r="D20" s="45">
        <f t="shared" si="13"/>
        <v>1</v>
      </c>
      <c r="E20" s="69">
        <f>SUM(E10:E19)</f>
        <v>223429.53998835184</v>
      </c>
      <c r="F20" s="45">
        <f t="shared" si="1"/>
        <v>1</v>
      </c>
      <c r="G20" s="45">
        <f t="shared" si="2"/>
        <v>0.93947211697281052</v>
      </c>
      <c r="H20" s="69">
        <f>SUM(H10:H19)</f>
        <v>269358.24192212132</v>
      </c>
      <c r="I20" s="45">
        <f>+H22/$H$22</f>
        <v>1</v>
      </c>
      <c r="J20" s="45">
        <f t="shared" si="4"/>
        <v>-0.17051158934668387</v>
      </c>
      <c r="K20" s="69">
        <f>SUM(K10:K19)</f>
        <v>1905820.287233857</v>
      </c>
      <c r="L20" s="45">
        <f t="shared" si="5"/>
        <v>1</v>
      </c>
      <c r="M20" s="69">
        <f>SUM(M10:M19)</f>
        <v>1916201.8152712721</v>
      </c>
      <c r="N20" s="45">
        <f t="shared" si="6"/>
        <v>1</v>
      </c>
      <c r="O20" s="45">
        <f>IF(K20=0,"",(M20-K20)/ABS(K20)+1)</f>
        <v>1.0054472754367008</v>
      </c>
      <c r="P20" s="69">
        <f>SUM(P10:P19)</f>
        <v>1870736.5454771258</v>
      </c>
      <c r="Q20" s="45">
        <f t="shared" si="8"/>
        <v>1</v>
      </c>
      <c r="R20" s="45">
        <f>IF(P20=0,"",(M20-P20)/ABS(P20))</f>
        <v>2.430340600554768E-2</v>
      </c>
      <c r="V20" s="3" t="s">
        <v>44</v>
      </c>
      <c r="W20" s="32">
        <f>'COLOMBIA USD'!W25+'EL SALVADOR USD'!V25+'VENEZUELA USD'!W21+'PANAMA USD'!U25</f>
        <v>19157.863635695307</v>
      </c>
      <c r="X20" s="32">
        <f>'COLOMBIA USD'!Y25+'EL SALVADOR USD'!X25+'VENEZUELA USD'!X21+'PANAMA USD'!W25</f>
        <v>19603.999279769141</v>
      </c>
      <c r="Y20" s="32">
        <f>'COLOMBIA USD'!X25+'EL SALVADOR USD'!W25+'VENEZUELA USD'!Y21+'PANAMA USD'!V25</f>
        <v>28131.030295188048</v>
      </c>
      <c r="Z20" s="32">
        <f>'COLOMBIA USD'!Z25+'EL SALVADOR USD'!Y25+'VENEZUELA USD'!Z21+'PANAMA USD'!X25</f>
        <v>367652.20205613435</v>
      </c>
      <c r="AA20" s="32">
        <f>'COLOMBIA USD'!AD25+'EL SALVADOR USD'!AC25+'VENEZUELA USD'!AA21+'PANAMA USD'!AB25</f>
        <v>366133.14538308722</v>
      </c>
      <c r="AB20" s="32">
        <f>'COLOMBIA USD'!AA25+'EL SALVADOR USD'!Z25+'VENEZUELA USD'!AB21+'PANAMA USD'!Y25</f>
        <v>374427.39332914894</v>
      </c>
      <c r="AC20" s="63">
        <f t="shared" si="15"/>
        <v>6775.191273014585</v>
      </c>
      <c r="AD20" s="68">
        <f t="shared" si="11"/>
        <v>1.018428262458714</v>
      </c>
      <c r="AE20" s="68">
        <f t="shared" si="10"/>
        <v>2.2653638575615431E-2</v>
      </c>
      <c r="AF20" s="55"/>
      <c r="AG20" s="55">
        <f>+'COLOMBIA USD'!Y25+'EL SALVADOR USD'!X25+'VENEZUELA USD'!X21+'PANAMA USD'!W25</f>
        <v>19603.999279769141</v>
      </c>
      <c r="AH20" s="55">
        <f>+'COLOMBIA USD'!X25+'EL SALVADOR USD'!W25+'VENEZUELA USD'!Y21+'PANAMA USD'!V25</f>
        <v>28131.030295188048</v>
      </c>
      <c r="AI20" s="55">
        <f>+'COLOMBIA USD'!AB25+'EL SALVADOR USD'!AA25+'VENEZUELA USD'!AC21+'PANAMA USD'!Z25</f>
        <v>6347.9047410755311</v>
      </c>
      <c r="AK20" s="55">
        <f>+'COLOMBIA USD'!AA25+'EL SALVADOR USD'!Z25+'VENEZUELA USD'!AB21+'PANAMA USD'!Y25</f>
        <v>374427.39332914894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60699.760697719263</v>
      </c>
      <c r="X21" s="32">
        <f>'COLOMBIA USD'!Y27+'EL SALVADOR USD'!X27+'VENEZUELA USD'!X22+'PANAMA USD'!W27</f>
        <v>34063.343720091158</v>
      </c>
      <c r="Y21" s="32">
        <f>'COLOMBIA USD'!X27+'EL SALVADOR USD'!W27+'VENEZUELA USD'!Y22+'PANAMA USD'!V27</f>
        <v>30688.930500371363</v>
      </c>
      <c r="Z21" s="32">
        <f>'COLOMBIA USD'!Z27+'EL SALVADOR USD'!Y27+'VENEZUELA USD'!Z22+'PANAMA USD'!X27</f>
        <v>8091.5926644210822</v>
      </c>
      <c r="AA21" s="32">
        <f>'COLOMBIA USD'!AD27+'EL SALVADOR USD'!AC27+'VENEZUELA USD'!AA22+'PANAMA USD'!AB27</f>
        <v>157663.64039135148</v>
      </c>
      <c r="AB21" s="32">
        <f>'COLOMBIA USD'!AA27+'EL SALVADOR USD'!Z27+'VENEZUELA USD'!AB22+'PANAMA USD'!Y27</f>
        <v>-90018.051539428547</v>
      </c>
      <c r="AC21" s="63">
        <f t="shared" si="15"/>
        <v>-98109.644203849632</v>
      </c>
      <c r="AD21" s="68">
        <f t="shared" si="11"/>
        <v>-11.124886690754959</v>
      </c>
      <c r="AE21" s="68">
        <f t="shared" si="10"/>
        <v>-1.5709499749973197</v>
      </c>
      <c r="AF21" s="55"/>
      <c r="AG21" s="55">
        <f>+'COLOMBIA USD'!Y27+'EL SALVADOR USD'!X27+'VENEZUELA USD'!X22+'PANAMA USD'!W27</f>
        <v>34063.343720091158</v>
      </c>
      <c r="AH21" s="55">
        <f>+'COLOMBIA USD'!X27+'EL SALVADOR USD'!W27+'VENEZUELA USD'!Y22+'PANAMA USD'!V27</f>
        <v>30688.930500371363</v>
      </c>
      <c r="AI21" s="55">
        <f>+'COLOMBIA USD'!AB27+'EL SALVADOR USD'!AA27+'VENEZUELA USD'!AC22+'PANAMA USD'!Z27</f>
        <v>-98109.644203849632</v>
      </c>
      <c r="AK21" s="55">
        <f>+'COLOMBIA USD'!AA27+'EL SALVADOR USD'!Z27+'VENEZUELA USD'!AB22+'PANAMA USD'!Y27</f>
        <v>-90018.051539428547</v>
      </c>
    </row>
    <row r="22" spans="2:37" x14ac:dyDescent="0.2">
      <c r="B22" s="3" t="s">
        <v>41</v>
      </c>
      <c r="C22" s="32">
        <f>+'COLOMBIA USD'!C22+'EL SALVADOR USD'!C22+'VENEZUELA USD'!C22+'PANAMA USD'!C22</f>
        <v>23362.55245936965</v>
      </c>
      <c r="D22" s="34">
        <f t="shared" si="13"/>
        <v>9.823439916689887E-2</v>
      </c>
      <c r="E22" s="32">
        <f>+'COLOMBIA USD'!E22+'EL SALVADOR USD'!E22+'VENEZUELA USD'!E22+'PANAMA USD'!E22</f>
        <v>26581.501094870331</v>
      </c>
      <c r="F22" s="34">
        <f>+E22/$E$20</f>
        <v>0.11897039709367041</v>
      </c>
      <c r="G22" s="34">
        <f>IF(C22=0,"",(E22-C22)/ABS(C22)+1)</f>
        <v>1.1377824037462871</v>
      </c>
      <c r="H22" s="32">
        <f>+'COLOMBIA USD'!H22+'EL SALVADOR USD'!H22+'VENEZUELA USD'!H22+'PANAMA USD'!H22</f>
        <v>12794.658081476895</v>
      </c>
      <c r="I22" s="34">
        <f t="shared" ref="I22:I46" si="16">+H22/$H$20</f>
        <v>4.7500525657485443E-2</v>
      </c>
      <c r="J22" s="34">
        <f>IF(H22=0,"",(E22-H22)/ABS(H22))</f>
        <v>1.0775468109892634</v>
      </c>
      <c r="K22" s="32">
        <f>+'COLOMBIA USD'!K22+'EL SALVADOR USD'!K22+'VENEZUELA USD'!K22+'PANAMA USD'!K22</f>
        <v>187490.44524967964</v>
      </c>
      <c r="L22" s="34">
        <f t="shared" si="5"/>
        <v>9.8377820041892175E-2</v>
      </c>
      <c r="M22" s="32">
        <f>+'COLOMBIA USD'!M22+'EL SALVADOR USD'!M22+'VENEZUELA USD'!M22+'PANAMA USD'!M22</f>
        <v>230100.65726222325</v>
      </c>
      <c r="N22" s="34">
        <f>+M22/$M$20</f>
        <v>0.12008164037233648</v>
      </c>
      <c r="O22" s="34">
        <f>IF(K22=0,"",(M22-K22)/ABS(K22)+1)</f>
        <v>1.2272660452419317</v>
      </c>
      <c r="P22" s="32">
        <f>+'COLOMBIA USD'!P22+'EL SALVADOR USD'!P22+'VENEZUELA USD'!P22+'PANAMA USD'!P22</f>
        <v>150136.67359432412</v>
      </c>
      <c r="Q22" s="34">
        <f t="shared" si="8"/>
        <v>8.0255380672018789E-2</v>
      </c>
      <c r="R22" s="34">
        <f>IF(P22=0,"",(M22-P22)/ABS(P22))</f>
        <v>0.53260793484718671</v>
      </c>
      <c r="V22" s="3" t="s">
        <v>49</v>
      </c>
      <c r="W22" s="32">
        <f>'COLOMBIA USD'!W28+'EL SALVADOR USD'!V28+'VENEZUELA USD'!W23+'PANAMA USD'!U28</f>
        <v>18429.678019348328</v>
      </c>
      <c r="X22" s="32">
        <f>'COLOMBIA USD'!Y28+'EL SALVADOR USD'!X28+'VENEZUELA USD'!X23+'PANAMA USD'!W28</f>
        <v>18690.362590047804</v>
      </c>
      <c r="Y22" s="32">
        <f>'COLOMBIA USD'!X28+'EL SALVADOR USD'!W28+'VENEZUELA USD'!Y23+'PANAMA USD'!V28</f>
        <v>19577.013732149764</v>
      </c>
      <c r="Z22" s="32">
        <f>'COLOMBIA USD'!Z28+'EL SALVADOR USD'!Y28+'VENEZUELA USD'!Z23+'PANAMA USD'!X28</f>
        <v>92148.390096741641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95162.147015486829</v>
      </c>
      <c r="AC22" s="63">
        <f t="shared" si="15"/>
        <v>3013.7569187451882</v>
      </c>
      <c r="AD22" s="68">
        <f t="shared" si="11"/>
        <v>1.0327054755441871</v>
      </c>
      <c r="AE22" s="68" t="e">
        <f t="shared" si="10"/>
        <v>#VALUE!</v>
      </c>
      <c r="AF22" s="55"/>
      <c r="AG22" s="55">
        <f>+'COLOMBIA USD'!Y28+'EL SALVADOR USD'!X28+'VENEZUELA USD'!X23+'PANAMA USD'!W28</f>
        <v>18690.362590047804</v>
      </c>
      <c r="AH22" s="55">
        <f>+'COLOMBIA USD'!X28+'EL SALVADOR USD'!W28+'VENEZUELA USD'!Y23+'PANAMA USD'!V28</f>
        <v>19577.013732149764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95162.147015486829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7698.2461789256922</v>
      </c>
      <c r="X23" s="32">
        <f t="shared" ref="X23:AB23" si="17">X18-X19-X20-X21-X22</f>
        <v>47797.811151872855</v>
      </c>
      <c r="Y23" s="32">
        <f t="shared" si="17"/>
        <v>-11784.945560571097</v>
      </c>
      <c r="Z23" s="32">
        <f t="shared" si="17"/>
        <v>26008.820996530369</v>
      </c>
      <c r="AA23" s="32" t="e">
        <f t="shared" si="17"/>
        <v>#VALUE!</v>
      </c>
      <c r="AB23" s="32">
        <f t="shared" si="17"/>
        <v>24909.382044031488</v>
      </c>
      <c r="AC23" s="63">
        <f t="shared" ref="AC23" si="18">Y23-W23</f>
        <v>-19483.19173949679</v>
      </c>
      <c r="AD23" s="68">
        <f t="shared" ref="AD23" si="19">IF(W23=0,"",(Y23-W23)/ABS(W23)+1)</f>
        <v>-1.5308610931192268</v>
      </c>
      <c r="AE23" s="68">
        <f t="shared" ref="AE23" si="20">IF(X23=0,"",(Y23-X23)/ABS(X23))</f>
        <v>-1.2465582686019991</v>
      </c>
      <c r="AF23" s="55"/>
      <c r="AG23" s="55">
        <f>+'COLOMBIA USD'!Y30+'EL SALVADOR USD'!X30+'VENEZUELA USD'!X24+'PANAMA USD'!W30</f>
        <v>53278.404018940935</v>
      </c>
      <c r="AH23" s="55">
        <f>+'COLOMBIA USD'!X30+'EL SALVADOR USD'!W30+'VENEZUELA USD'!Y24+'PANAMA USD'!V30</f>
        <v>33307.643601077827</v>
      </c>
      <c r="AI23" s="55">
        <f>+'COLOMBIA USD'!AB30+'EL SALVADOR USD'!AA30+'VENEZUELA USD'!AC24+'PANAMA USD'!Z30</f>
        <v>19603.108523184077</v>
      </c>
      <c r="AK23" s="55">
        <f>+'COLOMBIA USD'!AA30+'EL SALVADOR USD'!Z30+'VENEZUELA USD'!AB24+'PANAMA USD'!Y30</f>
        <v>40429.738690626684</v>
      </c>
    </row>
    <row r="24" spans="2:37" x14ac:dyDescent="0.2">
      <c r="B24" s="3" t="s">
        <v>43</v>
      </c>
      <c r="C24" s="32">
        <f>+C20-C22</f>
        <v>214462.00449320051</v>
      </c>
      <c r="D24" s="34">
        <f t="shared" si="13"/>
        <v>0.9017656008331012</v>
      </c>
      <c r="E24" s="32">
        <f>+E20-E22</f>
        <v>196848.03889348151</v>
      </c>
      <c r="F24" s="34">
        <f>+E24/$E$20</f>
        <v>0.88102960290632959</v>
      </c>
      <c r="G24" s="34">
        <f>IF(C24=0,"",(E24-C24)/ABS(C24)+1)</f>
        <v>0.91786906197513674</v>
      </c>
      <c r="H24" s="32">
        <f>+H20-H22</f>
        <v>256563.58384064442</v>
      </c>
      <c r="I24" s="34">
        <f t="shared" si="16"/>
        <v>0.95249947434251458</v>
      </c>
      <c r="J24" s="34">
        <f>IF(H24=0,"",(E24-H24)/ABS(H24))</f>
        <v>-0.23275144528793748</v>
      </c>
      <c r="K24" s="32">
        <f>+K20-K22</f>
        <v>1718329.8419841772</v>
      </c>
      <c r="L24" s="34">
        <f t="shared" si="5"/>
        <v>0.90162217995810778</v>
      </c>
      <c r="M24" s="32">
        <f>+M20-M22</f>
        <v>1686101.1580090488</v>
      </c>
      <c r="N24" s="34">
        <f>+M24/$M$20</f>
        <v>0.87991835962766352</v>
      </c>
      <c r="O24" s="34">
        <f>IF(K24=0,"",(M24-K24)/ABS(K24)+1)</f>
        <v>0.9812441807226524</v>
      </c>
      <c r="P24" s="32">
        <f>+P20-P22</f>
        <v>1720599.8718828016</v>
      </c>
      <c r="Q24" s="34">
        <f t="shared" si="8"/>
        <v>0.91974461932798124</v>
      </c>
      <c r="R24" s="34">
        <f>IF(P24=0,"",(M24-P24)/ABS(P24))</f>
        <v>-2.0050398955337556E-2</v>
      </c>
      <c r="W24" s="55">
        <f>+'COLOMBIA USD'!W30+'EL SALVADOR USD'!V30+'VENEZUELA USD'!W24+'PANAMA USD'!U30</f>
        <v>13702.414775498168</v>
      </c>
      <c r="X24" s="55">
        <f>+'COLOMBIA USD'!Y30+'EL SALVADOR USD'!X30+'VENEZUELA USD'!X24+'PANAMA USD'!W30</f>
        <v>53278.404018940935</v>
      </c>
      <c r="Y24" s="55">
        <f>+'COLOMBIA USD'!X30+'EL SALVADOR USD'!W30+'VENEZUELA USD'!Y24+'PANAMA USD'!V30</f>
        <v>33307.643601077827</v>
      </c>
      <c r="Z24" s="55">
        <f>+'COLOMBIA USD'!Z30+'EL SALVADOR USD'!Y30+'VENEZUELA USD'!Z24+'PANAMA USD'!X30</f>
        <v>20826.630167442607</v>
      </c>
      <c r="AA24" s="55">
        <f>+'COLOMBIA USD'!AD30+'EL SALVADOR USD'!AC30+'VENEZUELA USD'!AA24+'PANAMA USD'!AB30</f>
        <v>53278.438752977301</v>
      </c>
      <c r="AB24" s="55">
        <f>+'COLOMBIA USD'!AA30+'EL SALVADOR USD'!Z30+'VENEZUELA USD'!AB24+'PANAMA USD'!Y30</f>
        <v>40429.738690626684</v>
      </c>
      <c r="AC24" s="55">
        <f>+'COLOMBIA USD'!AB30+'EL SALVADOR USD'!AA30+'VENEZUELA USD'!AC24+'PANAMA USD'!Z30</f>
        <v>19603.108523184077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50218.409739943068</v>
      </c>
      <c r="D26" s="34">
        <f t="shared" si="13"/>
        <v>0.21115737745264981</v>
      </c>
      <c r="E26" s="32">
        <f>+'COLOMBIA USD'!E26+'EL SALVADOR USD'!E26+'VENEZUELA USD'!E26+'PANAMA USD'!E26</f>
        <v>47352.252533228631</v>
      </c>
      <c r="F26" s="34">
        <f>+E26/$E$20</f>
        <v>0.21193371537039046</v>
      </c>
      <c r="G26" s="34">
        <f>IF(C26=0,"",(E26-C26)/ABS(C26)+1)</f>
        <v>0.94292616549275687</v>
      </c>
      <c r="H26" s="32">
        <f>+'COLOMBIA USD'!H26+'EL SALVADOR USD'!H26+'VENEZUELA USD'!H26+'PANAMA USD'!H26</f>
        <v>52430.923393219018</v>
      </c>
      <c r="I26" s="34">
        <f t="shared" si="16"/>
        <v>0.19465126821097312</v>
      </c>
      <c r="J26" s="34">
        <f>IF(H26=0,"",(E26-H26)/ABS(H26))</f>
        <v>-9.6864036170059523E-2</v>
      </c>
      <c r="K26" s="32">
        <f>+'COLOMBIA USD'!K26+'EL SALVADOR USD'!K26+'VENEZUELA USD'!K26+'PANAMA USD'!K26</f>
        <v>414451.03182380093</v>
      </c>
      <c r="L26" s="34">
        <f t="shared" si="5"/>
        <v>0.21746595657523557</v>
      </c>
      <c r="M26" s="32">
        <f>+'COLOMBIA USD'!M26+'EL SALVADOR USD'!M26+'VENEZUELA USD'!M26+'PANAMA USD'!M26</f>
        <v>414285.42584729166</v>
      </c>
      <c r="N26" s="34">
        <f>+M26/$M$20</f>
        <v>0.2162013533990115</v>
      </c>
      <c r="O26" s="34">
        <f>IF(K26=0,"",(M26-K26)/ABS(K26)+1)</f>
        <v>0.99960042088499446</v>
      </c>
      <c r="P26" s="32">
        <f>+'COLOMBIA USD'!P26+'EL SALVADOR USD'!P26+'VENEZUELA USD'!P26+'PANAMA USD'!P26</f>
        <v>397043.29680591205</v>
      </c>
      <c r="Q26" s="34">
        <f t="shared" si="8"/>
        <v>0.21223902305530004</v>
      </c>
      <c r="R26" s="34">
        <f>IF(P26=0,"",(M26-P26)/ABS(P26))</f>
        <v>4.3426319446990019E-2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90109.938180383659</v>
      </c>
      <c r="D27" s="34">
        <f t="shared" si="13"/>
        <v>0.37889248837475797</v>
      </c>
      <c r="E27" s="32">
        <f>+'COLOMBIA USD'!E27+'EL SALVADOR USD'!E27+'VENEZUELA USD'!E27+'PANAMA USD'!E27</f>
        <v>85224.881974179792</v>
      </c>
      <c r="F27" s="34">
        <f>+E27/$E$20</f>
        <v>0.38143963407266052</v>
      </c>
      <c r="G27" s="34">
        <f>IF(C27=0,"",(E27-C27)/ABS(C27)+1)</f>
        <v>0.94578781980268511</v>
      </c>
      <c r="H27" s="32">
        <f>+'COLOMBIA USD'!H27+'EL SALVADOR USD'!H27+'VENEZUELA USD'!H27+'PANAMA USD'!H27</f>
        <v>80427.019577951534</v>
      </c>
      <c r="I27" s="34">
        <f t="shared" si="16"/>
        <v>0.29858755761112049</v>
      </c>
      <c r="J27" s="34">
        <f>IF(H27=0,"",(E27-H27)/ABS(H27))</f>
        <v>5.9654857551672304E-2</v>
      </c>
      <c r="K27" s="32">
        <f>+'COLOMBIA USD'!K27+'EL SALVADOR USD'!K27+'VENEZUELA USD'!K27+'PANAMA USD'!K27</f>
        <v>684933.55635252153</v>
      </c>
      <c r="L27" s="34">
        <f t="shared" si="5"/>
        <v>0.35939042151064876</v>
      </c>
      <c r="M27" s="32">
        <f>+'COLOMBIA USD'!M27+'EL SALVADOR USD'!M27+'VENEZUELA USD'!M27+'PANAMA USD'!M27</f>
        <v>677021.67370395013</v>
      </c>
      <c r="N27" s="34">
        <f>+M27/$M$20</f>
        <v>0.35331438907342116</v>
      </c>
      <c r="O27" s="34">
        <f>IF(K27=0,"",(M27-K27)/ABS(K27)+1)</f>
        <v>0.98844868589779045</v>
      </c>
      <c r="P27" s="32">
        <f>+'COLOMBIA USD'!P27+'EL SALVADOR USD'!P27+'VENEZUELA USD'!P27+'PANAMA USD'!P27</f>
        <v>606888.23448540713</v>
      </c>
      <c r="Q27" s="34">
        <f t="shared" si="8"/>
        <v>0.32441138542606601</v>
      </c>
      <c r="R27" s="34">
        <f>IF(P27=0,"",(M27-P27)/ABS(P27))</f>
        <v>0.11556236425972333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140328.34792032672</v>
      </c>
      <c r="D28" s="34">
        <f t="shared" si="13"/>
        <v>0.59004986582740782</v>
      </c>
      <c r="E28" s="32">
        <f>SUM(E26:E27)</f>
        <v>132577.13450740842</v>
      </c>
      <c r="F28" s="34">
        <f>+E28/$E$20</f>
        <v>0.59337334944305098</v>
      </c>
      <c r="G28" s="34">
        <f>IF(C28=0,"",(E28-C28)/ABS(C28)+1)</f>
        <v>0.94476373784918244</v>
      </c>
      <c r="H28" s="32">
        <f>SUM(H26:H27)</f>
        <v>132857.94297117056</v>
      </c>
      <c r="I28" s="34">
        <f t="shared" si="16"/>
        <v>0.49323882582209366</v>
      </c>
      <c r="J28" s="34">
        <f>IF(H28=0,"",(E28-H28)/ABS(H28))</f>
        <v>-2.1135993639693025E-3</v>
      </c>
      <c r="K28" s="32">
        <f>SUM(K26:K27)</f>
        <v>1099384.5881763224</v>
      </c>
      <c r="L28" s="34">
        <f t="shared" si="5"/>
        <v>0.5768563780858843</v>
      </c>
      <c r="M28" s="32">
        <f>SUM(M26:M27)</f>
        <v>1091307.0995512418</v>
      </c>
      <c r="N28" s="34">
        <f>+M28/$M$20</f>
        <v>0.56951574247243264</v>
      </c>
      <c r="O28" s="34">
        <f>IF(K28=0,"",(M28-K28)/ABS(K28)+1)</f>
        <v>0.99265271797335308</v>
      </c>
      <c r="P28" s="32">
        <f>SUM(P26:P27)</f>
        <v>1003931.5312913192</v>
      </c>
      <c r="Q28" s="34">
        <f t="shared" si="8"/>
        <v>0.53665040848136603</v>
      </c>
      <c r="R28" s="34">
        <f>IF(P28=0,"",(M28-P28)/ABS(P28))</f>
        <v>8.7033393749008744E-2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19460.670895313455</v>
      </c>
      <c r="D30" s="34">
        <f t="shared" si="13"/>
        <v>8.1827844629158861E-2</v>
      </c>
      <c r="E30" s="32">
        <f>+'COLOMBIA USD'!E30+'EL SALVADOR USD'!E30+'VENEZUELA USD'!E30+'PANAMA USD'!E30</f>
        <v>22305.190836566573</v>
      </c>
      <c r="F30" s="34">
        <f>+E30/$E$20</f>
        <v>9.9830984021761049E-2</v>
      </c>
      <c r="G30" s="34">
        <f>IF(C30=0,"",(E30-C30)/ABS(C30)+1)</f>
        <v>1.1461676196342305</v>
      </c>
      <c r="H30" s="32">
        <f>+'COLOMBIA USD'!H30+'EL SALVADOR USD'!H30+'VENEZUELA USD'!H30+'PANAMA USD'!H30</f>
        <v>23908.768637355879</v>
      </c>
      <c r="I30" s="34">
        <f t="shared" si="16"/>
        <v>8.8761971665483858E-2</v>
      </c>
      <c r="J30" s="34">
        <f>IF(H30=0,"",(E30-H30)/ABS(H30))</f>
        <v>-6.7070697998382944E-2</v>
      </c>
      <c r="K30" s="32">
        <f>+'COLOMBIA USD'!K30+'EL SALVADOR USD'!K30+'VENEZUELA USD'!K30+'PANAMA USD'!K30</f>
        <v>160072.65126548053</v>
      </c>
      <c r="L30" s="34">
        <f t="shared" si="5"/>
        <v>8.3991471985961991E-2</v>
      </c>
      <c r="M30" s="32">
        <f>+'COLOMBIA USD'!M30+'EL SALVADOR USD'!M30+'VENEZUELA USD'!M30+'PANAMA USD'!M30</f>
        <v>178257.54946068965</v>
      </c>
      <c r="N30" s="34">
        <f>+M30/$M$20</f>
        <v>9.3026500674436616E-2</v>
      </c>
      <c r="O30" s="34">
        <f>IF(K30=0,"",(M30-K30)/ABS(K30)+1)</f>
        <v>1.1136040294918927</v>
      </c>
      <c r="P30" s="32">
        <f>+'COLOMBIA USD'!P30+'EL SALVADOR USD'!P30+'VENEZUELA USD'!P30+'PANAMA USD'!P30</f>
        <v>179184.58374033781</v>
      </c>
      <c r="Q30" s="34">
        <f t="shared" si="8"/>
        <v>9.5782906563487979E-2</v>
      </c>
      <c r="R30" s="34">
        <f>IF(P30=0,"",(M30-P30)/ABS(P30))</f>
        <v>-5.1736274421439726E-3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621.81319335222054</v>
      </c>
      <c r="D31" s="34">
        <f t="shared" si="13"/>
        <v>2.6145878344944421E-3</v>
      </c>
      <c r="E31" s="32">
        <f>+'COLOMBIA USD'!E31+'EL SALVADOR USD'!E31+'VENEZUELA USD'!E31+'PANAMA USD'!E31</f>
        <v>973.95785085687817</v>
      </c>
      <c r="F31" s="34">
        <f>+E31/$E$20</f>
        <v>4.3591274945455017E-3</v>
      </c>
      <c r="G31" s="34">
        <f>IF(C31=0,"",(E31-C31)/ABS(C31)+1)</f>
        <v>1.5663190509133962</v>
      </c>
      <c r="H31" s="32">
        <f>+'COLOMBIA USD'!H31+'EL SALVADOR USD'!H31+'VENEZUELA USD'!H31+'PANAMA USD'!H31</f>
        <v>1232.1442885771544</v>
      </c>
      <c r="I31" s="34">
        <f t="shared" si="16"/>
        <v>4.5743701020048988E-3</v>
      </c>
      <c r="J31" s="34">
        <f>IF(H31=0,"",(E31-H31)/ABS(H31))</f>
        <v>-0.20954237268625631</v>
      </c>
      <c r="K31" s="32">
        <f>+'COLOMBIA USD'!K31+'EL SALVADOR USD'!K31+'VENEZUELA USD'!K31+'PANAMA USD'!K31</f>
        <v>5431.8932302167077</v>
      </c>
      <c r="L31" s="34">
        <f t="shared" si="5"/>
        <v>2.8501602520459358E-3</v>
      </c>
      <c r="M31" s="32">
        <f>+'COLOMBIA USD'!M31+'EL SALVADOR USD'!M31+'VENEZUELA USD'!M31+'PANAMA USD'!M31</f>
        <v>9869.1790180639182</v>
      </c>
      <c r="N31" s="34">
        <f>+M31/$M$20</f>
        <v>5.1503860080973577E-3</v>
      </c>
      <c r="O31" s="34">
        <f>IF(K31=0,"",(M31-K31)/ABS(K31)+1)</f>
        <v>1.8168948835671763</v>
      </c>
      <c r="P31" s="32">
        <f>+'COLOMBIA USD'!P31+'EL SALVADOR USD'!P31+'VENEZUELA USD'!P31+'PANAMA USD'!P31</f>
        <v>7086.7334669338679</v>
      </c>
      <c r="Q31" s="34">
        <f t="shared" si="8"/>
        <v>3.7882049634767882E-3</v>
      </c>
      <c r="R31" s="34">
        <f>IF(P31=0,"",(M31-P31)/ABS(P31))</f>
        <v>0.39262737396752945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20082.484088665675</v>
      </c>
      <c r="D32" s="34">
        <f t="shared" si="13"/>
        <v>8.4442432463653308E-2</v>
      </c>
      <c r="E32" s="32">
        <f>SUM(E30:E31)</f>
        <v>23279.148687423451</v>
      </c>
      <c r="F32" s="34">
        <f>+E32/$E$20</f>
        <v>0.10419011151630654</v>
      </c>
      <c r="G32" s="34">
        <f>IF(C32=0,"",(E32-C32)/ABS(C32)+1)</f>
        <v>1.1591767524696777</v>
      </c>
      <c r="H32" s="32">
        <f>SUM(H30:H31)</f>
        <v>25140.912925933033</v>
      </c>
      <c r="I32" s="34">
        <f t="shared" si="16"/>
        <v>9.3336341767488756E-2</v>
      </c>
      <c r="J32" s="34">
        <f>IF(H32=0,"",(E32-H32)/ABS(H32))</f>
        <v>-7.4053167599540864E-2</v>
      </c>
      <c r="K32" s="32">
        <f>SUM(K30:K31)</f>
        <v>165504.54449569722</v>
      </c>
      <c r="L32" s="34">
        <f t="shared" si="5"/>
        <v>8.6841632238007921E-2</v>
      </c>
      <c r="M32" s="32">
        <f>SUM(M30:M31)</f>
        <v>188126.72847875356</v>
      </c>
      <c r="N32" s="34">
        <f>+M32/$M$20</f>
        <v>9.8176886682533965E-2</v>
      </c>
      <c r="O32" s="34">
        <f>IF(K32=0,"",(M32-K32)/ABS(K32)+1)</f>
        <v>1.1366861801407784</v>
      </c>
      <c r="P32" s="32">
        <f>SUM(P30:P31)</f>
        <v>186271.31720727167</v>
      </c>
      <c r="Q32" s="34">
        <f t="shared" si="8"/>
        <v>9.9571111526964753E-2</v>
      </c>
      <c r="R32" s="34">
        <f>IF(P32=0,"",(M32-P32)/ABS(P32))</f>
        <v>9.9607996512812522E-3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160410.83200899238</v>
      </c>
      <c r="D34" s="34">
        <f t="shared" si="13"/>
        <v>0.67449229829106105</v>
      </c>
      <c r="E34" s="32">
        <f>E28+E32</f>
        <v>155856.28319483186</v>
      </c>
      <c r="F34" s="34">
        <f>+E34/$E$20</f>
        <v>0.69756346095935751</v>
      </c>
      <c r="G34" s="34">
        <f>IF(C34=0,"",(E34-C34)/ABS(C34)+1)</f>
        <v>0.97160697468419588</v>
      </c>
      <c r="H34" s="32">
        <f>H28+H32</f>
        <v>157998.85589710358</v>
      </c>
      <c r="I34" s="34">
        <f t="shared" si="16"/>
        <v>0.58657516758958239</v>
      </c>
      <c r="J34" s="34">
        <f>IF(H34=0,"",(E34-H34)/ABS(H34))</f>
        <v>-1.3560684918295004E-2</v>
      </c>
      <c r="K34" s="32">
        <f>K28+K32</f>
        <v>1264889.1326720195</v>
      </c>
      <c r="L34" s="34">
        <f t="shared" si="5"/>
        <v>0.6636980103238922</v>
      </c>
      <c r="M34" s="32">
        <f>M28+M32</f>
        <v>1279433.8280299953</v>
      </c>
      <c r="N34" s="34">
        <f>+M34/$M$20</f>
        <v>0.66769262915496663</v>
      </c>
      <c r="O34" s="34">
        <f>IF(K34=0,"",(M34-K34)/ABS(K34)+1)</f>
        <v>1.011498790670492</v>
      </c>
      <c r="P34" s="32">
        <f>P28+P32</f>
        <v>1190202.8484985908</v>
      </c>
      <c r="Q34" s="34">
        <f t="shared" si="8"/>
        <v>0.63622152000833077</v>
      </c>
      <c r="R34" s="34">
        <f>IF(P34=0,"",(M34-P34)/ABS(P34))</f>
        <v>7.497123674671681E-2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54051.172484208131</v>
      </c>
      <c r="D36" s="45">
        <f t="shared" si="13"/>
        <v>0.22727330254204012</v>
      </c>
      <c r="E36" s="69">
        <f>E24-E34</f>
        <v>40991.755698649649</v>
      </c>
      <c r="F36" s="45">
        <f>+E36/$E$20</f>
        <v>0.18346614194697214</v>
      </c>
      <c r="G36" s="45">
        <f>IF(C36=0,"",(E36-C36)/ABS(C36)+1)</f>
        <v>0.75838790935804423</v>
      </c>
      <c r="H36" s="69">
        <f>H24-H34</f>
        <v>98564.727943540842</v>
      </c>
      <c r="I36" s="45">
        <f t="shared" si="16"/>
        <v>0.36592430675293219</v>
      </c>
      <c r="J36" s="45">
        <f>IF(H36=0,"",(E36-H36)/ABS(H36))</f>
        <v>-0.58411333796680021</v>
      </c>
      <c r="K36" s="69">
        <f>K24-K34</f>
        <v>453440.70931215771</v>
      </c>
      <c r="L36" s="45">
        <f t="shared" si="5"/>
        <v>0.23792416963421562</v>
      </c>
      <c r="M36" s="69">
        <f>+M24-M34</f>
        <v>406667.32997905347</v>
      </c>
      <c r="N36" s="45">
        <f>+M36/$M$20</f>
        <v>0.21222573047269686</v>
      </c>
      <c r="O36" s="45">
        <f>IF(K36=0,"",(M36-K36)/ABS(K36)+1)</f>
        <v>0.89684786043128628</v>
      </c>
      <c r="P36" s="69">
        <f>P24-P34</f>
        <v>530397.02338421089</v>
      </c>
      <c r="Q36" s="45">
        <f t="shared" si="8"/>
        <v>0.28352309931965042</v>
      </c>
      <c r="R36" s="45">
        <f>IF(P36=0,"",(M36-P36)/ABS(P36))</f>
        <v>-0.2332775033609675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1048.6335447313993</v>
      </c>
      <c r="D38" s="34">
        <f t="shared" si="13"/>
        <v>4.4092736182013807E-3</v>
      </c>
      <c r="E38" s="32">
        <f>+'COLOMBIA USD'!E38+'EL SALVADOR USD'!E38+'VENEZUELA USD'!E38+'PANAMA USD'!E38</f>
        <v>231.74614883359985</v>
      </c>
      <c r="F38" s="34">
        <f>+E38/$E$20</f>
        <v>1.0372225125007265E-3</v>
      </c>
      <c r="G38" s="34">
        <f>IF(C38=0,"",(E38-C38)/ABS(C38)+1)</f>
        <v>0.22099822192218743</v>
      </c>
      <c r="H38" s="32">
        <f>+'COLOMBIA USD'!H38+'EL SALVADOR USD'!H38+'VENEZUELA USD'!H38+'PANAMA USD'!H38</f>
        <v>2907.2530106218514</v>
      </c>
      <c r="I38" s="34">
        <f t="shared" si="16"/>
        <v>1.0793258041320362E-2</v>
      </c>
      <c r="J38" s="34">
        <f>IF(H38=0,"",(E38-H38)/ABS(H38))</f>
        <v>-0.92028690038778904</v>
      </c>
      <c r="K38" s="32">
        <f>+'COLOMBIA USD'!K38+'EL SALVADOR USD'!K38+'VENEZUELA USD'!K38+'PANAMA USD'!K38</f>
        <v>8342.7274592870453</v>
      </c>
      <c r="L38" s="34">
        <f t="shared" si="5"/>
        <v>4.3774995550057002E-3</v>
      </c>
      <c r="M38" s="32">
        <f>+'COLOMBIA USD'!M38+'EL SALVADOR USD'!M38+'VENEZUELA USD'!M38+'PANAMA USD'!M38</f>
        <v>3598.9672052374899</v>
      </c>
      <c r="N38" s="34">
        <f>+M38/$M$20</f>
        <v>1.8781775367058572E-3</v>
      </c>
      <c r="O38" s="34">
        <f>IF(K38=0,"",(M38-K38)/ABS(K38)+1)</f>
        <v>0.43138976105843585</v>
      </c>
      <c r="P38" s="32">
        <f>+'COLOMBIA USD'!P38+'EL SALVADOR USD'!P38+'VENEZUELA USD'!P38+'PANAMA USD'!P38</f>
        <v>11204.173990187981</v>
      </c>
      <c r="Q38" s="34">
        <f t="shared" si="8"/>
        <v>5.9891779081754082E-3</v>
      </c>
      <c r="R38" s="34">
        <f>IF(P38=0,"",(M38-P38)/ABS(P38))</f>
        <v>-0.67878335266934686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15608.469859304301</v>
      </c>
      <c r="D39" s="34">
        <f t="shared" si="13"/>
        <v>6.5630185794552459E-2</v>
      </c>
      <c r="E39" s="32">
        <f>+'COLOMBIA USD'!E39+'EL SALVADOR USD'!E39+'VENEZUELA USD'!E39+'PANAMA USD'!E39</f>
        <v>7349.4229255752562</v>
      </c>
      <c r="F39" s="34">
        <f>+E39/$E$20</f>
        <v>3.2893694029708008E-2</v>
      </c>
      <c r="G39" s="34">
        <f>IF(C39=0,"",(E39-C39)/ABS(C39)+1)</f>
        <v>0.47086120496265182</v>
      </c>
      <c r="H39" s="32">
        <f>+'COLOMBIA USD'!H39+'EL SALVADOR USD'!H39+'VENEZUELA USD'!H39+'PANAMA USD'!H39</f>
        <v>7297.0992156964858</v>
      </c>
      <c r="I39" s="34">
        <f t="shared" si="16"/>
        <v>2.7090684746176329E-2</v>
      </c>
      <c r="J39" s="34">
        <f>IF(H39=0,"",(E39-H39)/ABS(H39))</f>
        <v>7.1704808078008634E-3</v>
      </c>
      <c r="K39" s="32">
        <f>+'COLOMBIA USD'!K39+'EL SALVADOR USD'!K39+'VENEZUELA USD'!K39+'PANAMA USD'!K39</f>
        <v>108887.47928770662</v>
      </c>
      <c r="L39" s="34">
        <f t="shared" si="5"/>
        <v>5.7134179973363564E-2</v>
      </c>
      <c r="M39" s="32">
        <f>+'COLOMBIA USD'!M39+'EL SALVADOR USD'!M39+'VENEZUELA USD'!M39+'PANAMA USD'!M39</f>
        <v>61598.684815591776</v>
      </c>
      <c r="N39" s="34">
        <f>+M39/$M$20</f>
        <v>3.2146240716754253E-2</v>
      </c>
      <c r="O39" s="34">
        <f>IF(K39=0,"",(M39-K39)/ABS(K39)+1)</f>
        <v>0.56570953077932318</v>
      </c>
      <c r="P39" s="32">
        <f>+'COLOMBIA USD'!P39+'EL SALVADOR USD'!P39+'VENEZUELA USD'!P39+'PANAMA USD'!P39</f>
        <v>59161.170818091057</v>
      </c>
      <c r="Q39" s="34">
        <f t="shared" si="8"/>
        <v>3.1624533642176843E-2</v>
      </c>
      <c r="R39" s="34">
        <f>IF(P39=0,"",(M39-P39)/ABS(P39))</f>
        <v>4.1201246760237287E-2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39491.336169635229</v>
      </c>
      <c r="D41" s="34">
        <f t="shared" si="13"/>
        <v>0.16605239036568906</v>
      </c>
      <c r="E41" s="32">
        <f>E36+E38-E39</f>
        <v>33874.078921907989</v>
      </c>
      <c r="F41" s="34">
        <f>+E41/$E$20</f>
        <v>0.15160967042976484</v>
      </c>
      <c r="G41" s="34">
        <f>IF(C41=0,"",(E41-C41)/ABS(C41)+1)</f>
        <v>0.85775975713765962</v>
      </c>
      <c r="H41" s="32">
        <f>H36+H38-H39</f>
        <v>94174.881738466211</v>
      </c>
      <c r="I41" s="34">
        <f t="shared" si="16"/>
        <v>0.34962688004807624</v>
      </c>
      <c r="J41" s="34">
        <f>IF(H41=0,"",(E41-H41)/ABS(H41))</f>
        <v>-0.6403066476262752</v>
      </c>
      <c r="K41" s="32">
        <f>K36+K38-K39</f>
        <v>352895.95748373814</v>
      </c>
      <c r="L41" s="34">
        <f t="shared" si="5"/>
        <v>0.18516748921585777</v>
      </c>
      <c r="M41" s="32">
        <f>+'COLOMBIA USD'!M41+'EL SALVADOR USD'!M41+'VENEZUELA USD'!M41+'PANAMA USD'!M41</f>
        <v>-18913.120915599389</v>
      </c>
      <c r="N41" s="34">
        <f>+M41/$M$20</f>
        <v>-9.8701090693424191E-3</v>
      </c>
      <c r="O41" s="34">
        <f>IF(K41=0,"",(M41-K41)/ABS(K41)+1)</f>
        <v>-5.3594042421046817E-2</v>
      </c>
      <c r="P41" s="32">
        <f>+'COLOMBIA USD'!P41+'EL SALVADOR USD'!P41+'VENEZUELA USD'!P41+'PANAMA USD'!P41</f>
        <v>-142282.32986043164</v>
      </c>
      <c r="Q41" s="34">
        <f t="shared" si="8"/>
        <v>-7.6056850551419017E-2</v>
      </c>
      <c r="R41" s="34">
        <f>IF(P41=0,"",(M41-P41)/ABS(P41))</f>
        <v>0.8670732976178297</v>
      </c>
    </row>
    <row r="42" spans="2:29" x14ac:dyDescent="0.2">
      <c r="B42" s="3" t="s">
        <v>44</v>
      </c>
      <c r="C42" s="32">
        <f>+'COLOMBIA USD'!C42+'EL SALVADOR USD'!C42+'VENEZUELA USD'!C42+'PANAMA USD'!C42</f>
        <v>16882.674610757902</v>
      </c>
      <c r="D42" s="34">
        <f t="shared" si="13"/>
        <v>7.0987936767710869E-2</v>
      </c>
      <c r="E42" s="32">
        <f>+'COLOMBIA USD'!E42+'EL SALVADOR USD'!E42+'VENEZUELA USD'!E42+'PANAMA USD'!E42</f>
        <v>697.55210549213871</v>
      </c>
      <c r="F42" s="34">
        <f>+E42/$E$20</f>
        <v>3.1220227438525116E-3</v>
      </c>
      <c r="G42" s="34">
        <f>IF(C42=0,"",(E42-C42)/ABS(C42)+1)</f>
        <v>4.1317630148936746E-2</v>
      </c>
      <c r="H42" s="32">
        <f>+'COLOMBIA USD'!H42+'EL SALVADOR USD'!H42+'VENEZUELA USD'!H42+'PANAMA USD'!H42</f>
        <v>13501.286675225747</v>
      </c>
      <c r="I42" s="34">
        <f t="shared" si="16"/>
        <v>5.0123904057590818E-2</v>
      </c>
      <c r="J42" s="34">
        <f>IF(H42=0,"",(E42-H42)/ABS(H42))</f>
        <v>-0.94833439787838025</v>
      </c>
      <c r="K42" s="32">
        <f>+'COLOMBIA USD'!K42+'EL SALVADOR USD'!K42+'VENEZUELA USD'!K42+'PANAMA USD'!K42</f>
        <v>119521.41155517075</v>
      </c>
      <c r="L42" s="34">
        <f t="shared" si="5"/>
        <v>6.271389404120907E-2</v>
      </c>
      <c r="M42" s="32">
        <f>+'COLOMBIA USD'!M42+'EL SALVADOR USD'!M42+'VENEZUELA USD'!M42+'PANAMA USD'!M42</f>
        <v>32675.914414791205</v>
      </c>
      <c r="N42" s="34">
        <f>+M42/$M$20</f>
        <v>1.7052438920774821E-2</v>
      </c>
      <c r="O42" s="34">
        <f>IF(K42=0,"",(M42-K42)/ABS(K42)+1)</f>
        <v>0.27338962943646372</v>
      </c>
      <c r="P42" s="32">
        <f>+'COLOMBIA USD'!P42+'EL SALVADOR USD'!P42+'VENEZUELA USD'!P42+'PANAMA USD'!P42</f>
        <v>77774.037462922206</v>
      </c>
      <c r="Q42" s="34">
        <f t="shared" si="8"/>
        <v>4.157401941548438E-2</v>
      </c>
      <c r="R42" s="34">
        <f>IF(P42=0,"",(M42-P42)/ABS(P42))</f>
        <v>-0.57986089599155721</v>
      </c>
    </row>
    <row r="43" spans="2:29" x14ac:dyDescent="0.2">
      <c r="B43" s="20" t="s">
        <v>59</v>
      </c>
      <c r="C43" s="69">
        <f>+C41-C42</f>
        <v>22608.661558877327</v>
      </c>
      <c r="D43" s="45">
        <f t="shared" si="13"/>
        <v>9.5064453597978188E-2</v>
      </c>
      <c r="E43" s="69">
        <f>E41-E42</f>
        <v>33176.526816415848</v>
      </c>
      <c r="F43" s="45">
        <f>+E43/$E$20</f>
        <v>0.14848764768591233</v>
      </c>
      <c r="G43" s="45">
        <f>IF(C43=0,"",(E43-C43)/ABS(C43)+1)</f>
        <v>1.4674255143329806</v>
      </c>
      <c r="H43" s="69">
        <f>+H41-H42</f>
        <v>80673.595063240471</v>
      </c>
      <c r="I43" s="45">
        <f t="shared" si="16"/>
        <v>0.29950297599048542</v>
      </c>
      <c r="J43" s="45">
        <f>IF(H43=0,"",(E43-H43)/ABS(H43))</f>
        <v>-0.58875606336362485</v>
      </c>
      <c r="K43" s="69">
        <f>+K41-K42</f>
        <v>233374.54592856739</v>
      </c>
      <c r="L43" s="45">
        <f t="shared" si="5"/>
        <v>0.12245359517464868</v>
      </c>
      <c r="M43" s="69">
        <f>+M41-M42</f>
        <v>-51589.035330390594</v>
      </c>
      <c r="N43" s="45">
        <f>+M43/$M$20</f>
        <v>-2.692254799011724E-2</v>
      </c>
      <c r="O43" s="45">
        <f>IF(K43=0,"",(M43-K43)/ABS(K43)+1)</f>
        <v>-0.22105682145036187</v>
      </c>
      <c r="P43" s="69">
        <f>P41-P42</f>
        <v>-220056.36732335383</v>
      </c>
      <c r="Q43" s="45">
        <f t="shared" si="8"/>
        <v>-0.11763086996690339</v>
      </c>
      <c r="R43" s="45">
        <f>IF(P43=0,"",(M43-P43)/ABS(P43))</f>
        <v>0.76556445079098778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83</v>
      </c>
      <c r="C45" s="32">
        <f>+'COLOMBIA USD'!C45+'EL SALVADOR USD'!C45+'VENEZUELA USD'!C45+'PANAMA USD'!C45</f>
        <v>39824.353631209233</v>
      </c>
      <c r="D45" s="34">
        <f t="shared" si="13"/>
        <v>0.16745265561096573</v>
      </c>
      <c r="E45" s="32">
        <f>+'COLOMBIA USD'!E45+'EL SALVADOR USD'!E45+'VENEZUELA USD'!E45+'PANAMA USD'!E45</f>
        <v>23145.929871020347</v>
      </c>
      <c r="F45" s="34">
        <f>+E45/$E$20</f>
        <v>0.10359386620151939</v>
      </c>
      <c r="G45" s="34">
        <f>IF(C45=0,"",(E45-C45)/ABS(C45)+1)</f>
        <v>0.58120039022758996</v>
      </c>
      <c r="H45" s="32">
        <f>+'COLOMBIA USD'!H45+'EL SALVADOR USD'!H45+'VENEZUELA USD'!H45+'PANAMA USD'!H45</f>
        <v>61676.060861009566</v>
      </c>
      <c r="I45" s="34">
        <f t="shared" si="16"/>
        <v>0.22897409940343227</v>
      </c>
      <c r="J45" s="34">
        <f>IF(H45=0,"",(E45-H45)/ABS(H45))</f>
        <v>-0.62471776653860911</v>
      </c>
      <c r="K45" s="32">
        <f>+'COLOMBIA USD'!K45+'EL SALVADOR USD'!K45+'VENEZUELA USD'!K45+'PANAMA USD'!K45</f>
        <v>308688.13417051494</v>
      </c>
      <c r="L45" s="34">
        <f t="shared" si="5"/>
        <v>0.16197127097358724</v>
      </c>
      <c r="M45" s="32">
        <f>+'COLOMBIA USD'!M45+'EL SALVADOR USD'!M45+'VENEZUELA USD'!M45+'PANAMA USD'!M45</f>
        <v>240195.3953152691</v>
      </c>
      <c r="N45" s="34">
        <f>+M45/$M$20</f>
        <v>0.12534973790391971</v>
      </c>
      <c r="O45" s="34">
        <f>IF(K45=0,"",(M45-K45)/ABS(K45)+1)</f>
        <v>0.77811670980067071</v>
      </c>
      <c r="P45" s="32">
        <f>+'COLOMBIA USD'!P45+'EL SALVADOR USD'!P45+'VENEZUELA USD'!P45+'PANAMA USD'!P45</f>
        <v>388526.02009866573</v>
      </c>
      <c r="Q45" s="34">
        <f t="shared" si="8"/>
        <v>0.20768612290063179</v>
      </c>
      <c r="R45" s="34">
        <f>IF(P45=0,"",(M45-P45)/ABS(P45))</f>
        <v>-0.38177784011924926</v>
      </c>
    </row>
    <row r="46" spans="2:29" x14ac:dyDescent="0.2">
      <c r="B46" s="3" t="s">
        <v>35</v>
      </c>
      <c r="C46" s="32">
        <f>+'COLOMBIA USD'!C46+'EL SALVADOR USD'!C46+'VENEZUELA USD'!C46+'PANAMA USD'!C46</f>
        <v>99900.045989135004</v>
      </c>
      <c r="D46" s="34">
        <f t="shared" si="13"/>
        <v>0.42005774033275411</v>
      </c>
      <c r="E46" s="32">
        <f>+'COLOMBIA USD'!E46+'EL SALVADOR USD'!E46+'VENEZUELA USD'!E46+'PANAMA USD'!E46</f>
        <v>109955.94922040666</v>
      </c>
      <c r="F46" s="34">
        <f>+E46/$E$20</f>
        <v>0.49212807413978943</v>
      </c>
      <c r="G46" s="34">
        <f>IF(C46=0,"",(E46-C46)/ABS(C46)+1)</f>
        <v>1.1006596456658821</v>
      </c>
      <c r="H46" s="32">
        <f>+'COLOMBIA USD'!H46+'EL SALVADOR USD'!H46+'VENEZUELA USD'!H46+'PANAMA USD'!H46</f>
        <v>107247.00889712057</v>
      </c>
      <c r="I46" s="34">
        <f t="shared" si="16"/>
        <v>0.39815751740809385</v>
      </c>
      <c r="J46" s="34">
        <f>IF(H46=0,"",(E46-H46)/ABS(H46))</f>
        <v>2.5258889279464319E-2</v>
      </c>
      <c r="K46" s="32">
        <f>+'COLOMBIA USD'!K46+'EL SALVADOR USD'!K46+'VENEZUELA USD'!K46+'PANAMA USD'!K46</f>
        <v>826348.58788971684</v>
      </c>
      <c r="L46" s="34">
        <f t="shared" si="5"/>
        <v>0.43359208285535389</v>
      </c>
      <c r="M46" s="32">
        <f>+'COLOMBIA USD'!M46+'EL SALVADOR USD'!M46+'VENEZUELA USD'!M46+'PANAMA USD'!M46</f>
        <v>888057.49671247823</v>
      </c>
      <c r="N46" s="34">
        <f>+M46/$M$20</f>
        <v>0.46344674638916261</v>
      </c>
      <c r="O46" s="34">
        <f>IF(K46=0,"",(M46-K46)/ABS(K46)+1)</f>
        <v>1.0746766070967098</v>
      </c>
      <c r="P46" s="32">
        <f>+'COLOMBIA USD'!P46+'EL SALVADOR USD'!P46+'VENEZUELA USD'!P46+'PANAMA USD'!P46</f>
        <v>810183.46044667042</v>
      </c>
      <c r="Q46" s="34">
        <f t="shared" si="8"/>
        <v>0.43308260717173058</v>
      </c>
      <c r="R46" s="34">
        <f>IF(P46=0,"",(M46-P46)/ABS(P46))</f>
        <v>9.6119015096746474E-2</v>
      </c>
    </row>
  </sheetData>
  <conditionalFormatting sqref="D9:D46 G10:G46 J10:J46">
    <cfRule type="cellIs" dxfId="1" priority="2" operator="lessThan">
      <formula>0</formula>
    </cfRule>
  </conditionalFormatting>
  <conditionalFormatting sqref="R10:R46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CB00-241A-40BA-851F-7AC96FC0FD47}">
  <dimension ref="A6:V594"/>
  <sheetViews>
    <sheetView topLeftCell="A39" workbookViewId="0">
      <selection activeCell="A60" sqref="A60:A87"/>
    </sheetView>
  </sheetViews>
  <sheetFormatPr baseColWidth="10" defaultColWidth="11.42578125" defaultRowHeight="12" x14ac:dyDescent="0.2"/>
  <cols>
    <col min="1" max="1" width="40.85546875" style="121" customWidth="1"/>
    <col min="2" max="2" width="44.42578125" style="121" customWidth="1"/>
    <col min="3" max="3" width="29.140625" style="121" customWidth="1"/>
    <col min="4" max="4" width="8" style="121" customWidth="1"/>
    <col min="5" max="5" width="22.85546875" style="121" bestFit="1" customWidth="1"/>
    <col min="6" max="6" width="36.42578125" style="121" bestFit="1" customWidth="1"/>
    <col min="7" max="7" width="13.42578125" style="123" bestFit="1" customWidth="1"/>
    <col min="8" max="18" width="30.5703125" style="123" bestFit="1" customWidth="1"/>
    <col min="19" max="19" width="14.140625" style="123" bestFit="1" customWidth="1"/>
    <col min="20" max="22" width="11.42578125" style="123"/>
    <col min="23" max="16384" width="11.42578125" style="121"/>
  </cols>
  <sheetData>
    <row r="6" spans="1:2" x14ac:dyDescent="0.2">
      <c r="A6" s="119" t="s">
        <v>64</v>
      </c>
      <c r="B6" s="120" t="s">
        <v>149</v>
      </c>
    </row>
    <row r="7" spans="1:2" x14ac:dyDescent="0.2">
      <c r="A7" s="119" t="s">
        <v>66</v>
      </c>
      <c r="B7" s="120" t="s">
        <v>150</v>
      </c>
    </row>
    <row r="8" spans="1:2" x14ac:dyDescent="0.2">
      <c r="A8" s="119" t="s">
        <v>68</v>
      </c>
      <c r="B8" s="120" t="s">
        <v>151</v>
      </c>
    </row>
    <row r="9" spans="1:2" x14ac:dyDescent="0.2">
      <c r="A9" s="119" t="s">
        <v>77</v>
      </c>
      <c r="B9" s="120" t="s">
        <v>152</v>
      </c>
    </row>
    <row r="10" spans="1:2" x14ac:dyDescent="0.2">
      <c r="A10" s="119" t="s">
        <v>153</v>
      </c>
      <c r="B10" s="120" t="s">
        <v>154</v>
      </c>
    </row>
    <row r="11" spans="1:2" x14ac:dyDescent="0.2">
      <c r="A11" s="119">
        <v>4170250500</v>
      </c>
      <c r="B11" s="120" t="s">
        <v>155</v>
      </c>
    </row>
    <row r="12" spans="1:2" x14ac:dyDescent="0.2">
      <c r="A12" s="119" t="s">
        <v>79</v>
      </c>
      <c r="B12" s="120" t="s">
        <v>156</v>
      </c>
    </row>
    <row r="13" spans="1:2" x14ac:dyDescent="0.2">
      <c r="A13" s="119" t="s">
        <v>157</v>
      </c>
      <c r="B13" s="120" t="s">
        <v>158</v>
      </c>
    </row>
    <row r="14" spans="1:2" x14ac:dyDescent="0.2">
      <c r="A14" s="119" t="s">
        <v>73</v>
      </c>
      <c r="B14" s="120" t="s">
        <v>159</v>
      </c>
    </row>
    <row r="15" spans="1:2" x14ac:dyDescent="0.2">
      <c r="A15" s="119">
        <v>4155951000</v>
      </c>
      <c r="B15" s="120" t="s">
        <v>160</v>
      </c>
    </row>
    <row r="16" spans="1:2" x14ac:dyDescent="0.2">
      <c r="A16" s="119">
        <v>4155951500</v>
      </c>
      <c r="B16" s="120" t="s">
        <v>161</v>
      </c>
    </row>
    <row r="33" spans="1:19" x14ac:dyDescent="0.2">
      <c r="B33" s="122" t="s">
        <v>162</v>
      </c>
      <c r="D33" s="121" t="s">
        <v>163</v>
      </c>
    </row>
    <row r="34" spans="1:19" x14ac:dyDescent="0.2">
      <c r="A34" s="121" t="s">
        <v>164</v>
      </c>
      <c r="B34" s="122" t="s">
        <v>165</v>
      </c>
    </row>
    <row r="35" spans="1:19" x14ac:dyDescent="0.2">
      <c r="A35" s="121" t="s">
        <v>166</v>
      </c>
      <c r="B35" s="122" t="s">
        <v>167</v>
      </c>
    </row>
    <row r="36" spans="1:19" x14ac:dyDescent="0.2">
      <c r="A36" s="121" t="s">
        <v>168</v>
      </c>
      <c r="B36" s="122" t="s">
        <v>169</v>
      </c>
    </row>
    <row r="37" spans="1:19" x14ac:dyDescent="0.2">
      <c r="A37" s="121" t="s">
        <v>170</v>
      </c>
      <c r="B37" s="122" t="s">
        <v>171</v>
      </c>
    </row>
    <row r="38" spans="1:19" x14ac:dyDescent="0.2">
      <c r="B38" s="122"/>
    </row>
    <row r="39" spans="1:19" x14ac:dyDescent="0.2">
      <c r="B39" s="122"/>
    </row>
    <row r="40" spans="1:19" x14ac:dyDescent="0.2">
      <c r="B40" s="122"/>
    </row>
    <row r="41" spans="1:19" x14ac:dyDescent="0.2">
      <c r="B41" s="122" t="s">
        <v>172</v>
      </c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</row>
    <row r="42" spans="1:19" x14ac:dyDescent="0.2">
      <c r="A42" s="124"/>
      <c r="B42" s="121" t="s">
        <v>173</v>
      </c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</row>
    <row r="43" spans="1:19" x14ac:dyDescent="0.2">
      <c r="A43" s="124" t="s">
        <v>174</v>
      </c>
      <c r="B43" s="120" t="s">
        <v>175</v>
      </c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</row>
    <row r="44" spans="1:19" x14ac:dyDescent="0.2">
      <c r="A44" s="121" t="s">
        <v>176</v>
      </c>
      <c r="B44" s="120" t="s">
        <v>177</v>
      </c>
      <c r="G44" s="121"/>
    </row>
    <row r="45" spans="1:19" x14ac:dyDescent="0.2">
      <c r="A45" s="124" t="s">
        <v>178</v>
      </c>
      <c r="B45" s="120" t="s">
        <v>179</v>
      </c>
      <c r="G45" s="121"/>
    </row>
    <row r="46" spans="1:19" x14ac:dyDescent="0.2">
      <c r="A46" s="119">
        <v>5295400000</v>
      </c>
      <c r="B46" s="120" t="s">
        <v>180</v>
      </c>
      <c r="G46" s="121"/>
    </row>
    <row r="47" spans="1:19" x14ac:dyDescent="0.2">
      <c r="A47" s="119">
        <v>5235500000</v>
      </c>
      <c r="B47" s="120" t="s">
        <v>181</v>
      </c>
    </row>
    <row r="48" spans="1:19" x14ac:dyDescent="0.2">
      <c r="A48" s="124" t="s">
        <v>182</v>
      </c>
      <c r="B48" s="120" t="s">
        <v>183</v>
      </c>
    </row>
    <row r="49" spans="1:5" x14ac:dyDescent="0.2">
      <c r="A49" s="124" t="s">
        <v>184</v>
      </c>
      <c r="B49" s="120" t="s">
        <v>185</v>
      </c>
    </row>
    <row r="50" spans="1:5" x14ac:dyDescent="0.2">
      <c r="A50" s="124" t="s">
        <v>186</v>
      </c>
      <c r="B50" s="120" t="s">
        <v>187</v>
      </c>
    </row>
    <row r="51" spans="1:5" x14ac:dyDescent="0.2">
      <c r="A51" s="125">
        <v>5295950300</v>
      </c>
      <c r="B51" s="120" t="s">
        <v>188</v>
      </c>
    </row>
    <row r="52" spans="1:5" x14ac:dyDescent="0.2">
      <c r="A52" s="124" t="s">
        <v>189</v>
      </c>
      <c r="B52" s="120" t="s">
        <v>190</v>
      </c>
    </row>
    <row r="53" spans="1:5" x14ac:dyDescent="0.2">
      <c r="A53" s="119">
        <v>5240200100</v>
      </c>
      <c r="B53" s="120" t="s">
        <v>191</v>
      </c>
    </row>
    <row r="54" spans="1:5" x14ac:dyDescent="0.2">
      <c r="A54" s="119">
        <v>5235150000</v>
      </c>
      <c r="B54" s="120" t="s">
        <v>192</v>
      </c>
    </row>
    <row r="55" spans="1:5" x14ac:dyDescent="0.2">
      <c r="A55" s="119">
        <v>5235100000</v>
      </c>
      <c r="B55" s="120" t="s">
        <v>193</v>
      </c>
    </row>
    <row r="56" spans="1:5" x14ac:dyDescent="0.2">
      <c r="A56" s="124" t="s">
        <v>194</v>
      </c>
      <c r="B56" s="120" t="s">
        <v>195</v>
      </c>
    </row>
    <row r="57" spans="1:5" x14ac:dyDescent="0.2">
      <c r="A57" s="119">
        <v>5299100000</v>
      </c>
      <c r="B57" s="120" t="s">
        <v>196</v>
      </c>
    </row>
    <row r="58" spans="1:5" x14ac:dyDescent="0.2">
      <c r="A58" s="125" t="s">
        <v>197</v>
      </c>
      <c r="B58" s="126" t="s">
        <v>198</v>
      </c>
    </row>
    <row r="59" spans="1:5" x14ac:dyDescent="0.2">
      <c r="A59" s="124"/>
      <c r="B59" s="126" t="s">
        <v>199</v>
      </c>
      <c r="C59" s="121" t="str">
        <f>+Paramet!B4</f>
        <v>202408</v>
      </c>
    </row>
    <row r="60" spans="1:5" x14ac:dyDescent="0.2">
      <c r="A60" s="124" t="s">
        <v>200</v>
      </c>
      <c r="B60" s="120" t="s">
        <v>201</v>
      </c>
      <c r="C60" s="127"/>
      <c r="D60" s="127"/>
      <c r="E60" s="128"/>
    </row>
    <row r="61" spans="1:5" x14ac:dyDescent="0.2">
      <c r="A61" s="121" t="s">
        <v>202</v>
      </c>
      <c r="B61" s="120" t="s">
        <v>203</v>
      </c>
      <c r="C61" s="127"/>
      <c r="D61" s="127"/>
      <c r="E61" s="128"/>
    </row>
    <row r="62" spans="1:5" x14ac:dyDescent="0.2">
      <c r="A62" s="124" t="s">
        <v>204</v>
      </c>
      <c r="B62" s="120" t="s">
        <v>205</v>
      </c>
      <c r="C62" s="127"/>
      <c r="D62" s="127"/>
      <c r="E62" s="128"/>
    </row>
    <row r="63" spans="1:5" x14ac:dyDescent="0.2">
      <c r="A63" s="124" t="s">
        <v>206</v>
      </c>
      <c r="B63" s="120" t="s">
        <v>207</v>
      </c>
      <c r="C63" s="127"/>
      <c r="D63" s="127"/>
      <c r="E63" s="128"/>
    </row>
    <row r="64" spans="1:5" x14ac:dyDescent="0.2">
      <c r="A64" s="124" t="s">
        <v>208</v>
      </c>
      <c r="B64" s="120" t="s">
        <v>209</v>
      </c>
      <c r="C64" s="127"/>
      <c r="D64" s="127"/>
      <c r="E64" s="128"/>
    </row>
    <row r="65" spans="1:5" x14ac:dyDescent="0.2">
      <c r="A65" s="124" t="s">
        <v>210</v>
      </c>
      <c r="B65" s="120" t="s">
        <v>211</v>
      </c>
      <c r="C65" s="127"/>
      <c r="D65" s="127"/>
      <c r="E65" s="128"/>
    </row>
    <row r="66" spans="1:5" x14ac:dyDescent="0.2">
      <c r="A66" s="124" t="s">
        <v>212</v>
      </c>
      <c r="B66" s="120" t="s">
        <v>213</v>
      </c>
      <c r="C66" s="127"/>
      <c r="D66" s="127"/>
      <c r="E66" s="128"/>
    </row>
    <row r="67" spans="1:5" x14ac:dyDescent="0.2">
      <c r="A67" s="124" t="s">
        <v>214</v>
      </c>
      <c r="B67" s="120" t="s">
        <v>215</v>
      </c>
      <c r="C67" s="127"/>
      <c r="D67" s="127"/>
      <c r="E67" s="128"/>
    </row>
    <row r="68" spans="1:5" x14ac:dyDescent="0.2">
      <c r="A68" s="119">
        <v>5265100000</v>
      </c>
      <c r="B68" s="120" t="s">
        <v>216</v>
      </c>
      <c r="C68" s="127"/>
      <c r="D68" s="127"/>
      <c r="E68" s="128"/>
    </row>
    <row r="69" spans="1:5" x14ac:dyDescent="0.2">
      <c r="A69" s="124" t="s">
        <v>217</v>
      </c>
      <c r="B69" s="120" t="s">
        <v>218</v>
      </c>
      <c r="C69" s="127"/>
      <c r="D69" s="127"/>
      <c r="E69" s="128"/>
    </row>
    <row r="70" spans="1:5" x14ac:dyDescent="0.2">
      <c r="A70" s="124" t="s">
        <v>219</v>
      </c>
      <c r="B70" s="120" t="s">
        <v>220</v>
      </c>
      <c r="C70" s="127"/>
      <c r="D70" s="127"/>
      <c r="E70" s="128"/>
    </row>
    <row r="71" spans="1:5" x14ac:dyDescent="0.2">
      <c r="A71" s="124" t="s">
        <v>221</v>
      </c>
      <c r="B71" s="120" t="s">
        <v>222</v>
      </c>
      <c r="C71" s="127"/>
      <c r="D71" s="127"/>
      <c r="E71" s="128"/>
    </row>
    <row r="72" spans="1:5" x14ac:dyDescent="0.2">
      <c r="A72" s="124" t="s">
        <v>223</v>
      </c>
      <c r="B72" s="120" t="s">
        <v>224</v>
      </c>
      <c r="C72" s="127"/>
      <c r="D72" s="127"/>
      <c r="E72" s="128"/>
    </row>
    <row r="73" spans="1:5" x14ac:dyDescent="0.2">
      <c r="A73" s="119" t="s">
        <v>225</v>
      </c>
      <c r="B73" s="120" t="s">
        <v>226</v>
      </c>
      <c r="C73" s="127"/>
      <c r="D73" s="127"/>
      <c r="E73" s="128"/>
    </row>
    <row r="74" spans="1:5" x14ac:dyDescent="0.2">
      <c r="A74" s="124" t="s">
        <v>227</v>
      </c>
      <c r="B74" s="120" t="s">
        <v>228</v>
      </c>
      <c r="C74" s="127"/>
      <c r="D74" s="127"/>
      <c r="E74" s="128"/>
    </row>
    <row r="75" spans="1:5" x14ac:dyDescent="0.2">
      <c r="A75" s="119">
        <v>5265150000</v>
      </c>
      <c r="B75" s="120" t="s">
        <v>229</v>
      </c>
      <c r="C75" s="127"/>
      <c r="D75" s="127"/>
      <c r="E75" s="128"/>
    </row>
    <row r="76" spans="1:5" x14ac:dyDescent="0.2">
      <c r="A76" s="124" t="s">
        <v>230</v>
      </c>
      <c r="B76" s="120" t="s">
        <v>231</v>
      </c>
      <c r="C76" s="127"/>
      <c r="D76" s="127"/>
      <c r="E76" s="128"/>
    </row>
    <row r="77" spans="1:5" x14ac:dyDescent="0.2">
      <c r="A77" s="124" t="s">
        <v>232</v>
      </c>
      <c r="B77" s="120" t="s">
        <v>233</v>
      </c>
      <c r="C77" s="127"/>
      <c r="D77" s="127"/>
      <c r="E77" s="128"/>
    </row>
    <row r="78" spans="1:5" x14ac:dyDescent="0.2">
      <c r="A78" s="124" t="s">
        <v>234</v>
      </c>
      <c r="B78" s="120" t="s">
        <v>235</v>
      </c>
      <c r="C78" s="127"/>
      <c r="D78" s="127"/>
      <c r="E78" s="128"/>
    </row>
    <row r="79" spans="1:5" x14ac:dyDescent="0.2">
      <c r="A79" s="124" t="s">
        <v>236</v>
      </c>
      <c r="B79" s="120" t="s">
        <v>237</v>
      </c>
      <c r="C79" s="127"/>
      <c r="D79" s="127"/>
      <c r="E79" s="128"/>
    </row>
    <row r="80" spans="1:5" x14ac:dyDescent="0.2">
      <c r="A80" s="124" t="s">
        <v>238</v>
      </c>
      <c r="B80" s="120" t="s">
        <v>239</v>
      </c>
      <c r="C80" s="127"/>
      <c r="D80" s="127"/>
      <c r="E80" s="128"/>
    </row>
    <row r="81" spans="1:5" x14ac:dyDescent="0.2">
      <c r="A81" s="124" t="s">
        <v>240</v>
      </c>
      <c r="B81" s="120" t="s">
        <v>241</v>
      </c>
      <c r="C81" s="127"/>
      <c r="D81" s="127"/>
      <c r="E81" s="128"/>
    </row>
    <row r="82" spans="1:5" x14ac:dyDescent="0.2">
      <c r="A82" s="119" t="s">
        <v>242</v>
      </c>
      <c r="B82" s="120" t="s">
        <v>243</v>
      </c>
      <c r="C82" s="127"/>
      <c r="D82" s="127"/>
      <c r="E82" s="128"/>
    </row>
    <row r="83" spans="1:5" x14ac:dyDescent="0.2">
      <c r="A83" s="124" t="s">
        <v>244</v>
      </c>
      <c r="B83" s="120" t="s">
        <v>245</v>
      </c>
      <c r="C83" s="127"/>
      <c r="D83" s="127"/>
      <c r="E83" s="128"/>
    </row>
    <row r="84" spans="1:5" x14ac:dyDescent="0.2">
      <c r="A84" s="124" t="s">
        <v>246</v>
      </c>
      <c r="B84" s="120" t="s">
        <v>247</v>
      </c>
      <c r="C84" s="127"/>
      <c r="D84" s="127"/>
      <c r="E84" s="128"/>
    </row>
    <row r="85" spans="1:5" x14ac:dyDescent="0.2">
      <c r="A85" s="124" t="s">
        <v>248</v>
      </c>
      <c r="B85" s="120" t="s">
        <v>249</v>
      </c>
      <c r="C85" s="127"/>
      <c r="D85" s="127"/>
      <c r="E85" s="128"/>
    </row>
    <row r="86" spans="1:5" x14ac:dyDescent="0.2">
      <c r="A86" s="129" t="s">
        <v>250</v>
      </c>
      <c r="B86" s="120" t="s">
        <v>251</v>
      </c>
      <c r="C86" s="127"/>
      <c r="D86" s="127"/>
      <c r="E86" s="128"/>
    </row>
    <row r="87" spans="1:5" x14ac:dyDescent="0.2">
      <c r="A87" s="124" t="s">
        <v>252</v>
      </c>
      <c r="B87" s="120" t="s">
        <v>253</v>
      </c>
      <c r="C87" s="127"/>
      <c r="D87" s="127"/>
      <c r="E87" s="128"/>
    </row>
    <row r="88" spans="1:5" x14ac:dyDescent="0.2">
      <c r="A88" s="124"/>
      <c r="B88" s="126" t="s">
        <v>254</v>
      </c>
      <c r="C88" s="128"/>
      <c r="D88" s="130"/>
      <c r="E88" s="131"/>
    </row>
    <row r="89" spans="1:5" x14ac:dyDescent="0.2">
      <c r="A89" s="124" t="s">
        <v>255</v>
      </c>
      <c r="B89" s="120" t="s">
        <v>256</v>
      </c>
    </row>
    <row r="90" spans="1:5" x14ac:dyDescent="0.2">
      <c r="A90" s="119">
        <v>5105180100</v>
      </c>
      <c r="B90" s="120" t="s">
        <v>257</v>
      </c>
    </row>
    <row r="91" spans="1:5" x14ac:dyDescent="0.2">
      <c r="A91" s="121" t="s">
        <v>258</v>
      </c>
      <c r="B91" s="120" t="s">
        <v>259</v>
      </c>
    </row>
    <row r="92" spans="1:5" x14ac:dyDescent="0.2">
      <c r="A92" s="119">
        <v>5105480100</v>
      </c>
      <c r="B92" s="120" t="s">
        <v>260</v>
      </c>
    </row>
    <row r="93" spans="1:5" x14ac:dyDescent="0.2">
      <c r="A93" s="124" t="s">
        <v>261</v>
      </c>
      <c r="B93" s="120" t="s">
        <v>262</v>
      </c>
    </row>
    <row r="94" spans="1:5" x14ac:dyDescent="0.2">
      <c r="A94" s="124" t="s">
        <v>263</v>
      </c>
      <c r="B94" s="120" t="s">
        <v>264</v>
      </c>
    </row>
    <row r="95" spans="1:5" x14ac:dyDescent="0.2">
      <c r="A95" s="124"/>
      <c r="B95" s="126" t="s">
        <v>265</v>
      </c>
    </row>
    <row r="96" spans="1:5" x14ac:dyDescent="0.2">
      <c r="A96" s="119">
        <v>5105180000</v>
      </c>
      <c r="B96" s="120" t="s">
        <v>266</v>
      </c>
      <c r="C96" s="127"/>
      <c r="E96" s="128"/>
    </row>
    <row r="97" spans="1:5" x14ac:dyDescent="0.2">
      <c r="A97" s="124" t="s">
        <v>267</v>
      </c>
      <c r="B97" s="120" t="s">
        <v>268</v>
      </c>
      <c r="C97" s="127"/>
      <c r="E97" s="128"/>
    </row>
    <row r="98" spans="1:5" x14ac:dyDescent="0.2">
      <c r="A98" s="124" t="s">
        <v>269</v>
      </c>
      <c r="B98" s="120" t="s">
        <v>270</v>
      </c>
      <c r="C98" s="127"/>
      <c r="E98" s="128"/>
    </row>
    <row r="99" spans="1:5" x14ac:dyDescent="0.2">
      <c r="A99" s="124" t="s">
        <v>271</v>
      </c>
      <c r="B99" s="120" t="s">
        <v>272</v>
      </c>
      <c r="C99" s="127"/>
      <c r="E99" s="128"/>
    </row>
    <row r="100" spans="1:5" x14ac:dyDescent="0.2">
      <c r="A100" s="119" t="s">
        <v>273</v>
      </c>
      <c r="B100" s="120" t="s">
        <v>274</v>
      </c>
      <c r="C100" s="127"/>
      <c r="E100" s="128"/>
    </row>
    <row r="101" spans="1:5" x14ac:dyDescent="0.2">
      <c r="A101" s="124" t="s">
        <v>275</v>
      </c>
      <c r="B101" s="120" t="s">
        <v>276</v>
      </c>
      <c r="C101" s="127"/>
      <c r="E101" s="128"/>
    </row>
    <row r="102" spans="1:5" x14ac:dyDescent="0.2">
      <c r="A102" s="124" t="s">
        <v>277</v>
      </c>
      <c r="B102" s="120" t="s">
        <v>278</v>
      </c>
      <c r="C102" s="127"/>
      <c r="E102" s="128"/>
    </row>
    <row r="103" spans="1:5" x14ac:dyDescent="0.2">
      <c r="A103" s="119" t="s">
        <v>279</v>
      </c>
      <c r="B103" s="120" t="s">
        <v>280</v>
      </c>
      <c r="C103" s="127"/>
      <c r="E103" s="128"/>
    </row>
    <row r="104" spans="1:5" x14ac:dyDescent="0.2">
      <c r="A104" s="119" t="s">
        <v>281</v>
      </c>
      <c r="B104" s="120" t="s">
        <v>282</v>
      </c>
      <c r="C104" s="127"/>
      <c r="E104" s="128"/>
    </row>
    <row r="105" spans="1:5" x14ac:dyDescent="0.2">
      <c r="A105" s="119">
        <v>5120100000</v>
      </c>
      <c r="B105" s="120" t="s">
        <v>283</v>
      </c>
      <c r="C105" s="127"/>
      <c r="E105" s="128"/>
    </row>
    <row r="106" spans="1:5" x14ac:dyDescent="0.2">
      <c r="A106" s="124" t="s">
        <v>284</v>
      </c>
      <c r="B106" s="120" t="s">
        <v>285</v>
      </c>
      <c r="C106" s="127"/>
      <c r="E106" s="128"/>
    </row>
    <row r="107" spans="1:5" x14ac:dyDescent="0.2">
      <c r="A107" s="124" t="s">
        <v>286</v>
      </c>
      <c r="B107" s="120" t="s">
        <v>287</v>
      </c>
      <c r="C107" s="127"/>
      <c r="E107" s="128"/>
    </row>
    <row r="108" spans="1:5" x14ac:dyDescent="0.2">
      <c r="A108" s="124" t="s">
        <v>288</v>
      </c>
      <c r="B108" s="120" t="s">
        <v>289</v>
      </c>
      <c r="C108" s="127"/>
      <c r="E108" s="128"/>
    </row>
    <row r="109" spans="1:5" x14ac:dyDescent="0.2">
      <c r="A109" s="124" t="s">
        <v>290</v>
      </c>
      <c r="B109" s="120" t="s">
        <v>291</v>
      </c>
      <c r="C109" s="127"/>
      <c r="E109" s="128"/>
    </row>
    <row r="110" spans="1:5" x14ac:dyDescent="0.2">
      <c r="A110" s="124" t="s">
        <v>292</v>
      </c>
      <c r="B110" s="120" t="s">
        <v>293</v>
      </c>
      <c r="C110" s="127"/>
      <c r="E110" s="128"/>
    </row>
    <row r="111" spans="1:5" x14ac:dyDescent="0.2">
      <c r="A111" s="124" t="s">
        <v>294</v>
      </c>
      <c r="B111" s="120" t="s">
        <v>295</v>
      </c>
      <c r="C111" s="127"/>
      <c r="E111" s="128"/>
    </row>
    <row r="112" spans="1:5" x14ac:dyDescent="0.2">
      <c r="A112" s="124" t="s">
        <v>296</v>
      </c>
      <c r="B112" s="120" t="s">
        <v>297</v>
      </c>
      <c r="C112" s="127"/>
      <c r="E112" s="128"/>
    </row>
    <row r="113" spans="1:11" x14ac:dyDescent="0.2">
      <c r="A113" s="124" t="s">
        <v>298</v>
      </c>
      <c r="B113" s="120" t="s">
        <v>299</v>
      </c>
      <c r="C113" s="127"/>
      <c r="E113" s="128"/>
    </row>
    <row r="114" spans="1:11" x14ac:dyDescent="0.2">
      <c r="A114" s="124" t="s">
        <v>300</v>
      </c>
      <c r="B114" s="120" t="s">
        <v>301</v>
      </c>
      <c r="C114" s="127"/>
      <c r="E114" s="128"/>
    </row>
    <row r="115" spans="1:11" x14ac:dyDescent="0.2">
      <c r="A115" s="124" t="s">
        <v>302</v>
      </c>
      <c r="B115" s="120" t="s">
        <v>303</v>
      </c>
      <c r="C115" s="127"/>
      <c r="E115" s="128"/>
    </row>
    <row r="116" spans="1:11" x14ac:dyDescent="0.2">
      <c r="A116" s="119" t="s">
        <v>304</v>
      </c>
      <c r="B116" s="120" t="s">
        <v>305</v>
      </c>
      <c r="C116" s="127"/>
      <c r="E116" s="128"/>
    </row>
    <row r="117" spans="1:11" x14ac:dyDescent="0.2">
      <c r="A117" s="124" t="s">
        <v>306</v>
      </c>
      <c r="B117" s="120" t="s">
        <v>307</v>
      </c>
      <c r="C117" s="127"/>
      <c r="E117" s="128"/>
    </row>
    <row r="118" spans="1:11" x14ac:dyDescent="0.2">
      <c r="A118" s="124" t="s">
        <v>308</v>
      </c>
      <c r="B118" s="120" t="s">
        <v>309</v>
      </c>
      <c r="C118" s="127"/>
      <c r="E118" s="128"/>
    </row>
    <row r="119" spans="1:11" x14ac:dyDescent="0.2">
      <c r="A119" s="124" t="s">
        <v>310</v>
      </c>
      <c r="B119" s="120" t="s">
        <v>311</v>
      </c>
      <c r="C119" s="127"/>
      <c r="E119" s="128"/>
    </row>
    <row r="120" spans="1:11" x14ac:dyDescent="0.2">
      <c r="A120" s="124" t="s">
        <v>312</v>
      </c>
      <c r="B120" s="120" t="s">
        <v>313</v>
      </c>
      <c r="C120" s="127"/>
      <c r="E120" s="128"/>
    </row>
    <row r="121" spans="1:11" x14ac:dyDescent="0.2">
      <c r="A121" s="119" t="s">
        <v>314</v>
      </c>
      <c r="B121" s="120" t="s">
        <v>315</v>
      </c>
      <c r="C121" s="127"/>
      <c r="E121" s="128"/>
    </row>
    <row r="122" spans="1:11" x14ac:dyDescent="0.2">
      <c r="A122" s="124" t="s">
        <v>316</v>
      </c>
      <c r="B122" s="120" t="s">
        <v>317</v>
      </c>
      <c r="C122" s="127"/>
      <c r="E122" s="128"/>
    </row>
    <row r="123" spans="1:11" x14ac:dyDescent="0.2">
      <c r="A123" s="124" t="s">
        <v>318</v>
      </c>
      <c r="B123" s="120" t="s">
        <v>319</v>
      </c>
      <c r="C123" s="127"/>
      <c r="E123" s="128"/>
    </row>
    <row r="124" spans="1:11" x14ac:dyDescent="0.2">
      <c r="A124" s="124" t="s">
        <v>320</v>
      </c>
      <c r="B124" s="120" t="s">
        <v>321</v>
      </c>
      <c r="C124" s="127"/>
      <c r="E124" s="128"/>
    </row>
    <row r="125" spans="1:11" x14ac:dyDescent="0.2">
      <c r="A125" s="124" t="s">
        <v>322</v>
      </c>
      <c r="B125" s="120" t="s">
        <v>323</v>
      </c>
      <c r="C125" s="127"/>
      <c r="E125" s="128"/>
    </row>
    <row r="126" spans="1:11" x14ac:dyDescent="0.2">
      <c r="A126" s="124" t="s">
        <v>324</v>
      </c>
      <c r="B126" s="120" t="s">
        <v>325</v>
      </c>
      <c r="C126" s="127"/>
      <c r="E126" s="121" t="s">
        <v>326</v>
      </c>
      <c r="G126" s="121"/>
      <c r="H126" s="121"/>
      <c r="I126" s="121"/>
      <c r="J126" s="121"/>
      <c r="K126" s="121"/>
    </row>
    <row r="127" spans="1:11" x14ac:dyDescent="0.2">
      <c r="A127" s="124"/>
      <c r="B127" s="126" t="s">
        <v>327</v>
      </c>
      <c r="C127" s="128"/>
      <c r="D127" s="128"/>
      <c r="E127" s="121" t="s">
        <v>328</v>
      </c>
      <c r="F127" s="121" t="s">
        <v>329</v>
      </c>
      <c r="G127" s="121" t="s">
        <v>109</v>
      </c>
      <c r="H127" s="121"/>
      <c r="I127" s="121"/>
      <c r="J127" s="121"/>
      <c r="K127" s="121"/>
    </row>
    <row r="128" spans="1:11" x14ac:dyDescent="0.2">
      <c r="A128" s="124" t="s">
        <v>330</v>
      </c>
      <c r="B128" s="120" t="s">
        <v>331</v>
      </c>
      <c r="E128" s="121" t="s">
        <v>332</v>
      </c>
      <c r="F128" s="121" t="s">
        <v>333</v>
      </c>
      <c r="G128" s="132">
        <v>-2083333</v>
      </c>
      <c r="H128" s="121"/>
      <c r="I128" s="121"/>
      <c r="J128" s="121"/>
      <c r="K128" s="121"/>
    </row>
    <row r="129" spans="1:11" x14ac:dyDescent="0.2">
      <c r="A129" s="124" t="s">
        <v>334</v>
      </c>
      <c r="B129" s="120" t="s">
        <v>335</v>
      </c>
      <c r="E129" s="121" t="s">
        <v>336</v>
      </c>
      <c r="G129" s="132">
        <v>-2083333</v>
      </c>
      <c r="H129" s="121"/>
      <c r="I129" s="121"/>
      <c r="J129" s="121"/>
      <c r="K129" s="121"/>
    </row>
    <row r="130" spans="1:11" x14ac:dyDescent="0.2">
      <c r="A130" s="119">
        <v>5110358000</v>
      </c>
      <c r="B130" s="120" t="s">
        <v>337</v>
      </c>
      <c r="G130" s="121"/>
      <c r="H130" s="121"/>
      <c r="I130" s="121"/>
      <c r="J130" s="121"/>
      <c r="K130" s="121"/>
    </row>
    <row r="131" spans="1:11" x14ac:dyDescent="0.2">
      <c r="A131" s="124"/>
      <c r="B131" s="126" t="s">
        <v>338</v>
      </c>
      <c r="G131" s="121"/>
      <c r="H131" s="121"/>
      <c r="I131" s="121"/>
      <c r="J131" s="121"/>
      <c r="K131" s="121"/>
    </row>
    <row r="132" spans="1:11" x14ac:dyDescent="0.2">
      <c r="A132" s="124" t="s">
        <v>339</v>
      </c>
      <c r="B132" s="120" t="s">
        <v>340</v>
      </c>
      <c r="G132" s="121"/>
      <c r="H132" s="121"/>
      <c r="I132" s="121"/>
      <c r="J132" s="121"/>
      <c r="K132" s="121"/>
    </row>
    <row r="133" spans="1:11" x14ac:dyDescent="0.2">
      <c r="A133" s="124" t="s">
        <v>341</v>
      </c>
      <c r="B133" s="120" t="s">
        <v>342</v>
      </c>
      <c r="G133" s="121"/>
      <c r="H133" s="121"/>
      <c r="I133" s="121"/>
      <c r="J133" s="121"/>
      <c r="K133" s="121"/>
    </row>
    <row r="134" spans="1:11" x14ac:dyDescent="0.2">
      <c r="A134" s="124" t="s">
        <v>343</v>
      </c>
      <c r="B134" s="120" t="s">
        <v>344</v>
      </c>
      <c r="G134" s="121"/>
      <c r="H134" s="121"/>
      <c r="I134" s="121"/>
      <c r="J134" s="121"/>
      <c r="K134" s="121"/>
    </row>
    <row r="135" spans="1:11" x14ac:dyDescent="0.2">
      <c r="A135" s="124" t="s">
        <v>345</v>
      </c>
      <c r="B135" s="120" t="s">
        <v>346</v>
      </c>
      <c r="G135" s="121"/>
      <c r="H135" s="121"/>
      <c r="I135" s="121"/>
      <c r="J135" s="121"/>
      <c r="K135" s="121"/>
    </row>
    <row r="136" spans="1:11" x14ac:dyDescent="0.2">
      <c r="G136" s="121"/>
      <c r="H136" s="121"/>
      <c r="I136" s="121"/>
      <c r="J136" s="121"/>
      <c r="K136" s="121"/>
    </row>
    <row r="137" spans="1:11" x14ac:dyDescent="0.2">
      <c r="A137" s="124"/>
      <c r="B137" s="126" t="s">
        <v>347</v>
      </c>
      <c r="G137" s="121"/>
      <c r="H137" s="121"/>
      <c r="I137" s="121"/>
      <c r="J137" s="121"/>
      <c r="K137" s="121"/>
    </row>
    <row r="138" spans="1:11" x14ac:dyDescent="0.2">
      <c r="A138" s="124" t="s">
        <v>348</v>
      </c>
      <c r="B138" s="120" t="s">
        <v>349</v>
      </c>
      <c r="G138" s="121"/>
      <c r="H138" s="121"/>
      <c r="I138" s="121"/>
      <c r="J138" s="121"/>
      <c r="K138" s="121"/>
    </row>
    <row r="139" spans="1:11" x14ac:dyDescent="0.2">
      <c r="A139" s="124" t="s">
        <v>350</v>
      </c>
      <c r="B139" s="120" t="s">
        <v>351</v>
      </c>
      <c r="G139" s="121"/>
      <c r="H139" s="121"/>
      <c r="I139" s="121"/>
      <c r="J139" s="121"/>
      <c r="K139" s="121"/>
    </row>
    <row r="140" spans="1:11" x14ac:dyDescent="0.2">
      <c r="A140" s="124" t="s">
        <v>352</v>
      </c>
      <c r="B140" s="120" t="s">
        <v>353</v>
      </c>
      <c r="G140" s="121"/>
      <c r="H140" s="121"/>
      <c r="I140" s="121"/>
      <c r="J140" s="121"/>
      <c r="K140" s="121"/>
    </row>
    <row r="141" spans="1:11" x14ac:dyDescent="0.2">
      <c r="A141" s="133" t="s">
        <v>354</v>
      </c>
      <c r="B141" s="120" t="s">
        <v>355</v>
      </c>
      <c r="G141" s="121"/>
    </row>
    <row r="142" spans="1:11" x14ac:dyDescent="0.2">
      <c r="A142" s="133"/>
      <c r="B142" s="126" t="s">
        <v>356</v>
      </c>
      <c r="G142" s="121"/>
    </row>
    <row r="143" spans="1:11" x14ac:dyDescent="0.2">
      <c r="A143" s="124" t="s">
        <v>357</v>
      </c>
      <c r="B143" s="120" t="s">
        <v>358</v>
      </c>
      <c r="G143" s="121"/>
    </row>
    <row r="144" spans="1:11" x14ac:dyDescent="0.2">
      <c r="A144" s="124"/>
      <c r="B144" s="126" t="s">
        <v>359</v>
      </c>
      <c r="G144" s="121"/>
    </row>
    <row r="145" spans="1:7" x14ac:dyDescent="0.2">
      <c r="A145" s="124"/>
      <c r="B145" s="126" t="s">
        <v>360</v>
      </c>
      <c r="G145" s="121"/>
    </row>
    <row r="146" spans="1:7" x14ac:dyDescent="0.2">
      <c r="A146" s="124"/>
      <c r="B146" s="126" t="s">
        <v>361</v>
      </c>
      <c r="G146" s="121"/>
    </row>
    <row r="147" spans="1:7" x14ac:dyDescent="0.2">
      <c r="A147" s="124" t="s">
        <v>362</v>
      </c>
      <c r="B147" s="120" t="s">
        <v>363</v>
      </c>
      <c r="G147" s="121"/>
    </row>
    <row r="148" spans="1:7" x14ac:dyDescent="0.2">
      <c r="G148" s="121"/>
    </row>
    <row r="149" spans="1:7" x14ac:dyDescent="0.2">
      <c r="G149" s="121"/>
    </row>
    <row r="150" spans="1:7" x14ac:dyDescent="0.2">
      <c r="B150" s="121" t="s">
        <v>364</v>
      </c>
    </row>
    <row r="151" spans="1:7" x14ac:dyDescent="0.2">
      <c r="A151" s="124" t="s">
        <v>174</v>
      </c>
      <c r="B151" s="120" t="s">
        <v>175</v>
      </c>
    </row>
    <row r="152" spans="1:7" x14ac:dyDescent="0.2">
      <c r="A152" s="121" t="s">
        <v>176</v>
      </c>
      <c r="B152" s="120" t="s">
        <v>177</v>
      </c>
    </row>
    <row r="153" spans="1:7" x14ac:dyDescent="0.2">
      <c r="A153" s="124" t="s">
        <v>200</v>
      </c>
      <c r="B153" s="120" t="s">
        <v>201</v>
      </c>
    </row>
    <row r="154" spans="1:7" x14ac:dyDescent="0.2">
      <c r="A154" s="121" t="s">
        <v>202</v>
      </c>
      <c r="B154" s="120" t="s">
        <v>203</v>
      </c>
    </row>
    <row r="155" spans="1:7" x14ac:dyDescent="0.2">
      <c r="A155" s="124" t="s">
        <v>255</v>
      </c>
      <c r="B155" s="120" t="s">
        <v>256</v>
      </c>
    </row>
    <row r="156" spans="1:7" x14ac:dyDescent="0.2">
      <c r="A156" s="119">
        <v>5105180100</v>
      </c>
      <c r="B156" s="120" t="s">
        <v>257</v>
      </c>
    </row>
    <row r="157" spans="1:7" x14ac:dyDescent="0.2">
      <c r="A157" s="121" t="s">
        <v>258</v>
      </c>
      <c r="B157" s="120" t="s">
        <v>259</v>
      </c>
    </row>
    <row r="158" spans="1:7" x14ac:dyDescent="0.2">
      <c r="A158" s="119">
        <v>5105180000</v>
      </c>
      <c r="B158" s="120" t="s">
        <v>266</v>
      </c>
    </row>
    <row r="159" spans="1:7" x14ac:dyDescent="0.2">
      <c r="A159" s="124" t="s">
        <v>267</v>
      </c>
      <c r="B159" s="120" t="s">
        <v>268</v>
      </c>
    </row>
    <row r="160" spans="1:7" x14ac:dyDescent="0.2">
      <c r="A160" s="124" t="s">
        <v>269</v>
      </c>
      <c r="B160" s="120" t="s">
        <v>270</v>
      </c>
    </row>
    <row r="161" spans="1:5" x14ac:dyDescent="0.2">
      <c r="A161" s="124" t="s">
        <v>271</v>
      </c>
      <c r="B161" s="120" t="s">
        <v>272</v>
      </c>
    </row>
    <row r="164" spans="1:5" x14ac:dyDescent="0.2">
      <c r="B164" s="121" t="s">
        <v>365</v>
      </c>
    </row>
    <row r="165" spans="1:5" x14ac:dyDescent="0.2">
      <c r="A165" s="121" t="s">
        <v>182</v>
      </c>
      <c r="B165" s="121" t="s">
        <v>183</v>
      </c>
    </row>
    <row r="166" spans="1:5" x14ac:dyDescent="0.2">
      <c r="A166" s="121" t="s">
        <v>261</v>
      </c>
      <c r="B166" s="121" t="s">
        <v>262</v>
      </c>
    </row>
    <row r="167" spans="1:5" x14ac:dyDescent="0.2">
      <c r="A167" s="121" t="s">
        <v>263</v>
      </c>
      <c r="B167" s="121" t="s">
        <v>264</v>
      </c>
    </row>
    <row r="173" spans="1:5" x14ac:dyDescent="0.2">
      <c r="A173" s="134" t="s">
        <v>366</v>
      </c>
    </row>
    <row r="174" spans="1:5" x14ac:dyDescent="0.2">
      <c r="A174" s="122" t="s">
        <v>367</v>
      </c>
      <c r="E174" s="121" t="s">
        <v>368</v>
      </c>
    </row>
    <row r="175" spans="1:5" x14ac:dyDescent="0.2">
      <c r="A175" s="121" t="s">
        <v>369</v>
      </c>
      <c r="B175" s="121" t="s">
        <v>370</v>
      </c>
    </row>
    <row r="176" spans="1:5" x14ac:dyDescent="0.2">
      <c r="A176" s="121">
        <v>4155950000</v>
      </c>
      <c r="B176" s="121" t="s">
        <v>371</v>
      </c>
    </row>
    <row r="177" spans="1:5" x14ac:dyDescent="0.2">
      <c r="A177" s="121">
        <v>4155950100</v>
      </c>
      <c r="B177" s="121" t="s">
        <v>372</v>
      </c>
    </row>
    <row r="178" spans="1:5" x14ac:dyDescent="0.2">
      <c r="A178" s="121">
        <v>4155951500</v>
      </c>
      <c r="B178" s="121" t="s">
        <v>373</v>
      </c>
    </row>
    <row r="179" spans="1:5" x14ac:dyDescent="0.2">
      <c r="A179" s="121">
        <v>4135950900</v>
      </c>
      <c r="B179" s="121" t="s">
        <v>374</v>
      </c>
    </row>
    <row r="180" spans="1:5" x14ac:dyDescent="0.2">
      <c r="A180" s="121">
        <v>4135950000</v>
      </c>
      <c r="B180" s="121" t="s">
        <v>375</v>
      </c>
      <c r="E180" s="121">
        <v>4135950000</v>
      </c>
    </row>
    <row r="181" spans="1:5" x14ac:dyDescent="0.2">
      <c r="A181" s="121">
        <v>4155950500</v>
      </c>
      <c r="B181" s="121" t="s">
        <v>375</v>
      </c>
    </row>
    <row r="182" spans="1:5" x14ac:dyDescent="0.2">
      <c r="A182" s="121">
        <v>4170250300</v>
      </c>
      <c r="B182" s="121" t="s">
        <v>375</v>
      </c>
    </row>
    <row r="183" spans="1:5" x14ac:dyDescent="0.2">
      <c r="A183" s="121" t="s">
        <v>376</v>
      </c>
      <c r="B183" s="121" t="s">
        <v>377</v>
      </c>
    </row>
    <row r="184" spans="1:5" x14ac:dyDescent="0.2">
      <c r="A184" s="121">
        <v>6135950000</v>
      </c>
      <c r="B184" s="121" t="s">
        <v>378</v>
      </c>
    </row>
    <row r="186" spans="1:5" x14ac:dyDescent="0.2">
      <c r="B186" s="121" t="s">
        <v>379</v>
      </c>
    </row>
    <row r="187" spans="1:5" x14ac:dyDescent="0.2">
      <c r="A187" s="121">
        <v>5205180100</v>
      </c>
      <c r="B187" s="121" t="s">
        <v>380</v>
      </c>
      <c r="C187" s="121" t="s">
        <v>381</v>
      </c>
    </row>
    <row r="188" spans="1:5" x14ac:dyDescent="0.2">
      <c r="A188" s="121">
        <v>5205361000</v>
      </c>
      <c r="B188" s="121" t="s">
        <v>382</v>
      </c>
      <c r="C188" s="121" t="s">
        <v>383</v>
      </c>
      <c r="D188" s="121" t="s">
        <v>109</v>
      </c>
    </row>
    <row r="189" spans="1:5" x14ac:dyDescent="0.2">
      <c r="A189" s="121">
        <v>5205391000</v>
      </c>
      <c r="B189" s="121" t="s">
        <v>382</v>
      </c>
      <c r="C189" s="121" t="s">
        <v>384</v>
      </c>
      <c r="D189" s="121">
        <v>4638.9799999999996</v>
      </c>
    </row>
    <row r="190" spans="1:5" x14ac:dyDescent="0.2">
      <c r="A190" s="121">
        <v>5205422000</v>
      </c>
      <c r="B190" s="121" t="s">
        <v>382</v>
      </c>
      <c r="C190" s="121" t="s">
        <v>385</v>
      </c>
      <c r="D190" s="121">
        <v>1230.26</v>
      </c>
    </row>
    <row r="191" spans="1:5" x14ac:dyDescent="0.2">
      <c r="A191" s="121">
        <v>5205691000</v>
      </c>
      <c r="B191" s="121" t="s">
        <v>382</v>
      </c>
      <c r="C191" s="121" t="s">
        <v>386</v>
      </c>
      <c r="D191" s="121">
        <v>307.56</v>
      </c>
    </row>
    <row r="192" spans="1:5" x14ac:dyDescent="0.2">
      <c r="A192" s="121">
        <v>5205701000</v>
      </c>
      <c r="B192" s="121" t="s">
        <v>382</v>
      </c>
      <c r="C192" s="121" t="s">
        <v>387</v>
      </c>
      <c r="D192" s="121">
        <v>896.8</v>
      </c>
    </row>
    <row r="193" spans="1:4" x14ac:dyDescent="0.2">
      <c r="A193" s="121">
        <v>5160200000</v>
      </c>
      <c r="B193" s="121" t="s">
        <v>388</v>
      </c>
      <c r="C193" s="121" t="s">
        <v>389</v>
      </c>
      <c r="D193" s="121">
        <v>604.20000000000005</v>
      </c>
    </row>
    <row r="194" spans="1:4" x14ac:dyDescent="0.2">
      <c r="A194" s="121">
        <v>5260100000</v>
      </c>
      <c r="B194" s="121" t="s">
        <v>388</v>
      </c>
      <c r="C194" s="121" t="s">
        <v>390</v>
      </c>
      <c r="D194" s="121">
        <v>27.16</v>
      </c>
    </row>
    <row r="195" spans="1:4" x14ac:dyDescent="0.2">
      <c r="A195" s="121">
        <v>5260200000</v>
      </c>
      <c r="B195" s="121" t="s">
        <v>388</v>
      </c>
      <c r="C195" s="121" t="s">
        <v>336</v>
      </c>
      <c r="D195" s="121">
        <v>7704.96</v>
      </c>
    </row>
    <row r="196" spans="1:4" x14ac:dyDescent="0.2">
      <c r="A196" s="121">
        <v>5260150000</v>
      </c>
      <c r="B196" s="121" t="s">
        <v>388</v>
      </c>
    </row>
    <row r="197" spans="1:4" x14ac:dyDescent="0.2">
      <c r="A197" s="121">
        <v>5260350000</v>
      </c>
      <c r="B197" s="121" t="s">
        <v>388</v>
      </c>
    </row>
    <row r="198" spans="1:4" x14ac:dyDescent="0.2">
      <c r="A198" s="121">
        <v>5160150000</v>
      </c>
      <c r="B198" s="121" t="s">
        <v>391</v>
      </c>
    </row>
    <row r="199" spans="1:4" x14ac:dyDescent="0.2">
      <c r="A199" s="121">
        <v>5145150100</v>
      </c>
      <c r="B199" s="121" t="s">
        <v>392</v>
      </c>
    </row>
    <row r="200" spans="1:4" x14ac:dyDescent="0.2">
      <c r="A200" s="121">
        <v>5235300000</v>
      </c>
      <c r="B200" s="121" t="s">
        <v>392</v>
      </c>
    </row>
    <row r="201" spans="1:4" x14ac:dyDescent="0.2">
      <c r="A201" s="121">
        <v>5245100000</v>
      </c>
      <c r="B201" s="121" t="s">
        <v>392</v>
      </c>
    </row>
    <row r="202" spans="1:4" x14ac:dyDescent="0.2">
      <c r="A202" s="121">
        <v>5245150000</v>
      </c>
      <c r="B202" s="121" t="s">
        <v>392</v>
      </c>
    </row>
    <row r="203" spans="1:4" x14ac:dyDescent="0.2">
      <c r="A203" s="121">
        <v>5245150100</v>
      </c>
      <c r="B203" s="121" t="s">
        <v>392</v>
      </c>
    </row>
    <row r="204" spans="1:4" x14ac:dyDescent="0.2">
      <c r="A204" s="121">
        <v>5245200000</v>
      </c>
      <c r="B204" s="121" t="s">
        <v>392</v>
      </c>
    </row>
    <row r="205" spans="1:4" x14ac:dyDescent="0.2">
      <c r="A205" s="121">
        <v>5245250000</v>
      </c>
      <c r="B205" s="121" t="s">
        <v>392</v>
      </c>
    </row>
    <row r="206" spans="1:4" x14ac:dyDescent="0.2">
      <c r="A206" s="121">
        <v>5250050000</v>
      </c>
      <c r="B206" s="121" t="s">
        <v>392</v>
      </c>
    </row>
    <row r="207" spans="1:4" x14ac:dyDescent="0.2">
      <c r="A207" s="121">
        <v>5250100000</v>
      </c>
      <c r="B207" s="121" t="s">
        <v>392</v>
      </c>
    </row>
    <row r="208" spans="1:4" x14ac:dyDescent="0.2">
      <c r="A208" s="121">
        <v>5250950000</v>
      </c>
      <c r="B208" s="121" t="s">
        <v>392</v>
      </c>
    </row>
    <row r="209" spans="1:2" x14ac:dyDescent="0.2">
      <c r="A209" s="121">
        <v>5295250000</v>
      </c>
      <c r="B209" s="121" t="s">
        <v>392</v>
      </c>
    </row>
    <row r="210" spans="1:2" x14ac:dyDescent="0.2">
      <c r="A210" s="121">
        <v>5295950300</v>
      </c>
      <c r="B210" s="121" t="s">
        <v>392</v>
      </c>
    </row>
    <row r="211" spans="1:2" x14ac:dyDescent="0.2">
      <c r="A211" s="121">
        <v>5235050000</v>
      </c>
      <c r="B211" s="121" t="s">
        <v>393</v>
      </c>
    </row>
    <row r="212" spans="1:2" x14ac:dyDescent="0.2">
      <c r="A212" s="121">
        <v>5235200000</v>
      </c>
      <c r="B212" s="121" t="s">
        <v>393</v>
      </c>
    </row>
    <row r="213" spans="1:2" x14ac:dyDescent="0.2">
      <c r="A213" s="121">
        <v>5235950100</v>
      </c>
      <c r="B213" s="121" t="s">
        <v>393</v>
      </c>
    </row>
    <row r="214" spans="1:2" x14ac:dyDescent="0.2">
      <c r="A214" s="121">
        <v>5235950400</v>
      </c>
      <c r="B214" s="121" t="s">
        <v>393</v>
      </c>
    </row>
    <row r="215" spans="1:2" x14ac:dyDescent="0.2">
      <c r="A215" s="121">
        <v>5235950500</v>
      </c>
      <c r="B215" s="121" t="s">
        <v>393</v>
      </c>
    </row>
    <row r="216" spans="1:2" x14ac:dyDescent="0.2">
      <c r="A216" s="121">
        <v>5235950600</v>
      </c>
      <c r="B216" s="121" t="s">
        <v>393</v>
      </c>
    </row>
    <row r="217" spans="1:2" x14ac:dyDescent="0.2">
      <c r="A217" s="121">
        <v>5235950600</v>
      </c>
      <c r="B217" s="121" t="s">
        <v>393</v>
      </c>
    </row>
    <row r="218" spans="1:2" x14ac:dyDescent="0.2">
      <c r="A218" s="121">
        <v>5235950600</v>
      </c>
      <c r="B218" s="121" t="s">
        <v>393</v>
      </c>
    </row>
    <row r="219" spans="1:2" x14ac:dyDescent="0.2">
      <c r="A219" s="121">
        <v>5295950500</v>
      </c>
      <c r="B219" s="121" t="s">
        <v>393</v>
      </c>
    </row>
    <row r="220" spans="1:2" x14ac:dyDescent="0.2">
      <c r="A220" s="121">
        <v>5295950100</v>
      </c>
      <c r="B220" s="121" t="s">
        <v>394</v>
      </c>
    </row>
    <row r="221" spans="1:2" x14ac:dyDescent="0.2">
      <c r="A221" s="121">
        <v>5299100000</v>
      </c>
      <c r="B221" s="121" t="s">
        <v>395</v>
      </c>
    </row>
    <row r="222" spans="1:2" x14ac:dyDescent="0.2">
      <c r="A222" s="121">
        <v>5160100000</v>
      </c>
      <c r="B222" s="121" t="s">
        <v>396</v>
      </c>
    </row>
    <row r="223" spans="1:2" x14ac:dyDescent="0.2">
      <c r="B223" s="121" t="s">
        <v>397</v>
      </c>
    </row>
    <row r="224" spans="1:2" x14ac:dyDescent="0.2">
      <c r="A224" s="121">
        <v>5205630100</v>
      </c>
      <c r="B224" s="121" t="s">
        <v>398</v>
      </c>
    </row>
    <row r="225" spans="1:2" x14ac:dyDescent="0.2">
      <c r="A225" s="121">
        <v>5205630200</v>
      </c>
      <c r="B225" s="121" t="s">
        <v>398</v>
      </c>
    </row>
    <row r="226" spans="1:2" x14ac:dyDescent="0.2">
      <c r="A226" s="121">
        <v>5205060100</v>
      </c>
      <c r="B226" s="121" t="s">
        <v>399</v>
      </c>
    </row>
    <row r="227" spans="1:2" x14ac:dyDescent="0.2">
      <c r="A227" s="121">
        <v>5205150100</v>
      </c>
      <c r="B227" s="121" t="s">
        <v>399</v>
      </c>
    </row>
    <row r="228" spans="1:2" x14ac:dyDescent="0.2">
      <c r="A228" s="121">
        <v>5205360100</v>
      </c>
      <c r="B228" s="121" t="s">
        <v>400</v>
      </c>
    </row>
    <row r="229" spans="1:2" x14ac:dyDescent="0.2">
      <c r="A229" s="121">
        <v>5205390100</v>
      </c>
      <c r="B229" s="121" t="s">
        <v>400</v>
      </c>
    </row>
    <row r="230" spans="1:2" x14ac:dyDescent="0.2">
      <c r="A230" s="121">
        <v>5205600100</v>
      </c>
      <c r="B230" s="121" t="s">
        <v>400</v>
      </c>
    </row>
    <row r="231" spans="1:2" x14ac:dyDescent="0.2">
      <c r="A231" s="121">
        <v>5205690100</v>
      </c>
      <c r="B231" s="121" t="s">
        <v>400</v>
      </c>
    </row>
    <row r="232" spans="1:2" x14ac:dyDescent="0.2">
      <c r="A232" s="121">
        <v>5205700100</v>
      </c>
      <c r="B232" s="121" t="s">
        <v>400</v>
      </c>
    </row>
    <row r="233" spans="1:2" x14ac:dyDescent="0.2">
      <c r="A233" s="121">
        <v>5205700100</v>
      </c>
      <c r="B233" s="121" t="s">
        <v>400</v>
      </c>
    </row>
    <row r="234" spans="1:2" x14ac:dyDescent="0.2">
      <c r="A234" s="121">
        <v>5205700200</v>
      </c>
      <c r="B234" s="121" t="s">
        <v>400</v>
      </c>
    </row>
    <row r="235" spans="1:2" x14ac:dyDescent="0.2">
      <c r="A235" s="121">
        <v>5205780100</v>
      </c>
      <c r="B235" s="121" t="s">
        <v>400</v>
      </c>
    </row>
    <row r="236" spans="1:2" x14ac:dyDescent="0.2">
      <c r="A236" s="121">
        <v>5205660100</v>
      </c>
      <c r="B236" s="121" t="s">
        <v>401</v>
      </c>
    </row>
    <row r="237" spans="1:2" x14ac:dyDescent="0.2">
      <c r="A237" s="121">
        <v>5210250000</v>
      </c>
      <c r="B237" s="121" t="s">
        <v>402</v>
      </c>
    </row>
    <row r="238" spans="1:2" x14ac:dyDescent="0.2">
      <c r="A238" s="121">
        <v>5210350000</v>
      </c>
      <c r="B238" s="121" t="s">
        <v>402</v>
      </c>
    </row>
    <row r="239" spans="1:2" x14ac:dyDescent="0.2">
      <c r="A239" s="121">
        <v>5210950000</v>
      </c>
      <c r="B239" s="121" t="s">
        <v>402</v>
      </c>
    </row>
    <row r="240" spans="1:2" x14ac:dyDescent="0.2">
      <c r="A240" s="121">
        <v>5115950000</v>
      </c>
      <c r="B240" s="121" t="s">
        <v>403</v>
      </c>
    </row>
    <row r="241" spans="1:2" x14ac:dyDescent="0.2">
      <c r="A241" s="121">
        <v>5215100000</v>
      </c>
      <c r="B241" s="121" t="s">
        <v>403</v>
      </c>
    </row>
    <row r="242" spans="1:2" x14ac:dyDescent="0.2">
      <c r="A242" s="121">
        <v>5215950000</v>
      </c>
      <c r="B242" s="121" t="s">
        <v>403</v>
      </c>
    </row>
    <row r="243" spans="1:2" x14ac:dyDescent="0.2">
      <c r="A243" s="121">
        <v>5240100000</v>
      </c>
      <c r="B243" s="121" t="s">
        <v>403</v>
      </c>
    </row>
    <row r="244" spans="1:2" x14ac:dyDescent="0.2">
      <c r="A244" s="121">
        <v>5240150000</v>
      </c>
      <c r="B244" s="121" t="s">
        <v>403</v>
      </c>
    </row>
    <row r="245" spans="1:2" x14ac:dyDescent="0.2">
      <c r="A245" s="121">
        <v>5245400000</v>
      </c>
      <c r="B245" s="121" t="s">
        <v>404</v>
      </c>
    </row>
    <row r="246" spans="1:2" x14ac:dyDescent="0.2">
      <c r="A246" s="121">
        <v>5295350000</v>
      </c>
      <c r="B246" s="121" t="s">
        <v>404</v>
      </c>
    </row>
    <row r="247" spans="1:2" x14ac:dyDescent="0.2">
      <c r="A247" s="121">
        <v>5295100000</v>
      </c>
      <c r="B247" s="121" t="s">
        <v>405</v>
      </c>
    </row>
    <row r="248" spans="1:2" x14ac:dyDescent="0.2">
      <c r="A248" s="121">
        <v>5295300000</v>
      </c>
      <c r="B248" s="121" t="s">
        <v>405</v>
      </c>
    </row>
    <row r="249" spans="1:2" x14ac:dyDescent="0.2">
      <c r="A249" s="121">
        <v>5235600000</v>
      </c>
      <c r="B249" s="121" t="s">
        <v>406</v>
      </c>
    </row>
    <row r="250" spans="1:2" x14ac:dyDescent="0.2">
      <c r="A250" s="121">
        <v>5235350000</v>
      </c>
      <c r="B250" s="121" t="s">
        <v>407</v>
      </c>
    </row>
    <row r="251" spans="1:2" x14ac:dyDescent="0.2">
      <c r="A251" s="121">
        <v>5235400100</v>
      </c>
      <c r="B251" s="121" t="s">
        <v>407</v>
      </c>
    </row>
    <row r="252" spans="1:2" x14ac:dyDescent="0.2">
      <c r="A252" s="121">
        <v>5235400200</v>
      </c>
      <c r="B252" s="121" t="s">
        <v>407</v>
      </c>
    </row>
    <row r="253" spans="1:2" x14ac:dyDescent="0.2">
      <c r="A253" s="121">
        <v>5235450000</v>
      </c>
      <c r="B253" s="121" t="s">
        <v>407</v>
      </c>
    </row>
    <row r="254" spans="1:2" x14ac:dyDescent="0.2">
      <c r="A254" s="121">
        <v>5230250000</v>
      </c>
      <c r="B254" s="121" t="s">
        <v>408</v>
      </c>
    </row>
    <row r="255" spans="1:2" x14ac:dyDescent="0.2">
      <c r="A255" s="121">
        <v>5230950000</v>
      </c>
      <c r="B255" s="121" t="s">
        <v>408</v>
      </c>
    </row>
    <row r="256" spans="1:2" x14ac:dyDescent="0.2">
      <c r="A256" s="121">
        <v>5295700000</v>
      </c>
      <c r="B256" s="121" t="s">
        <v>408</v>
      </c>
    </row>
    <row r="257" spans="1:2" x14ac:dyDescent="0.2">
      <c r="A257" s="121">
        <v>5225100000</v>
      </c>
      <c r="B257" s="121" t="s">
        <v>409</v>
      </c>
    </row>
    <row r="258" spans="1:2" x14ac:dyDescent="0.2">
      <c r="A258" s="121">
        <v>5205480100</v>
      </c>
      <c r="B258" s="121" t="s">
        <v>410</v>
      </c>
    </row>
    <row r="259" spans="1:2" x14ac:dyDescent="0.2">
      <c r="A259" s="121">
        <v>5205480200</v>
      </c>
      <c r="B259" s="121" t="s">
        <v>410</v>
      </c>
    </row>
    <row r="260" spans="1:2" x14ac:dyDescent="0.2">
      <c r="A260" s="121">
        <v>5205481000</v>
      </c>
      <c r="B260" s="121" t="s">
        <v>410</v>
      </c>
    </row>
    <row r="261" spans="1:2" x14ac:dyDescent="0.2">
      <c r="A261" s="121">
        <v>5205481100</v>
      </c>
      <c r="B261" s="121" t="s">
        <v>410</v>
      </c>
    </row>
    <row r="262" spans="1:2" x14ac:dyDescent="0.2">
      <c r="A262" s="121">
        <v>5205210100</v>
      </c>
      <c r="B262" s="121" t="s">
        <v>411</v>
      </c>
    </row>
    <row r="263" spans="1:2" x14ac:dyDescent="0.2">
      <c r="A263" s="121">
        <v>5205210200</v>
      </c>
      <c r="B263" s="121" t="s">
        <v>411</v>
      </c>
    </row>
    <row r="264" spans="1:2" x14ac:dyDescent="0.2">
      <c r="A264" s="121">
        <v>5255050100</v>
      </c>
      <c r="B264" s="121" t="s">
        <v>411</v>
      </c>
    </row>
    <row r="265" spans="1:2" x14ac:dyDescent="0.2">
      <c r="A265" s="121">
        <v>5255060100</v>
      </c>
      <c r="B265" s="121" t="s">
        <v>411</v>
      </c>
    </row>
    <row r="266" spans="1:2" x14ac:dyDescent="0.2">
      <c r="A266" s="121">
        <v>5255150100</v>
      </c>
      <c r="B266" s="121" t="s">
        <v>411</v>
      </c>
    </row>
    <row r="267" spans="1:2" x14ac:dyDescent="0.2">
      <c r="A267" s="121">
        <v>5255200100</v>
      </c>
      <c r="B267" s="121" t="s">
        <v>411</v>
      </c>
    </row>
    <row r="268" spans="1:2" x14ac:dyDescent="0.2">
      <c r="A268" s="121">
        <v>5255200200</v>
      </c>
      <c r="B268" s="121" t="s">
        <v>411</v>
      </c>
    </row>
    <row r="269" spans="1:2" x14ac:dyDescent="0.2">
      <c r="A269" s="121">
        <v>5255950100</v>
      </c>
      <c r="B269" s="121" t="s">
        <v>411</v>
      </c>
    </row>
    <row r="270" spans="1:2" x14ac:dyDescent="0.2">
      <c r="A270" s="121">
        <v>5240050000</v>
      </c>
      <c r="B270" s="121" t="s">
        <v>412</v>
      </c>
    </row>
    <row r="271" spans="1:2" x14ac:dyDescent="0.2">
      <c r="A271" s="121">
        <v>5240200400</v>
      </c>
      <c r="B271" s="121" t="s">
        <v>412</v>
      </c>
    </row>
    <row r="272" spans="1:2" x14ac:dyDescent="0.2">
      <c r="A272" s="121">
        <v>5220050000</v>
      </c>
      <c r="B272" s="121" t="s">
        <v>413</v>
      </c>
    </row>
    <row r="273" spans="1:2" x14ac:dyDescent="0.2">
      <c r="A273" s="121">
        <v>5220100000</v>
      </c>
      <c r="B273" s="121" t="s">
        <v>413</v>
      </c>
    </row>
    <row r="274" spans="1:2" x14ac:dyDescent="0.2">
      <c r="A274" s="121">
        <v>5220100100</v>
      </c>
      <c r="B274" s="121" t="s">
        <v>413</v>
      </c>
    </row>
    <row r="275" spans="1:2" x14ac:dyDescent="0.2">
      <c r="A275" s="121">
        <v>5220950000</v>
      </c>
      <c r="B275" s="121" t="s">
        <v>413</v>
      </c>
    </row>
    <row r="278" spans="1:2" x14ac:dyDescent="0.2">
      <c r="B278" s="121" t="s">
        <v>414</v>
      </c>
    </row>
    <row r="279" spans="1:2" x14ac:dyDescent="0.2">
      <c r="A279" s="121">
        <v>5105060000</v>
      </c>
      <c r="B279" s="121" t="s">
        <v>415</v>
      </c>
    </row>
    <row r="280" spans="1:2" x14ac:dyDescent="0.2">
      <c r="A280" s="121">
        <v>5105150000</v>
      </c>
      <c r="B280" s="121" t="s">
        <v>415</v>
      </c>
    </row>
    <row r="281" spans="1:2" x14ac:dyDescent="0.2">
      <c r="A281" s="121">
        <v>5105360000</v>
      </c>
      <c r="B281" s="121" t="s">
        <v>416</v>
      </c>
    </row>
    <row r="282" spans="1:2" x14ac:dyDescent="0.2">
      <c r="A282" s="121">
        <v>5105390000</v>
      </c>
      <c r="B282" s="121" t="s">
        <v>416</v>
      </c>
    </row>
    <row r="283" spans="1:2" x14ac:dyDescent="0.2">
      <c r="A283" s="121">
        <v>5105600000</v>
      </c>
      <c r="B283" s="121" t="s">
        <v>416</v>
      </c>
    </row>
    <row r="284" spans="1:2" x14ac:dyDescent="0.2">
      <c r="A284" s="121">
        <v>5105690000</v>
      </c>
      <c r="B284" s="121" t="s">
        <v>416</v>
      </c>
    </row>
    <row r="285" spans="1:2" x14ac:dyDescent="0.2">
      <c r="A285" s="121">
        <v>5105700000</v>
      </c>
      <c r="B285" s="121" t="s">
        <v>416</v>
      </c>
    </row>
    <row r="286" spans="1:2" x14ac:dyDescent="0.2">
      <c r="A286" s="121">
        <v>5105780000</v>
      </c>
      <c r="B286" s="121" t="s">
        <v>416</v>
      </c>
    </row>
    <row r="287" spans="1:2" x14ac:dyDescent="0.2">
      <c r="A287" s="121">
        <v>5105950000</v>
      </c>
      <c r="B287" s="121" t="s">
        <v>416</v>
      </c>
    </row>
    <row r="288" spans="1:2" x14ac:dyDescent="0.2">
      <c r="A288" s="121">
        <v>5105180000</v>
      </c>
      <c r="B288" s="121" t="s">
        <v>417</v>
      </c>
    </row>
    <row r="289" spans="1:2" x14ac:dyDescent="0.2">
      <c r="A289" s="121">
        <v>5105630000</v>
      </c>
      <c r="B289" s="121" t="s">
        <v>418</v>
      </c>
    </row>
    <row r="290" spans="1:2" x14ac:dyDescent="0.2">
      <c r="A290" s="121">
        <v>5105391000</v>
      </c>
      <c r="B290" s="121" t="s">
        <v>419</v>
      </c>
    </row>
    <row r="291" spans="1:2" x14ac:dyDescent="0.2">
      <c r="A291" s="121">
        <v>5105691000</v>
      </c>
      <c r="B291" s="121" t="s">
        <v>419</v>
      </c>
    </row>
    <row r="292" spans="1:2" x14ac:dyDescent="0.2">
      <c r="A292" s="121">
        <v>5105701000</v>
      </c>
      <c r="B292" s="121" t="s">
        <v>419</v>
      </c>
    </row>
    <row r="293" spans="1:2" x14ac:dyDescent="0.2">
      <c r="A293" s="121">
        <v>5135050000</v>
      </c>
      <c r="B293" s="121" t="s">
        <v>393</v>
      </c>
    </row>
    <row r="294" spans="1:2" x14ac:dyDescent="0.2">
      <c r="A294" s="121">
        <v>5135150000</v>
      </c>
      <c r="B294" s="121" t="s">
        <v>393</v>
      </c>
    </row>
    <row r="295" spans="1:2" x14ac:dyDescent="0.2">
      <c r="A295" s="121">
        <v>5135200000</v>
      </c>
      <c r="B295" s="121" t="s">
        <v>393</v>
      </c>
    </row>
    <row r="296" spans="1:2" x14ac:dyDescent="0.2">
      <c r="A296" s="121">
        <v>5135950500</v>
      </c>
      <c r="B296" s="121" t="s">
        <v>393</v>
      </c>
    </row>
    <row r="297" spans="1:2" x14ac:dyDescent="0.2">
      <c r="A297" s="121">
        <v>5120100000</v>
      </c>
      <c r="B297" s="121" t="s">
        <v>420</v>
      </c>
    </row>
    <row r="298" spans="1:2" x14ac:dyDescent="0.2">
      <c r="A298" s="121">
        <v>5105660000</v>
      </c>
      <c r="B298" s="121" t="s">
        <v>421</v>
      </c>
    </row>
    <row r="299" spans="1:2" x14ac:dyDescent="0.2">
      <c r="A299" s="121">
        <v>5155960000</v>
      </c>
      <c r="B299" s="121" t="s">
        <v>421</v>
      </c>
    </row>
    <row r="300" spans="1:2" x14ac:dyDescent="0.2">
      <c r="A300" s="121">
        <v>5195950300</v>
      </c>
      <c r="B300" s="121" t="s">
        <v>422</v>
      </c>
    </row>
    <row r="301" spans="1:2" x14ac:dyDescent="0.2">
      <c r="A301" s="121">
        <v>5110100000</v>
      </c>
      <c r="B301" s="121" t="s">
        <v>423</v>
      </c>
    </row>
    <row r="302" spans="1:2" x14ac:dyDescent="0.2">
      <c r="A302" s="121">
        <v>5110200000</v>
      </c>
      <c r="B302" s="121" t="s">
        <v>423</v>
      </c>
    </row>
    <row r="303" spans="1:2" x14ac:dyDescent="0.2">
      <c r="A303" s="121">
        <v>5110250000</v>
      </c>
      <c r="B303" s="121" t="s">
        <v>423</v>
      </c>
    </row>
    <row r="304" spans="1:2" x14ac:dyDescent="0.2">
      <c r="A304" s="121">
        <v>5110300000</v>
      </c>
      <c r="B304" s="121" t="s">
        <v>423</v>
      </c>
    </row>
    <row r="305" spans="1:2" x14ac:dyDescent="0.2">
      <c r="A305" s="121">
        <v>5110350000</v>
      </c>
      <c r="B305" s="121" t="s">
        <v>423</v>
      </c>
    </row>
    <row r="306" spans="1:2" x14ac:dyDescent="0.2">
      <c r="A306" s="121">
        <v>5110950000</v>
      </c>
      <c r="B306" s="121" t="s">
        <v>423</v>
      </c>
    </row>
    <row r="307" spans="1:2" x14ac:dyDescent="0.2">
      <c r="A307" s="121">
        <v>5130</v>
      </c>
      <c r="B307" s="121" t="s">
        <v>424</v>
      </c>
    </row>
    <row r="308" spans="1:2" x14ac:dyDescent="0.2">
      <c r="A308" s="121">
        <v>5145400000</v>
      </c>
      <c r="B308" s="121" t="s">
        <v>425</v>
      </c>
    </row>
    <row r="309" spans="1:2" x14ac:dyDescent="0.2">
      <c r="A309" s="121">
        <v>5195350000</v>
      </c>
      <c r="B309" s="121" t="s">
        <v>425</v>
      </c>
    </row>
    <row r="310" spans="1:2" x14ac:dyDescent="0.2">
      <c r="A310" s="121">
        <v>5195300000</v>
      </c>
      <c r="B310" s="121" t="s">
        <v>405</v>
      </c>
    </row>
    <row r="311" spans="1:2" x14ac:dyDescent="0.2">
      <c r="A311" s="121">
        <v>5135350000</v>
      </c>
      <c r="B311" s="121" t="s">
        <v>426</v>
      </c>
    </row>
    <row r="312" spans="1:2" x14ac:dyDescent="0.2">
      <c r="A312" s="121">
        <v>5145050000</v>
      </c>
      <c r="B312" s="121" t="s">
        <v>427</v>
      </c>
    </row>
    <row r="313" spans="1:2" x14ac:dyDescent="0.2">
      <c r="A313" s="121">
        <v>5145100000</v>
      </c>
      <c r="B313" s="121" t="s">
        <v>427</v>
      </c>
    </row>
    <row r="314" spans="1:2" x14ac:dyDescent="0.2">
      <c r="A314" s="121">
        <v>5145200000</v>
      </c>
      <c r="B314" s="121" t="s">
        <v>427</v>
      </c>
    </row>
    <row r="315" spans="1:2" x14ac:dyDescent="0.2">
      <c r="A315" s="121">
        <v>5145250000</v>
      </c>
      <c r="B315" s="121" t="s">
        <v>427</v>
      </c>
    </row>
    <row r="316" spans="1:2" x14ac:dyDescent="0.2">
      <c r="A316" s="121">
        <v>5150050000</v>
      </c>
      <c r="B316" s="121" t="s">
        <v>427</v>
      </c>
    </row>
    <row r="317" spans="1:2" x14ac:dyDescent="0.2">
      <c r="A317" s="121">
        <v>5150100000</v>
      </c>
      <c r="B317" s="121" t="s">
        <v>427</v>
      </c>
    </row>
    <row r="318" spans="1:2" x14ac:dyDescent="0.2">
      <c r="A318" s="121">
        <v>5150150000</v>
      </c>
      <c r="B318" s="121" t="s">
        <v>427</v>
      </c>
    </row>
    <row r="319" spans="1:2" x14ac:dyDescent="0.2">
      <c r="A319" s="121">
        <v>5150950000</v>
      </c>
      <c r="B319" s="121" t="s">
        <v>427</v>
      </c>
    </row>
    <row r="320" spans="1:2" x14ac:dyDescent="0.2">
      <c r="A320" s="121">
        <v>5195150000</v>
      </c>
      <c r="B320" s="121" t="s">
        <v>427</v>
      </c>
    </row>
    <row r="321" spans="1:2" x14ac:dyDescent="0.2">
      <c r="A321" s="121">
        <v>5195250000</v>
      </c>
      <c r="B321" s="121" t="s">
        <v>427</v>
      </c>
    </row>
    <row r="322" spans="1:2" x14ac:dyDescent="0.2">
      <c r="A322" s="121">
        <v>5195400000</v>
      </c>
      <c r="B322" s="121" t="s">
        <v>427</v>
      </c>
    </row>
    <row r="323" spans="1:2" x14ac:dyDescent="0.2">
      <c r="A323" s="135">
        <v>5140050000</v>
      </c>
      <c r="B323" s="121" t="s">
        <v>428</v>
      </c>
    </row>
    <row r="324" spans="1:2" x14ac:dyDescent="0.2">
      <c r="A324" s="135">
        <v>5140100000</v>
      </c>
      <c r="B324" s="121" t="s">
        <v>429</v>
      </c>
    </row>
    <row r="325" spans="1:2" x14ac:dyDescent="0.2">
      <c r="A325" s="121">
        <v>5105210000</v>
      </c>
      <c r="B325" s="121" t="s">
        <v>430</v>
      </c>
    </row>
    <row r="326" spans="1:2" x14ac:dyDescent="0.2">
      <c r="A326" s="121">
        <v>5155050000</v>
      </c>
      <c r="B326" s="121" t="s">
        <v>430</v>
      </c>
    </row>
    <row r="327" spans="1:2" x14ac:dyDescent="0.2">
      <c r="A327" s="121">
        <v>5155060000</v>
      </c>
      <c r="B327" s="121" t="s">
        <v>430</v>
      </c>
    </row>
    <row r="328" spans="1:2" x14ac:dyDescent="0.2">
      <c r="A328" s="121">
        <v>5155150000</v>
      </c>
      <c r="B328" s="121" t="s">
        <v>430</v>
      </c>
    </row>
    <row r="329" spans="1:2" x14ac:dyDescent="0.2">
      <c r="A329" s="121">
        <v>5155200000</v>
      </c>
      <c r="B329" s="121" t="s">
        <v>430</v>
      </c>
    </row>
    <row r="330" spans="1:2" x14ac:dyDescent="0.2">
      <c r="A330" s="121">
        <v>5155950000</v>
      </c>
      <c r="B330" s="121" t="s">
        <v>430</v>
      </c>
    </row>
    <row r="332" spans="1:2" x14ac:dyDescent="0.2">
      <c r="B332" s="121" t="s">
        <v>431</v>
      </c>
    </row>
    <row r="333" spans="1:2" x14ac:dyDescent="0.2">
      <c r="A333" s="121">
        <v>5135950300</v>
      </c>
      <c r="B333" s="121" t="s">
        <v>432</v>
      </c>
    </row>
    <row r="334" spans="1:2" x14ac:dyDescent="0.2">
      <c r="A334" s="121">
        <v>5198530000</v>
      </c>
      <c r="B334" s="121" t="s">
        <v>432</v>
      </c>
    </row>
    <row r="335" spans="1:2" x14ac:dyDescent="0.2">
      <c r="A335" s="121">
        <v>5398050000</v>
      </c>
      <c r="B335" s="121" t="s">
        <v>432</v>
      </c>
    </row>
    <row r="336" spans="1:2" x14ac:dyDescent="0.2">
      <c r="A336" s="121">
        <v>5398210000</v>
      </c>
      <c r="B336" s="121" t="s">
        <v>433</v>
      </c>
    </row>
    <row r="337" spans="1:2" x14ac:dyDescent="0.2">
      <c r="A337" s="121">
        <v>5110358000</v>
      </c>
      <c r="B337" s="121" t="s">
        <v>434</v>
      </c>
    </row>
    <row r="338" spans="1:2" x14ac:dyDescent="0.2">
      <c r="A338" s="121">
        <v>5210358000</v>
      </c>
      <c r="B338" s="121" t="s">
        <v>434</v>
      </c>
    </row>
    <row r="340" spans="1:2" x14ac:dyDescent="0.2">
      <c r="B340" s="121" t="s">
        <v>435</v>
      </c>
    </row>
    <row r="341" spans="1:2" x14ac:dyDescent="0.2">
      <c r="A341" s="121">
        <v>4210200100</v>
      </c>
      <c r="B341" s="121" t="s">
        <v>436</v>
      </c>
    </row>
    <row r="342" spans="1:2" x14ac:dyDescent="0.2">
      <c r="A342" s="121">
        <v>4210200200</v>
      </c>
      <c r="B342" s="121" t="s">
        <v>436</v>
      </c>
    </row>
    <row r="343" spans="1:2" x14ac:dyDescent="0.2">
      <c r="A343" s="121">
        <v>4210200400</v>
      </c>
      <c r="B343" s="121" t="s">
        <v>437</v>
      </c>
    </row>
    <row r="344" spans="1:2" x14ac:dyDescent="0.2">
      <c r="A344" s="121">
        <v>4210200500</v>
      </c>
      <c r="B344" s="121" t="s">
        <v>437</v>
      </c>
    </row>
    <row r="345" spans="1:2" x14ac:dyDescent="0.2">
      <c r="A345" s="121">
        <v>4210200501</v>
      </c>
      <c r="B345" s="121" t="s">
        <v>437</v>
      </c>
    </row>
    <row r="346" spans="1:2" x14ac:dyDescent="0.2">
      <c r="A346" s="121">
        <v>4210201000</v>
      </c>
      <c r="B346" s="121" t="s">
        <v>437</v>
      </c>
    </row>
    <row r="347" spans="1:2" x14ac:dyDescent="0.2">
      <c r="A347" s="121">
        <v>4210201001</v>
      </c>
      <c r="B347" s="121" t="s">
        <v>437</v>
      </c>
    </row>
    <row r="348" spans="1:2" x14ac:dyDescent="0.2">
      <c r="A348" s="121">
        <v>4210201100</v>
      </c>
      <c r="B348" s="121" t="s">
        <v>437</v>
      </c>
    </row>
    <row r="349" spans="1:2" x14ac:dyDescent="0.2">
      <c r="A349" s="121">
        <v>4210051000</v>
      </c>
      <c r="B349" s="121" t="s">
        <v>438</v>
      </c>
    </row>
    <row r="350" spans="1:2" x14ac:dyDescent="0.2">
      <c r="A350" s="121">
        <v>4210201000</v>
      </c>
      <c r="B350" s="121" t="s">
        <v>438</v>
      </c>
    </row>
    <row r="351" spans="1:2" x14ac:dyDescent="0.2">
      <c r="A351" s="121">
        <v>4210400000</v>
      </c>
      <c r="B351" s="121" t="s">
        <v>438</v>
      </c>
    </row>
    <row r="352" spans="1:2" x14ac:dyDescent="0.2">
      <c r="A352" s="121">
        <v>4245010000</v>
      </c>
      <c r="B352" s="121" t="s">
        <v>438</v>
      </c>
    </row>
    <row r="353" spans="1:2" x14ac:dyDescent="0.2">
      <c r="A353" s="121">
        <v>4250500100</v>
      </c>
      <c r="B353" s="121" t="s">
        <v>438</v>
      </c>
    </row>
    <row r="354" spans="1:2" x14ac:dyDescent="0.2">
      <c r="A354" s="121">
        <v>4250500200</v>
      </c>
      <c r="B354" s="121" t="s">
        <v>438</v>
      </c>
    </row>
    <row r="355" spans="1:2" x14ac:dyDescent="0.2">
      <c r="A355" s="121">
        <v>4250500300</v>
      </c>
      <c r="B355" s="121" t="s">
        <v>438</v>
      </c>
    </row>
    <row r="356" spans="1:2" x14ac:dyDescent="0.2">
      <c r="A356" s="121">
        <v>4250506600</v>
      </c>
      <c r="B356" s="121" t="s">
        <v>438</v>
      </c>
    </row>
    <row r="357" spans="1:2" x14ac:dyDescent="0.2">
      <c r="A357" s="121">
        <v>4255200000</v>
      </c>
      <c r="B357" s="121" t="s">
        <v>438</v>
      </c>
    </row>
    <row r="358" spans="1:2" x14ac:dyDescent="0.2">
      <c r="A358" s="121">
        <v>4295050000</v>
      </c>
      <c r="B358" s="121" t="s">
        <v>438</v>
      </c>
    </row>
    <row r="359" spans="1:2" x14ac:dyDescent="0.2">
      <c r="A359" s="121">
        <v>4295810000</v>
      </c>
      <c r="B359" s="121" t="s">
        <v>438</v>
      </c>
    </row>
    <row r="361" spans="1:2" x14ac:dyDescent="0.2">
      <c r="B361" s="121" t="s">
        <v>439</v>
      </c>
    </row>
    <row r="362" spans="1:2" x14ac:dyDescent="0.2">
      <c r="A362" s="121">
        <v>5305350000</v>
      </c>
      <c r="B362" s="121" t="s">
        <v>440</v>
      </c>
    </row>
    <row r="363" spans="1:2" x14ac:dyDescent="0.2">
      <c r="A363" s="121">
        <v>5310150000</v>
      </c>
      <c r="B363" s="121" t="s">
        <v>440</v>
      </c>
    </row>
    <row r="364" spans="1:2" x14ac:dyDescent="0.2">
      <c r="A364" s="121">
        <v>5310300000</v>
      </c>
      <c r="B364" s="121" t="s">
        <v>440</v>
      </c>
    </row>
    <row r="365" spans="1:2" x14ac:dyDescent="0.2">
      <c r="A365" s="121">
        <v>5310350000</v>
      </c>
      <c r="B365" s="121" t="s">
        <v>440</v>
      </c>
    </row>
    <row r="366" spans="1:2" x14ac:dyDescent="0.2">
      <c r="A366" s="121">
        <v>5313050000</v>
      </c>
      <c r="B366" s="121" t="s">
        <v>440</v>
      </c>
    </row>
    <row r="367" spans="1:2" x14ac:dyDescent="0.2">
      <c r="A367" s="121">
        <v>5315150200</v>
      </c>
      <c r="B367" s="121" t="s">
        <v>440</v>
      </c>
    </row>
    <row r="368" spans="1:2" x14ac:dyDescent="0.2">
      <c r="A368" s="121">
        <v>5315160000</v>
      </c>
      <c r="B368" s="121" t="s">
        <v>440</v>
      </c>
    </row>
    <row r="369" spans="1:3" x14ac:dyDescent="0.2">
      <c r="A369" s="121">
        <v>5315200000</v>
      </c>
      <c r="B369" s="121" t="s">
        <v>440</v>
      </c>
    </row>
    <row r="370" spans="1:3" x14ac:dyDescent="0.2">
      <c r="A370" s="121">
        <v>5315200100</v>
      </c>
      <c r="B370" s="121" t="s">
        <v>440</v>
      </c>
    </row>
    <row r="371" spans="1:3" x14ac:dyDescent="0.2">
      <c r="A371" s="121">
        <v>5315950000</v>
      </c>
      <c r="B371" s="121" t="s">
        <v>440</v>
      </c>
    </row>
    <row r="372" spans="1:3" x14ac:dyDescent="0.2">
      <c r="A372" s="121">
        <v>5395200000</v>
      </c>
      <c r="B372" s="121" t="s">
        <v>440</v>
      </c>
    </row>
    <row r="373" spans="1:3" x14ac:dyDescent="0.2">
      <c r="A373" s="121">
        <v>5395300000</v>
      </c>
      <c r="B373" s="121" t="s">
        <v>440</v>
      </c>
    </row>
    <row r="374" spans="1:3" x14ac:dyDescent="0.2">
      <c r="A374" s="121">
        <v>5395950000</v>
      </c>
      <c r="B374" s="121" t="s">
        <v>440</v>
      </c>
    </row>
    <row r="375" spans="1:3" x14ac:dyDescent="0.2">
      <c r="A375" s="121">
        <v>5305250500</v>
      </c>
      <c r="B375" s="121" t="s">
        <v>441</v>
      </c>
    </row>
    <row r="376" spans="1:3" x14ac:dyDescent="0.2">
      <c r="A376" s="121">
        <v>5305050000</v>
      </c>
      <c r="B376" s="121" t="s">
        <v>442</v>
      </c>
      <c r="C376" s="121">
        <v>5305050000</v>
      </c>
    </row>
    <row r="377" spans="1:3" x14ac:dyDescent="0.2">
      <c r="A377" s="121">
        <v>5305150000</v>
      </c>
      <c r="B377" s="121" t="s">
        <v>442</v>
      </c>
      <c r="C377" s="121">
        <v>5305200100</v>
      </c>
    </row>
    <row r="378" spans="1:3" x14ac:dyDescent="0.2">
      <c r="A378" s="121">
        <v>5305200100</v>
      </c>
      <c r="B378" s="121" t="s">
        <v>442</v>
      </c>
      <c r="C378" s="121">
        <v>5305202200</v>
      </c>
    </row>
    <row r="379" spans="1:3" x14ac:dyDescent="0.2">
      <c r="A379" s="121">
        <v>5305200200</v>
      </c>
      <c r="B379" s="121" t="s">
        <v>442</v>
      </c>
      <c r="C379" s="121">
        <v>5305150000</v>
      </c>
    </row>
    <row r="380" spans="1:3" x14ac:dyDescent="0.2">
      <c r="A380" s="121">
        <v>5305200300</v>
      </c>
      <c r="B380" s="121" t="s">
        <v>442</v>
      </c>
      <c r="C380" s="121">
        <v>5305200101</v>
      </c>
    </row>
    <row r="381" spans="1:3" x14ac:dyDescent="0.2">
      <c r="A381" s="121">
        <v>5305200400</v>
      </c>
      <c r="B381" s="121" t="s">
        <v>442</v>
      </c>
    </row>
    <row r="382" spans="1:3" x14ac:dyDescent="0.2">
      <c r="A382" s="121">
        <v>5305950000</v>
      </c>
      <c r="B382" s="121" t="s">
        <v>442</v>
      </c>
    </row>
    <row r="383" spans="1:3" x14ac:dyDescent="0.2">
      <c r="A383" s="121">
        <v>5315150000</v>
      </c>
      <c r="B383" s="121" t="s">
        <v>442</v>
      </c>
    </row>
    <row r="385" spans="1:2" x14ac:dyDescent="0.2">
      <c r="A385" s="121">
        <v>5405050100</v>
      </c>
      <c r="B385" s="121" t="s">
        <v>443</v>
      </c>
    </row>
    <row r="389" spans="1:2" x14ac:dyDescent="0.2">
      <c r="B389" s="121" t="s">
        <v>364</v>
      </c>
    </row>
    <row r="390" spans="1:2" x14ac:dyDescent="0.2">
      <c r="A390" s="121">
        <v>5205180100</v>
      </c>
      <c r="B390" s="121" t="s">
        <v>380</v>
      </c>
    </row>
    <row r="391" spans="1:2" x14ac:dyDescent="0.2">
      <c r="A391" s="121">
        <v>5205361000</v>
      </c>
      <c r="B391" s="121" t="s">
        <v>382</v>
      </c>
    </row>
    <row r="392" spans="1:2" x14ac:dyDescent="0.2">
      <c r="A392" s="121">
        <v>5205391000</v>
      </c>
      <c r="B392" s="121" t="s">
        <v>382</v>
      </c>
    </row>
    <row r="393" spans="1:2" x14ac:dyDescent="0.2">
      <c r="A393" s="121">
        <v>5205422000</v>
      </c>
      <c r="B393" s="121" t="s">
        <v>382</v>
      </c>
    </row>
    <row r="394" spans="1:2" x14ac:dyDescent="0.2">
      <c r="A394" s="121">
        <v>5205691000</v>
      </c>
      <c r="B394" s="121" t="s">
        <v>382</v>
      </c>
    </row>
    <row r="395" spans="1:2" x14ac:dyDescent="0.2">
      <c r="A395" s="121">
        <v>5205701000</v>
      </c>
      <c r="B395" s="121" t="s">
        <v>382</v>
      </c>
    </row>
    <row r="396" spans="1:2" x14ac:dyDescent="0.2">
      <c r="A396" s="121">
        <v>5205060100</v>
      </c>
      <c r="B396" s="121" t="s">
        <v>399</v>
      </c>
    </row>
    <row r="397" spans="1:2" x14ac:dyDescent="0.2">
      <c r="A397" s="121">
        <v>5205150100</v>
      </c>
      <c r="B397" s="121" t="s">
        <v>399</v>
      </c>
    </row>
    <row r="398" spans="1:2" x14ac:dyDescent="0.2">
      <c r="A398" s="121">
        <v>5205360100</v>
      </c>
      <c r="B398" s="121" t="s">
        <v>400</v>
      </c>
    </row>
    <row r="399" spans="1:2" x14ac:dyDescent="0.2">
      <c r="A399" s="121">
        <v>5205390100</v>
      </c>
      <c r="B399" s="121" t="s">
        <v>400</v>
      </c>
    </row>
    <row r="400" spans="1:2" x14ac:dyDescent="0.2">
      <c r="A400" s="121">
        <v>5205600100</v>
      </c>
      <c r="B400" s="121" t="s">
        <v>400</v>
      </c>
    </row>
    <row r="401" spans="1:2" x14ac:dyDescent="0.2">
      <c r="A401" s="121">
        <v>5205690100</v>
      </c>
      <c r="B401" s="121" t="s">
        <v>400</v>
      </c>
    </row>
    <row r="402" spans="1:2" x14ac:dyDescent="0.2">
      <c r="A402" s="121">
        <v>5205700100</v>
      </c>
      <c r="B402" s="121" t="s">
        <v>400</v>
      </c>
    </row>
    <row r="403" spans="1:2" x14ac:dyDescent="0.2">
      <c r="A403" s="121">
        <v>5205700100</v>
      </c>
      <c r="B403" s="121" t="s">
        <v>400</v>
      </c>
    </row>
    <row r="404" spans="1:2" x14ac:dyDescent="0.2">
      <c r="A404" s="121">
        <v>5205700200</v>
      </c>
      <c r="B404" s="121" t="s">
        <v>400</v>
      </c>
    </row>
    <row r="405" spans="1:2" x14ac:dyDescent="0.2">
      <c r="A405" s="121">
        <v>5205780100</v>
      </c>
      <c r="B405" s="121" t="s">
        <v>400</v>
      </c>
    </row>
    <row r="406" spans="1:2" x14ac:dyDescent="0.2">
      <c r="A406" s="121">
        <v>5105060000</v>
      </c>
      <c r="B406" s="121" t="s">
        <v>415</v>
      </c>
    </row>
    <row r="407" spans="1:2" x14ac:dyDescent="0.2">
      <c r="A407" s="121">
        <v>5105150000</v>
      </c>
      <c r="B407" s="121" t="s">
        <v>415</v>
      </c>
    </row>
    <row r="408" spans="1:2" x14ac:dyDescent="0.2">
      <c r="A408" s="121">
        <v>5105360000</v>
      </c>
      <c r="B408" s="121" t="s">
        <v>416</v>
      </c>
    </row>
    <row r="409" spans="1:2" x14ac:dyDescent="0.2">
      <c r="A409" s="121">
        <v>5105390000</v>
      </c>
      <c r="B409" s="121" t="s">
        <v>416</v>
      </c>
    </row>
    <row r="410" spans="1:2" x14ac:dyDescent="0.2">
      <c r="A410" s="121">
        <v>5105600000</v>
      </c>
      <c r="B410" s="121" t="s">
        <v>416</v>
      </c>
    </row>
    <row r="411" spans="1:2" x14ac:dyDescent="0.2">
      <c r="A411" s="121">
        <v>5105690000</v>
      </c>
      <c r="B411" s="121" t="s">
        <v>416</v>
      </c>
    </row>
    <row r="412" spans="1:2" x14ac:dyDescent="0.2">
      <c r="A412" s="121">
        <v>5105700000</v>
      </c>
      <c r="B412" s="121" t="s">
        <v>416</v>
      </c>
    </row>
    <row r="413" spans="1:2" x14ac:dyDescent="0.2">
      <c r="A413" s="121">
        <v>5105780000</v>
      </c>
      <c r="B413" s="121" t="s">
        <v>416</v>
      </c>
    </row>
    <row r="414" spans="1:2" x14ac:dyDescent="0.2">
      <c r="A414" s="121">
        <v>5105950000</v>
      </c>
      <c r="B414" s="121" t="s">
        <v>416</v>
      </c>
    </row>
    <row r="415" spans="1:2" x14ac:dyDescent="0.2">
      <c r="A415" s="121">
        <v>5105180000</v>
      </c>
      <c r="B415" s="121" t="s">
        <v>417</v>
      </c>
    </row>
    <row r="416" spans="1:2" x14ac:dyDescent="0.2">
      <c r="A416" s="121">
        <v>5105391000</v>
      </c>
      <c r="B416" s="121" t="s">
        <v>419</v>
      </c>
    </row>
    <row r="417" spans="1:3" x14ac:dyDescent="0.2">
      <c r="A417" s="121">
        <v>5105691000</v>
      </c>
      <c r="B417" s="121" t="s">
        <v>419</v>
      </c>
    </row>
    <row r="418" spans="1:3" x14ac:dyDescent="0.2">
      <c r="A418" s="121">
        <v>5105701000</v>
      </c>
      <c r="B418" s="121" t="s">
        <v>419</v>
      </c>
    </row>
    <row r="421" spans="1:3" x14ac:dyDescent="0.2">
      <c r="A421" s="121">
        <v>5160100000</v>
      </c>
      <c r="B421" s="121" t="s">
        <v>444</v>
      </c>
      <c r="C421" s="121" t="s">
        <v>445</v>
      </c>
    </row>
    <row r="427" spans="1:3" x14ac:dyDescent="0.2">
      <c r="A427" s="122" t="s">
        <v>446</v>
      </c>
    </row>
    <row r="428" spans="1:3" x14ac:dyDescent="0.2">
      <c r="A428" s="121">
        <v>1105050100</v>
      </c>
      <c r="B428" s="121" t="s">
        <v>447</v>
      </c>
      <c r="C428" s="123">
        <v>0</v>
      </c>
    </row>
    <row r="429" spans="1:3" x14ac:dyDescent="0.2">
      <c r="A429" s="121">
        <v>1105100200</v>
      </c>
      <c r="B429" s="121" t="s">
        <v>448</v>
      </c>
      <c r="C429" s="123">
        <v>7650000</v>
      </c>
    </row>
    <row r="430" spans="1:3" x14ac:dyDescent="0.2">
      <c r="A430" s="121">
        <v>1110050101</v>
      </c>
      <c r="B430" s="121" t="s">
        <v>449</v>
      </c>
      <c r="C430" s="123">
        <v>87094833.519999996</v>
      </c>
    </row>
    <row r="431" spans="1:3" x14ac:dyDescent="0.2">
      <c r="A431" s="121">
        <v>1110050106</v>
      </c>
      <c r="B431" s="121" t="s">
        <v>450</v>
      </c>
      <c r="C431" s="123">
        <v>4020934.46</v>
      </c>
    </row>
    <row r="432" spans="1:3" x14ac:dyDescent="0.2">
      <c r="A432" s="121">
        <v>1110050108</v>
      </c>
      <c r="B432" s="121" t="s">
        <v>451</v>
      </c>
      <c r="C432" s="123">
        <v>2182803.0099999998</v>
      </c>
    </row>
    <row r="433" spans="1:3" x14ac:dyDescent="0.2">
      <c r="A433" s="121">
        <v>1110050110</v>
      </c>
      <c r="B433" s="121" t="s">
        <v>452</v>
      </c>
      <c r="C433" s="123">
        <v>562187.67000000004</v>
      </c>
    </row>
    <row r="434" spans="1:3" x14ac:dyDescent="0.2">
      <c r="A434" s="121">
        <v>1110050111</v>
      </c>
      <c r="B434" s="121" t="s">
        <v>453</v>
      </c>
      <c r="C434" s="123">
        <v>4855691.87</v>
      </c>
    </row>
    <row r="435" spans="1:3" x14ac:dyDescent="0.2">
      <c r="A435" s="121">
        <v>1110100101</v>
      </c>
      <c r="B435" s="121" t="s">
        <v>454</v>
      </c>
      <c r="C435" s="123">
        <v>6300643.9299999997</v>
      </c>
    </row>
    <row r="436" spans="1:3" x14ac:dyDescent="0.2">
      <c r="A436" s="121">
        <v>1125100200</v>
      </c>
      <c r="B436" s="121" t="s">
        <v>455</v>
      </c>
      <c r="C436" s="123">
        <v>1355004.36</v>
      </c>
    </row>
    <row r="437" spans="1:3" x14ac:dyDescent="0.2">
      <c r="A437" s="121">
        <v>1130050100</v>
      </c>
      <c r="B437" s="121" t="s">
        <v>456</v>
      </c>
      <c r="C437" s="123">
        <v>377428.44</v>
      </c>
    </row>
    <row r="438" spans="1:3" x14ac:dyDescent="0.2">
      <c r="A438" s="122"/>
      <c r="C438" s="123">
        <f>SUM(C428:C437)</f>
        <v>114399527.26000001</v>
      </c>
    </row>
    <row r="439" spans="1:3" x14ac:dyDescent="0.2">
      <c r="A439" s="122"/>
    </row>
    <row r="440" spans="1:3" x14ac:dyDescent="0.2">
      <c r="A440" s="121">
        <v>1101</v>
      </c>
      <c r="B440" s="121" t="s">
        <v>457</v>
      </c>
    </row>
    <row r="441" spans="1:3" x14ac:dyDescent="0.2">
      <c r="A441" s="121">
        <v>1102</v>
      </c>
      <c r="B441" s="121" t="s">
        <v>458</v>
      </c>
    </row>
    <row r="442" spans="1:3" x14ac:dyDescent="0.2">
      <c r="A442" s="121">
        <v>1103</v>
      </c>
      <c r="B442" s="121" t="s">
        <v>459</v>
      </c>
    </row>
    <row r="443" spans="1:3" x14ac:dyDescent="0.2">
      <c r="A443" s="121">
        <v>1104</v>
      </c>
      <c r="B443" s="121" t="s">
        <v>460</v>
      </c>
    </row>
    <row r="444" spans="1:3" x14ac:dyDescent="0.2">
      <c r="A444" s="121" t="s">
        <v>461</v>
      </c>
      <c r="B444" s="121" t="s">
        <v>462</v>
      </c>
    </row>
    <row r="445" spans="1:3" x14ac:dyDescent="0.2">
      <c r="A445" s="121">
        <v>1106</v>
      </c>
      <c r="B445" s="121" t="s">
        <v>463</v>
      </c>
    </row>
    <row r="446" spans="1:3" x14ac:dyDescent="0.2">
      <c r="B446" s="121" t="s">
        <v>464</v>
      </c>
    </row>
    <row r="448" spans="1:3" x14ac:dyDescent="0.2">
      <c r="B448" s="121" t="s">
        <v>465</v>
      </c>
    </row>
    <row r="450" spans="1:2" x14ac:dyDescent="0.2">
      <c r="B450" s="121" t="s">
        <v>95</v>
      </c>
    </row>
    <row r="451" spans="1:2" x14ac:dyDescent="0.2">
      <c r="A451" s="121">
        <v>1201</v>
      </c>
      <c r="B451" s="121" t="s">
        <v>466</v>
      </c>
    </row>
    <row r="452" spans="1:2" x14ac:dyDescent="0.2">
      <c r="A452" s="121">
        <v>1202</v>
      </c>
      <c r="B452" s="121" t="s">
        <v>467</v>
      </c>
    </row>
    <row r="453" spans="1:2" x14ac:dyDescent="0.2">
      <c r="A453" s="121">
        <v>1203</v>
      </c>
      <c r="B453" s="121" t="s">
        <v>468</v>
      </c>
    </row>
    <row r="454" spans="1:2" x14ac:dyDescent="0.2">
      <c r="A454" s="121">
        <v>1204</v>
      </c>
      <c r="B454" s="121" t="s">
        <v>469</v>
      </c>
    </row>
    <row r="455" spans="1:2" x14ac:dyDescent="0.2">
      <c r="A455" s="121">
        <v>1205</v>
      </c>
      <c r="B455" s="121" t="s">
        <v>470</v>
      </c>
    </row>
    <row r="456" spans="1:2" x14ac:dyDescent="0.2">
      <c r="A456" s="121">
        <v>1206</v>
      </c>
      <c r="B456" s="121" t="s">
        <v>471</v>
      </c>
    </row>
    <row r="458" spans="1:2" x14ac:dyDescent="0.2">
      <c r="B458" s="121" t="s">
        <v>472</v>
      </c>
    </row>
    <row r="460" spans="1:2" x14ac:dyDescent="0.2">
      <c r="B460" s="121" t="s">
        <v>473</v>
      </c>
    </row>
    <row r="461" spans="1:2" x14ac:dyDescent="0.2">
      <c r="A461" s="121">
        <v>1208</v>
      </c>
      <c r="B461" s="121" t="s">
        <v>474</v>
      </c>
    </row>
    <row r="463" spans="1:2" x14ac:dyDescent="0.2">
      <c r="B463" s="121" t="s">
        <v>96</v>
      </c>
    </row>
    <row r="464" spans="1:2" x14ac:dyDescent="0.2">
      <c r="A464" s="121" t="s">
        <v>475</v>
      </c>
      <c r="B464" s="121" t="s">
        <v>476</v>
      </c>
    </row>
    <row r="465" spans="1:2" x14ac:dyDescent="0.2">
      <c r="A465" s="121">
        <v>1210</v>
      </c>
      <c r="B465" s="121" t="s">
        <v>477</v>
      </c>
    </row>
    <row r="466" spans="1:2" x14ac:dyDescent="0.2">
      <c r="A466" s="121">
        <v>1211</v>
      </c>
      <c r="B466" s="121" t="s">
        <v>478</v>
      </c>
    </row>
    <row r="467" spans="1:2" x14ac:dyDescent="0.2">
      <c r="A467" s="121">
        <v>1212</v>
      </c>
      <c r="B467" s="121" t="s">
        <v>479</v>
      </c>
    </row>
    <row r="468" spans="1:2" x14ac:dyDescent="0.2">
      <c r="B468" s="121" t="s">
        <v>480</v>
      </c>
    </row>
    <row r="470" spans="1:2" x14ac:dyDescent="0.2">
      <c r="B470" s="121" t="s">
        <v>97</v>
      </c>
    </row>
    <row r="471" spans="1:2" x14ac:dyDescent="0.2">
      <c r="A471" s="121">
        <v>1214</v>
      </c>
      <c r="B471" s="121" t="s">
        <v>481</v>
      </c>
    </row>
    <row r="472" spans="1:2" x14ac:dyDescent="0.2">
      <c r="A472" s="121">
        <v>1242</v>
      </c>
      <c r="B472" s="121" t="s">
        <v>482</v>
      </c>
    </row>
    <row r="473" spans="1:2" x14ac:dyDescent="0.2">
      <c r="A473" s="121">
        <v>1243</v>
      </c>
      <c r="B473" s="121" t="s">
        <v>483</v>
      </c>
    </row>
    <row r="474" spans="1:2" x14ac:dyDescent="0.2">
      <c r="A474" s="121">
        <v>1244</v>
      </c>
      <c r="B474" s="121" t="s">
        <v>484</v>
      </c>
    </row>
    <row r="475" spans="1:2" x14ac:dyDescent="0.2">
      <c r="A475" s="121">
        <v>1245</v>
      </c>
      <c r="B475" s="121" t="s">
        <v>485</v>
      </c>
    </row>
    <row r="476" spans="1:2" x14ac:dyDescent="0.2">
      <c r="A476" s="121">
        <v>1246</v>
      </c>
      <c r="B476" s="121" t="s">
        <v>486</v>
      </c>
    </row>
    <row r="477" spans="1:2" x14ac:dyDescent="0.2">
      <c r="A477" s="121">
        <v>1215</v>
      </c>
      <c r="B477" s="121" t="s">
        <v>487</v>
      </c>
    </row>
    <row r="478" spans="1:2" x14ac:dyDescent="0.2">
      <c r="A478" s="121">
        <v>1216</v>
      </c>
      <c r="B478" s="121" t="s">
        <v>488</v>
      </c>
    </row>
    <row r="479" spans="1:2" x14ac:dyDescent="0.2">
      <c r="A479" s="121">
        <v>1217</v>
      </c>
      <c r="B479" s="121" t="s">
        <v>489</v>
      </c>
    </row>
    <row r="480" spans="1:2" x14ac:dyDescent="0.2">
      <c r="A480" s="121">
        <v>1218</v>
      </c>
      <c r="B480" s="121" t="s">
        <v>490</v>
      </c>
    </row>
    <row r="481" spans="1:2" x14ac:dyDescent="0.2">
      <c r="A481" s="121">
        <v>1219</v>
      </c>
      <c r="B481" s="121" t="s">
        <v>491</v>
      </c>
    </row>
    <row r="482" spans="1:2" x14ac:dyDescent="0.2">
      <c r="A482" s="121">
        <v>1220</v>
      </c>
      <c r="B482" s="121" t="s">
        <v>492</v>
      </c>
    </row>
    <row r="483" spans="1:2" x14ac:dyDescent="0.2">
      <c r="A483" s="121">
        <v>1221</v>
      </c>
      <c r="B483" s="121" t="s">
        <v>493</v>
      </c>
    </row>
    <row r="484" spans="1:2" x14ac:dyDescent="0.2">
      <c r="A484" s="121">
        <v>1222</v>
      </c>
      <c r="B484" s="121" t="s">
        <v>494</v>
      </c>
    </row>
    <row r="485" spans="1:2" x14ac:dyDescent="0.2">
      <c r="A485" s="121">
        <v>1223</v>
      </c>
      <c r="B485" s="121" t="s">
        <v>495</v>
      </c>
    </row>
    <row r="486" spans="1:2" x14ac:dyDescent="0.2">
      <c r="A486" s="121">
        <v>1224</v>
      </c>
      <c r="B486" s="121" t="s">
        <v>496</v>
      </c>
    </row>
    <row r="487" spans="1:2" x14ac:dyDescent="0.2">
      <c r="A487" s="121">
        <v>1225</v>
      </c>
      <c r="B487" s="121" t="s">
        <v>497</v>
      </c>
    </row>
    <row r="488" spans="1:2" x14ac:dyDescent="0.2">
      <c r="A488" s="121">
        <v>1226</v>
      </c>
      <c r="B488" s="121" t="s">
        <v>498</v>
      </c>
    </row>
    <row r="489" spans="1:2" x14ac:dyDescent="0.2">
      <c r="A489" s="121">
        <v>1227</v>
      </c>
      <c r="B489" s="121" t="s">
        <v>499</v>
      </c>
    </row>
    <row r="490" spans="1:2" x14ac:dyDescent="0.2">
      <c r="A490" s="121">
        <v>1228</v>
      </c>
      <c r="B490" s="121" t="s">
        <v>500</v>
      </c>
    </row>
    <row r="491" spans="1:2" x14ac:dyDescent="0.2">
      <c r="A491" s="121">
        <v>1229</v>
      </c>
      <c r="B491" s="121" t="s">
        <v>501</v>
      </c>
    </row>
    <row r="492" spans="1:2" x14ac:dyDescent="0.2">
      <c r="A492" s="121">
        <v>1230</v>
      </c>
      <c r="B492" s="121" t="s">
        <v>502</v>
      </c>
    </row>
    <row r="493" spans="1:2" x14ac:dyDescent="0.2">
      <c r="A493" s="121">
        <v>1231</v>
      </c>
      <c r="B493" s="121" t="s">
        <v>503</v>
      </c>
    </row>
    <row r="494" spans="1:2" x14ac:dyDescent="0.2">
      <c r="A494" s="121">
        <v>1232</v>
      </c>
      <c r="B494" s="121" t="s">
        <v>504</v>
      </c>
    </row>
    <row r="495" spans="1:2" x14ac:dyDescent="0.2">
      <c r="A495" s="121">
        <v>1233</v>
      </c>
      <c r="B495" s="121" t="s">
        <v>505</v>
      </c>
    </row>
    <row r="496" spans="1:2" x14ac:dyDescent="0.2">
      <c r="A496" s="121">
        <v>1234</v>
      </c>
      <c r="B496" s="121" t="s">
        <v>506</v>
      </c>
    </row>
    <row r="497" spans="1:2" x14ac:dyDescent="0.2">
      <c r="A497" s="121">
        <v>1235</v>
      </c>
      <c r="B497" s="121" t="s">
        <v>507</v>
      </c>
    </row>
    <row r="498" spans="1:2" x14ac:dyDescent="0.2">
      <c r="A498" s="121">
        <v>1236</v>
      </c>
      <c r="B498" s="121" t="s">
        <v>508</v>
      </c>
    </row>
    <row r="499" spans="1:2" x14ac:dyDescent="0.2">
      <c r="A499" s="121">
        <v>1237</v>
      </c>
      <c r="B499" s="121" t="s">
        <v>509</v>
      </c>
    </row>
    <row r="500" spans="1:2" x14ac:dyDescent="0.2">
      <c r="A500" s="121">
        <v>1238</v>
      </c>
      <c r="B500" s="121" t="s">
        <v>510</v>
      </c>
    </row>
    <row r="501" spans="1:2" x14ac:dyDescent="0.2">
      <c r="A501" s="121">
        <v>1239</v>
      </c>
      <c r="B501" s="121" t="s">
        <v>511</v>
      </c>
    </row>
    <row r="502" spans="1:2" x14ac:dyDescent="0.2">
      <c r="A502" s="121">
        <v>1240</v>
      </c>
      <c r="B502" s="121" t="s">
        <v>512</v>
      </c>
    </row>
    <row r="503" spans="1:2" x14ac:dyDescent="0.2">
      <c r="A503" s="121">
        <v>1241</v>
      </c>
      <c r="B503" s="121" t="s">
        <v>513</v>
      </c>
    </row>
    <row r="504" spans="1:2" x14ac:dyDescent="0.2">
      <c r="B504" s="121" t="s">
        <v>514</v>
      </c>
    </row>
    <row r="506" spans="1:2" x14ac:dyDescent="0.2">
      <c r="B506" s="121" t="s">
        <v>515</v>
      </c>
    </row>
    <row r="508" spans="1:2" x14ac:dyDescent="0.2">
      <c r="B508" s="121" t="s">
        <v>516</v>
      </c>
    </row>
    <row r="510" spans="1:2" x14ac:dyDescent="0.2">
      <c r="B510" s="121" t="s">
        <v>517</v>
      </c>
    </row>
    <row r="512" spans="1:2" x14ac:dyDescent="0.2">
      <c r="B512" s="121" t="s">
        <v>518</v>
      </c>
    </row>
    <row r="513" spans="1:2" x14ac:dyDescent="0.2">
      <c r="A513" s="121">
        <v>2101</v>
      </c>
      <c r="B513" s="121" t="s">
        <v>519</v>
      </c>
    </row>
    <row r="514" spans="1:2" x14ac:dyDescent="0.2">
      <c r="A514" s="121">
        <v>2102</v>
      </c>
      <c r="B514" s="121" t="s">
        <v>520</v>
      </c>
    </row>
    <row r="515" spans="1:2" x14ac:dyDescent="0.2">
      <c r="A515" s="121">
        <v>2103</v>
      </c>
      <c r="B515" s="121" t="s">
        <v>521</v>
      </c>
    </row>
    <row r="516" spans="1:2" x14ac:dyDescent="0.2">
      <c r="A516" s="121">
        <v>1207</v>
      </c>
      <c r="B516" s="121" t="s">
        <v>522</v>
      </c>
    </row>
    <row r="517" spans="1:2" x14ac:dyDescent="0.2">
      <c r="B517" s="121" t="s">
        <v>523</v>
      </c>
    </row>
    <row r="519" spans="1:2" x14ac:dyDescent="0.2">
      <c r="B519" s="121" t="s">
        <v>98</v>
      </c>
    </row>
    <row r="520" spans="1:2" x14ac:dyDescent="0.2">
      <c r="A520" s="121">
        <v>3101</v>
      </c>
      <c r="B520" s="121" t="s">
        <v>524</v>
      </c>
    </row>
    <row r="521" spans="1:2" x14ac:dyDescent="0.2">
      <c r="A521" s="121" t="s">
        <v>525</v>
      </c>
      <c r="B521" s="121" t="s">
        <v>526</v>
      </c>
    </row>
    <row r="522" spans="1:2" x14ac:dyDescent="0.2">
      <c r="A522" s="121">
        <v>3103</v>
      </c>
      <c r="B522" s="121" t="s">
        <v>527</v>
      </c>
    </row>
    <row r="523" spans="1:2" x14ac:dyDescent="0.2">
      <c r="A523" s="121">
        <v>3104</v>
      </c>
      <c r="B523" s="121" t="s">
        <v>528</v>
      </c>
    </row>
    <row r="524" spans="1:2" x14ac:dyDescent="0.2">
      <c r="B524" s="121" t="s">
        <v>529</v>
      </c>
    </row>
    <row r="526" spans="1:2" x14ac:dyDescent="0.2">
      <c r="B526" s="121" t="s">
        <v>530</v>
      </c>
    </row>
    <row r="534" spans="1:12" x14ac:dyDescent="0.2">
      <c r="B534" s="121" t="s">
        <v>531</v>
      </c>
    </row>
    <row r="535" spans="1:12" x14ac:dyDescent="0.2">
      <c r="B535" s="121" t="s">
        <v>532</v>
      </c>
    </row>
    <row r="536" spans="1:12" x14ac:dyDescent="0.2">
      <c r="A536" s="121">
        <v>5101</v>
      </c>
      <c r="B536" s="121" t="s">
        <v>533</v>
      </c>
    </row>
    <row r="537" spans="1:12" x14ac:dyDescent="0.2">
      <c r="A537" s="121">
        <v>5102</v>
      </c>
      <c r="B537" s="121" t="s">
        <v>534</v>
      </c>
    </row>
    <row r="538" spans="1:12" x14ac:dyDescent="0.2">
      <c r="A538" s="121">
        <v>5103</v>
      </c>
      <c r="B538" s="121" t="s">
        <v>535</v>
      </c>
    </row>
    <row r="539" spans="1:12" x14ac:dyDescent="0.2">
      <c r="A539" s="121">
        <v>5104</v>
      </c>
      <c r="B539" s="121" t="s">
        <v>536</v>
      </c>
    </row>
    <row r="540" spans="1:12" x14ac:dyDescent="0.2">
      <c r="A540" s="121">
        <v>5105</v>
      </c>
      <c r="B540" s="121" t="s">
        <v>537</v>
      </c>
      <c r="E540" s="121" t="s">
        <v>538</v>
      </c>
      <c r="F540" s="121" t="s">
        <v>539</v>
      </c>
    </row>
    <row r="541" spans="1:12" x14ac:dyDescent="0.2">
      <c r="B541" s="121" t="s">
        <v>540</v>
      </c>
    </row>
    <row r="542" spans="1:12" x14ac:dyDescent="0.2">
      <c r="E542" s="121" t="s">
        <v>541</v>
      </c>
      <c r="G542" s="121"/>
      <c r="H542" s="121"/>
      <c r="I542" s="121"/>
      <c r="J542" s="121"/>
      <c r="K542" s="121"/>
      <c r="L542" s="121"/>
    </row>
    <row r="543" spans="1:12" x14ac:dyDescent="0.2">
      <c r="B543" s="121" t="s">
        <v>530</v>
      </c>
      <c r="E543" s="121" t="s">
        <v>542</v>
      </c>
      <c r="F543" s="121" t="s">
        <v>543</v>
      </c>
      <c r="G543" s="121" t="s">
        <v>109</v>
      </c>
      <c r="H543" s="121"/>
      <c r="I543" s="121"/>
      <c r="J543" s="121"/>
      <c r="K543" s="121"/>
      <c r="L543" s="121"/>
    </row>
    <row r="544" spans="1:12" x14ac:dyDescent="0.2">
      <c r="A544" s="121">
        <v>6190</v>
      </c>
      <c r="B544" s="121" t="s">
        <v>544</v>
      </c>
      <c r="E544" s="121" t="s">
        <v>545</v>
      </c>
      <c r="F544" s="121" t="s">
        <v>546</v>
      </c>
      <c r="G544" s="132">
        <v>157866000</v>
      </c>
      <c r="H544" s="121"/>
      <c r="I544" s="121"/>
      <c r="J544" s="121"/>
      <c r="K544" s="121"/>
      <c r="L544" s="121"/>
    </row>
    <row r="545" spans="1:12" x14ac:dyDescent="0.2">
      <c r="A545" s="121">
        <v>7101</v>
      </c>
      <c r="B545" s="121" t="s">
        <v>547</v>
      </c>
      <c r="E545" s="121" t="s">
        <v>548</v>
      </c>
      <c r="F545" s="121" t="s">
        <v>549</v>
      </c>
      <c r="G545" s="132">
        <v>487283000</v>
      </c>
      <c r="H545" s="121"/>
      <c r="I545" s="121"/>
      <c r="J545" s="121"/>
      <c r="K545" s="121"/>
      <c r="L545" s="121"/>
    </row>
    <row r="546" spans="1:12" x14ac:dyDescent="0.2">
      <c r="A546" s="121">
        <v>7102</v>
      </c>
      <c r="B546" s="121" t="s">
        <v>549</v>
      </c>
      <c r="E546" s="121" t="s">
        <v>550</v>
      </c>
      <c r="F546" s="121" t="s">
        <v>551</v>
      </c>
      <c r="G546" s="132">
        <v>821000000</v>
      </c>
      <c r="H546" s="121"/>
      <c r="I546" s="121"/>
      <c r="J546" s="121"/>
      <c r="K546" s="121"/>
      <c r="L546" s="121"/>
    </row>
    <row r="547" spans="1:12" x14ac:dyDescent="0.2">
      <c r="A547" s="121">
        <v>7103</v>
      </c>
      <c r="B547" s="121" t="s">
        <v>552</v>
      </c>
      <c r="E547" s="121" t="s">
        <v>336</v>
      </c>
      <c r="G547" s="132">
        <v>1466149000</v>
      </c>
      <c r="H547" s="121"/>
      <c r="I547" s="121"/>
      <c r="J547" s="121"/>
      <c r="K547" s="121"/>
      <c r="L547" s="121"/>
    </row>
    <row r="548" spans="1:12" x14ac:dyDescent="0.2">
      <c r="A548" s="121">
        <v>7105</v>
      </c>
      <c r="B548" s="121" t="s">
        <v>553</v>
      </c>
      <c r="G548" s="121"/>
      <c r="H548" s="121"/>
      <c r="I548" s="121"/>
      <c r="J548" s="121"/>
      <c r="K548" s="121"/>
      <c r="L548" s="121"/>
    </row>
    <row r="549" spans="1:12" x14ac:dyDescent="0.2">
      <c r="A549" s="121" t="s">
        <v>554</v>
      </c>
      <c r="B549" s="121" t="s">
        <v>555</v>
      </c>
      <c r="G549" s="121"/>
      <c r="H549" s="121"/>
      <c r="I549" s="121"/>
      <c r="J549" s="121"/>
      <c r="K549" s="121"/>
      <c r="L549" s="121"/>
    </row>
    <row r="550" spans="1:12" x14ac:dyDescent="0.2">
      <c r="A550" s="121">
        <v>4101</v>
      </c>
      <c r="B550" s="121" t="s">
        <v>556</v>
      </c>
      <c r="G550" s="121"/>
      <c r="H550" s="121"/>
      <c r="I550" s="121"/>
      <c r="J550" s="121"/>
      <c r="K550" s="121"/>
    </row>
    <row r="551" spans="1:12" x14ac:dyDescent="0.2">
      <c r="A551" s="121">
        <v>4102</v>
      </c>
      <c r="B551" s="121" t="s">
        <v>546</v>
      </c>
      <c r="G551" s="121"/>
      <c r="H551" s="121"/>
      <c r="I551" s="121"/>
      <c r="J551" s="121"/>
      <c r="K551" s="121"/>
    </row>
    <row r="552" spans="1:12" x14ac:dyDescent="0.2">
      <c r="A552" s="121">
        <v>7104</v>
      </c>
      <c r="B552" s="121" t="s">
        <v>557</v>
      </c>
      <c r="E552" s="121">
        <v>6190</v>
      </c>
      <c r="F552" s="121" t="s">
        <v>544</v>
      </c>
      <c r="G552" s="121"/>
      <c r="H552" s="121"/>
      <c r="I552" s="121"/>
      <c r="J552" s="121"/>
      <c r="K552" s="121"/>
    </row>
    <row r="553" spans="1:12" x14ac:dyDescent="0.2">
      <c r="G553" s="121"/>
      <c r="H553" s="121"/>
      <c r="I553" s="121"/>
      <c r="J553" s="121"/>
      <c r="K553" s="121"/>
    </row>
    <row r="554" spans="1:12" x14ac:dyDescent="0.2">
      <c r="B554" s="121" t="s">
        <v>558</v>
      </c>
      <c r="G554" s="121"/>
      <c r="H554" s="121"/>
      <c r="I554" s="121"/>
      <c r="J554" s="121"/>
      <c r="K554" s="121"/>
    </row>
    <row r="555" spans="1:12" x14ac:dyDescent="0.2">
      <c r="A555" s="122" t="s">
        <v>559</v>
      </c>
      <c r="G555" s="121"/>
    </row>
    <row r="556" spans="1:12" x14ac:dyDescent="0.2">
      <c r="A556" s="136">
        <v>1110050100</v>
      </c>
      <c r="B556" s="137" t="s">
        <v>560</v>
      </c>
      <c r="G556" s="121"/>
    </row>
    <row r="557" spans="1:12" x14ac:dyDescent="0.2">
      <c r="A557" s="136">
        <v>1110050200</v>
      </c>
      <c r="B557" s="121" t="s">
        <v>561</v>
      </c>
      <c r="G557" s="121"/>
    </row>
    <row r="558" spans="1:12" x14ac:dyDescent="0.2">
      <c r="G558" s="121"/>
    </row>
    <row r="562" spans="1:2" x14ac:dyDescent="0.2">
      <c r="A562" s="121">
        <v>4170250000</v>
      </c>
      <c r="B562" s="121" t="s">
        <v>562</v>
      </c>
    </row>
    <row r="564" spans="1:2" x14ac:dyDescent="0.2">
      <c r="A564" s="121">
        <v>4218050000</v>
      </c>
      <c r="B564" s="121" t="s">
        <v>563</v>
      </c>
    </row>
    <row r="567" spans="1:2" x14ac:dyDescent="0.2">
      <c r="A567" s="121">
        <v>5210350000</v>
      </c>
      <c r="B567" s="121" t="s">
        <v>564</v>
      </c>
    </row>
    <row r="568" spans="1:2" x14ac:dyDescent="0.2">
      <c r="A568" s="121">
        <v>5140950000</v>
      </c>
    </row>
    <row r="570" spans="1:2" x14ac:dyDescent="0.2">
      <c r="A570" s="136">
        <v>5305950000</v>
      </c>
      <c r="B570" s="121" t="s">
        <v>565</v>
      </c>
    </row>
    <row r="571" spans="1:2" x14ac:dyDescent="0.2">
      <c r="A571" s="136">
        <v>5313050000</v>
      </c>
      <c r="B571" s="121" t="s">
        <v>563</v>
      </c>
    </row>
    <row r="572" spans="1:2" x14ac:dyDescent="0.2">
      <c r="A572" s="121">
        <v>5310950000</v>
      </c>
      <c r="B572" s="121" t="s">
        <v>566</v>
      </c>
    </row>
    <row r="576" spans="1:2" x14ac:dyDescent="0.2">
      <c r="A576" s="121">
        <v>1101</v>
      </c>
      <c r="B576" s="121" t="s">
        <v>567</v>
      </c>
    </row>
    <row r="577" spans="1:3" x14ac:dyDescent="0.2">
      <c r="A577" s="121">
        <v>1102</v>
      </c>
      <c r="B577" s="121" t="s">
        <v>568</v>
      </c>
    </row>
    <row r="578" spans="1:3" x14ac:dyDescent="0.2">
      <c r="A578" s="121">
        <v>1103</v>
      </c>
      <c r="B578" s="121" t="s">
        <v>569</v>
      </c>
    </row>
    <row r="579" spans="1:3" x14ac:dyDescent="0.2">
      <c r="A579" s="121">
        <v>1104</v>
      </c>
      <c r="B579" s="121" t="s">
        <v>570</v>
      </c>
    </row>
    <row r="580" spans="1:3" x14ac:dyDescent="0.2">
      <c r="A580" s="121">
        <v>1106</v>
      </c>
      <c r="B580" s="121" t="s">
        <v>571</v>
      </c>
    </row>
    <row r="581" spans="1:3" x14ac:dyDescent="0.2">
      <c r="A581" s="121">
        <v>9999</v>
      </c>
      <c r="B581" s="121" t="s">
        <v>572</v>
      </c>
      <c r="C581" s="121" t="s">
        <v>573</v>
      </c>
    </row>
    <row r="583" spans="1:3" x14ac:dyDescent="0.2">
      <c r="A583" s="121">
        <v>1218</v>
      </c>
      <c r="B583" s="121" t="s">
        <v>574</v>
      </c>
    </row>
    <row r="584" spans="1:3" x14ac:dyDescent="0.2">
      <c r="A584" s="121">
        <v>1223</v>
      </c>
      <c r="B584" s="121" t="s">
        <v>575</v>
      </c>
    </row>
    <row r="585" spans="1:3" x14ac:dyDescent="0.2">
      <c r="A585" s="121">
        <v>1231</v>
      </c>
      <c r="B585" s="121" t="s">
        <v>576</v>
      </c>
    </row>
    <row r="586" spans="1:3" x14ac:dyDescent="0.2">
      <c r="A586" s="121">
        <v>1235</v>
      </c>
      <c r="B586" s="121" t="s">
        <v>577</v>
      </c>
    </row>
    <row r="587" spans="1:3" x14ac:dyDescent="0.2">
      <c r="A587" s="121">
        <v>1201</v>
      </c>
      <c r="B587" s="121" t="s">
        <v>578</v>
      </c>
    </row>
    <row r="590" spans="1:3" x14ac:dyDescent="0.2">
      <c r="A590" s="121">
        <v>5103</v>
      </c>
      <c r="B590" s="121" t="s">
        <v>535</v>
      </c>
      <c r="C590" s="121" t="s">
        <v>579</v>
      </c>
    </row>
    <row r="591" spans="1:3" x14ac:dyDescent="0.2">
      <c r="A591" s="121">
        <v>5104</v>
      </c>
      <c r="B591" s="121" t="s">
        <v>536</v>
      </c>
      <c r="C591" s="121" t="s">
        <v>573</v>
      </c>
    </row>
    <row r="592" spans="1:3" x14ac:dyDescent="0.2">
      <c r="A592" s="121">
        <v>5105</v>
      </c>
      <c r="B592" s="121" t="s">
        <v>580</v>
      </c>
      <c r="C592" s="121" t="s">
        <v>573</v>
      </c>
    </row>
    <row r="593" spans="1:3" x14ac:dyDescent="0.2">
      <c r="A593" s="121">
        <v>5106</v>
      </c>
      <c r="B593" s="121" t="s">
        <v>581</v>
      </c>
      <c r="C593" s="121" t="s">
        <v>579</v>
      </c>
    </row>
    <row r="594" spans="1:3" x14ac:dyDescent="0.2">
      <c r="A594" s="121">
        <v>7101</v>
      </c>
      <c r="B594" s="121" t="s">
        <v>582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A4BB7-7AB5-4305-819C-3A24550C56DF}">
  <sheetPr>
    <tabColor theme="2" tint="-0.749992370372631"/>
  </sheetPr>
  <dimension ref="A1:AG50"/>
  <sheetViews>
    <sheetView showGridLines="0" tabSelected="1" topLeftCell="A4" zoomScaleNormal="100" workbookViewId="0">
      <selection activeCell="D23" sqref="D23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9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AGOSTO de 2024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AGOSTO de 2024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2024</v>
      </c>
      <c r="E7" s="13" t="str">
        <f>+'COLOMB$ '!F7:F7</f>
        <v>Real 2024</v>
      </c>
      <c r="G7" s="10" t="s">
        <v>24</v>
      </c>
      <c r="H7" s="13" t="str">
        <f>+'COLOMB$ '!I7:I7</f>
        <v>Real 2023</v>
      </c>
      <c r="J7" s="10" t="s">
        <v>25</v>
      </c>
      <c r="K7" s="13" t="str">
        <f>+C7</f>
        <v>Ppto 2024</v>
      </c>
      <c r="M7" s="23" t="str">
        <f>+E7</f>
        <v>Real 2024</v>
      </c>
      <c r="N7" s="23"/>
      <c r="O7" s="10" t="s">
        <v>24</v>
      </c>
      <c r="P7" s="13" t="str">
        <f>+H7</f>
        <v>Real 2023</v>
      </c>
      <c r="R7" s="10" t="s">
        <v>25</v>
      </c>
      <c r="S7" s="24"/>
      <c r="T7" s="15"/>
      <c r="U7" s="15" t="str">
        <f>+C7</f>
        <v>Ppto 2024</v>
      </c>
      <c r="V7" s="15" t="str">
        <f>+M7</f>
        <v>Real 2024</v>
      </c>
      <c r="W7" s="15" t="str">
        <f>+H7</f>
        <v>Real 2023</v>
      </c>
      <c r="X7" s="15" t="str">
        <f>+U7</f>
        <v>Ppto 2024</v>
      </c>
      <c r="Y7" s="15" t="str">
        <f>+V7</f>
        <v>Real 2024</v>
      </c>
      <c r="Z7" s="15" t="s">
        <v>26</v>
      </c>
      <c r="AA7" s="15" t="s">
        <v>24</v>
      </c>
      <c r="AB7" s="15" t="str">
        <f>+W7</f>
        <v>Real 2023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420217</v>
      </c>
      <c r="D10" s="33">
        <f t="shared" ref="D10:D20" si="0">+C10/$C$20</f>
        <v>0.40858539108654812</v>
      </c>
      <c r="E10" s="32">
        <v>354255.86900000001</v>
      </c>
      <c r="F10" s="33">
        <f t="shared" ref="F10:F20" si="1">+E10/$E$20</f>
        <v>0.37792175764935398</v>
      </c>
      <c r="G10" s="33">
        <f t="shared" ref="G10:G20" si="2">IF(C10=0,"",(E10-C10)/ABS(C10)+1)</f>
        <v>0.84303078885433003</v>
      </c>
      <c r="H10" s="32">
        <v>453680.196</v>
      </c>
      <c r="I10" s="33">
        <f t="shared" ref="I10:I19" si="3">+H10/$H$20</f>
        <v>0.43905850671855273</v>
      </c>
      <c r="J10" s="34">
        <f t="shared" ref="J10:J20" si="4">IF(H10=0,"",(E10-H10)/ABS(H10))</f>
        <v>-0.2191506878118171</v>
      </c>
      <c r="K10" s="32">
        <v>3389827</v>
      </c>
      <c r="L10" s="33">
        <f t="shared" ref="L10:L20" si="5">+K10/$K$20</f>
        <v>0.40673230309222314</v>
      </c>
      <c r="M10" s="32">
        <v>3125566.9309999999</v>
      </c>
      <c r="N10" s="33">
        <f t="shared" ref="N10:N20" si="6">+M10/$M$20</f>
        <v>0.3913628915162185</v>
      </c>
      <c r="O10" s="33">
        <f t="shared" ref="O10:O20" si="7">IF(K10=0,"",(M10-K10)/ABS(K10)+1)</f>
        <v>0.92204319895971087</v>
      </c>
      <c r="P10" s="32">
        <v>3187550.9369999999</v>
      </c>
      <c r="Q10" s="33">
        <f t="shared" ref="Q10:Q20" si="8">+P10/$P$20</f>
        <v>0.41923910174254275</v>
      </c>
      <c r="R10" s="34">
        <f t="shared" ref="R10:R20" si="9">IF(P10=0,"",(M10-P10)/ABS(P10))</f>
        <v>-1.9445651920573546E-2</v>
      </c>
      <c r="S10" s="24"/>
      <c r="T10" s="19" t="s">
        <v>31</v>
      </c>
      <c r="U10" s="35">
        <f>+'COLOMB$ '!U10</f>
        <v>3845</v>
      </c>
      <c r="V10" s="35">
        <f>+'COLOMB$ '!V10</f>
        <v>-66123</v>
      </c>
      <c r="W10" s="35">
        <f>+'COLOMB$ '!W10</f>
        <v>22626</v>
      </c>
      <c r="X10" s="35">
        <f>+'COLOMB$ '!X10</f>
        <v>45751</v>
      </c>
      <c r="Y10" s="35">
        <f>+'COLOMB$ '!Y10</f>
        <v>45751</v>
      </c>
      <c r="Z10" s="36">
        <f>+Y10-X10</f>
        <v>0</v>
      </c>
      <c r="AA10" s="37">
        <f>IF(X10=0,"",(Y10-X10)/ABS(X10)+1)</f>
        <v>1</v>
      </c>
      <c r="AB10" s="35">
        <f>+'COLOMB$ '!AB10</f>
        <v>32108</v>
      </c>
      <c r="AC10" s="34">
        <f>IF(W10=0,"",(Y10-AB10)/ABS(AB10))</f>
        <v>0.42490967983057182</v>
      </c>
    </row>
    <row r="11" spans="1:33" x14ac:dyDescent="0.2">
      <c r="A11" s="38"/>
      <c r="B11" s="19" t="str">
        <f>+'COLOMB$ '!B11</f>
        <v>Instalaciones</v>
      </c>
      <c r="C11" s="32">
        <v>41514</v>
      </c>
      <c r="D11" s="33">
        <f t="shared" si="0"/>
        <v>4.0364892247498223E-2</v>
      </c>
      <c r="E11" s="32">
        <v>47161.968000000001</v>
      </c>
      <c r="F11" s="33">
        <f t="shared" si="1"/>
        <v>5.0312600017256418E-2</v>
      </c>
      <c r="G11" s="33">
        <f t="shared" si="2"/>
        <v>1.1360497181673652</v>
      </c>
      <c r="H11" s="32">
        <v>18620.735000000001</v>
      </c>
      <c r="I11" s="33">
        <f t="shared" si="3"/>
        <v>1.8020606090334811E-2</v>
      </c>
      <c r="J11" s="34">
        <f t="shared" si="4"/>
        <v>1.5327661878008574</v>
      </c>
      <c r="K11" s="32">
        <v>368431</v>
      </c>
      <c r="L11" s="33">
        <f t="shared" si="5"/>
        <v>4.4206618556218609E-2</v>
      </c>
      <c r="M11" s="32">
        <v>457945.27500000002</v>
      </c>
      <c r="N11" s="33">
        <f t="shared" si="6"/>
        <v>5.73408891688168E-2</v>
      </c>
      <c r="O11" s="33">
        <f t="shared" si="7"/>
        <v>1.2429607579166793</v>
      </c>
      <c r="P11" s="32">
        <v>284706.13900000002</v>
      </c>
      <c r="Q11" s="33">
        <f t="shared" si="8"/>
        <v>3.7445659170323567E-2</v>
      </c>
      <c r="R11" s="34">
        <f t="shared" si="9"/>
        <v>0.60848402007938429</v>
      </c>
      <c r="S11" s="24"/>
      <c r="T11" s="19" t="s">
        <v>32</v>
      </c>
      <c r="U11" s="35">
        <f>+'COLOMB$ '!U11</f>
        <v>1272633</v>
      </c>
      <c r="V11" s="35">
        <f>+'COLOMB$ '!V11</f>
        <v>1254373.02893</v>
      </c>
      <c r="W11" s="35">
        <f>+'COLOMB$ '!W11</f>
        <v>1184929.7805299999</v>
      </c>
      <c r="X11" s="35">
        <f>+'COLOMB$ '!X11</f>
        <v>9498686</v>
      </c>
      <c r="Y11" s="35">
        <f>+'COLOMB$ '!Y11</f>
        <v>8949438.6634400003</v>
      </c>
      <c r="Z11" s="36">
        <f>+Y11-X11</f>
        <v>-549247.33655999973</v>
      </c>
      <c r="AA11" s="37">
        <f>IF(X11=0,"",(Y11-X11)/ABS(X11)+1)</f>
        <v>0.9421764929843981</v>
      </c>
      <c r="AB11" s="35">
        <f>+'COLOMB$ '!AB11</f>
        <v>8969646.4433700014</v>
      </c>
      <c r="AC11" s="34">
        <f>IF(AB11=0,"",(Y11-AB11)/ABS(AB11))</f>
        <v>-2.2529070747195276E-3</v>
      </c>
    </row>
    <row r="12" spans="1:33" x14ac:dyDescent="0.2">
      <c r="A12" s="38"/>
      <c r="B12" s="19" t="str">
        <f>+'COLOMB$ '!B12</f>
        <v>Voice Experience (Publihold)</v>
      </c>
      <c r="C12" s="32">
        <v>71017</v>
      </c>
      <c r="D12" s="33">
        <f t="shared" si="0"/>
        <v>6.9051249042264812E-2</v>
      </c>
      <c r="E12" s="32">
        <v>60618.758999999998</v>
      </c>
      <c r="F12" s="33">
        <f t="shared" si="1"/>
        <v>6.4668365304634073E-2</v>
      </c>
      <c r="G12" s="33">
        <f t="shared" si="2"/>
        <v>0.85358095948857315</v>
      </c>
      <c r="H12" s="32">
        <v>79854.144</v>
      </c>
      <c r="I12" s="33">
        <f t="shared" si="3"/>
        <v>7.728051946955225E-2</v>
      </c>
      <c r="J12" s="34">
        <f t="shared" si="4"/>
        <v>-0.24088148762824385</v>
      </c>
      <c r="K12" s="32">
        <v>599122</v>
      </c>
      <c r="L12" s="33">
        <f t="shared" si="5"/>
        <v>7.1886344315865949E-2</v>
      </c>
      <c r="M12" s="32">
        <v>538998.34600000002</v>
      </c>
      <c r="N12" s="33">
        <f t="shared" si="6"/>
        <v>6.7489820525305277E-2</v>
      </c>
      <c r="O12" s="33">
        <f t="shared" si="7"/>
        <v>0.89964706019808993</v>
      </c>
      <c r="P12" s="32">
        <v>701028.31160000002</v>
      </c>
      <c r="Q12" s="33">
        <f t="shared" si="8"/>
        <v>9.220197118728439E-2</v>
      </c>
      <c r="R12" s="34">
        <f t="shared" si="9"/>
        <v>-0.23113184292113545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93193</v>
      </c>
      <c r="D13" s="33">
        <f t="shared" si="0"/>
        <v>9.0613417238066721E-2</v>
      </c>
      <c r="E13" s="32">
        <v>53614.703000000001</v>
      </c>
      <c r="F13" s="33">
        <f t="shared" si="1"/>
        <v>5.7196406797167539E-2</v>
      </c>
      <c r="G13" s="33">
        <f t="shared" si="2"/>
        <v>0.57530826349618536</v>
      </c>
      <c r="H13" s="32">
        <v>53577.745999999999</v>
      </c>
      <c r="I13" s="33">
        <f t="shared" si="3"/>
        <v>5.1850985252408749E-2</v>
      </c>
      <c r="J13" s="34">
        <f t="shared" si="4"/>
        <v>6.8978265715026823E-4</v>
      </c>
      <c r="K13" s="32">
        <v>826854</v>
      </c>
      <c r="L13" s="33">
        <f t="shared" si="5"/>
        <v>9.9211031047017173E-2</v>
      </c>
      <c r="M13" s="32">
        <v>811978.30249999999</v>
      </c>
      <c r="N13" s="33">
        <f t="shared" si="6"/>
        <v>0.10167057155712873</v>
      </c>
      <c r="O13" s="33">
        <f t="shared" si="7"/>
        <v>0.98200928156603218</v>
      </c>
      <c r="P13" s="32">
        <v>644734.06200000003</v>
      </c>
      <c r="Q13" s="33">
        <f t="shared" si="8"/>
        <v>8.4797932443424623E-2</v>
      </c>
      <c r="R13" s="34">
        <f t="shared" si="9"/>
        <v>0.25940034869756878</v>
      </c>
      <c r="S13" s="24"/>
      <c r="T13" s="19" t="s">
        <v>33</v>
      </c>
      <c r="U13" s="35">
        <f>+'COLOMB$ '!U13</f>
        <v>152071</v>
      </c>
      <c r="V13" s="35">
        <f>+'COLOMB$ '!V13</f>
        <v>197332.92800000001</v>
      </c>
      <c r="W13" s="35">
        <f>+'COLOMB$ '!W13</f>
        <v>142373.72399999999</v>
      </c>
      <c r="X13" s="35">
        <f>+'COLOMB$ '!X13</f>
        <v>1316379</v>
      </c>
      <c r="Y13" s="35">
        <f>+'COLOMB$ '!Y13</f>
        <v>1464466.841</v>
      </c>
      <c r="Z13" s="36">
        <f>+X13-Y13</f>
        <v>-148087.84100000001</v>
      </c>
      <c r="AA13" s="37">
        <f>IF(X13=0,"",(Y13-X13)/ABS(X13)+1)</f>
        <v>1.1124963562925267</v>
      </c>
      <c r="AB13" s="35">
        <f>+'COLOMB$ '!AB13</f>
        <v>1085165.814</v>
      </c>
      <c r="AC13" s="34">
        <f>IF(AB13=0,"",(Y13-AB13)/ABS(AB13))</f>
        <v>0.34953278301485452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12131</v>
      </c>
      <c r="V14" s="35">
        <f>+'COLOMB$ '!V14</f>
        <v>12826.235000000001</v>
      </c>
      <c r="W14" s="35">
        <f>+'COLOMB$ '!W14</f>
        <v>11991.995999999999</v>
      </c>
      <c r="X14" s="35">
        <f>+'COLOMB$ '!X14</f>
        <v>96628</v>
      </c>
      <c r="Y14" s="35">
        <f>+'COLOMB$ '!Y14</f>
        <v>100124.726</v>
      </c>
      <c r="Z14" s="36">
        <f>+X14-Y14</f>
        <v>-3496.7259999999951</v>
      </c>
      <c r="AA14" s="37">
        <f>IF(X14=0,"",(Y14-X14)/ABS(X14)+1)</f>
        <v>1.0361875025872418</v>
      </c>
      <c r="AB14" s="35">
        <f>+'COLOMB$ '!AB14</f>
        <v>78313.384000000005</v>
      </c>
      <c r="AC14" s="34">
        <f>IF(AB14=0,"",(Y14-AB14)/ABS(AB14))</f>
        <v>0.27851359353849386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151140</v>
      </c>
      <c r="D15" s="33">
        <f t="shared" si="0"/>
        <v>0.14695644395353089</v>
      </c>
      <c r="E15" s="32">
        <v>138683.677</v>
      </c>
      <c r="F15" s="33">
        <f t="shared" si="1"/>
        <v>0.14794837165877775</v>
      </c>
      <c r="G15" s="33">
        <f t="shared" si="2"/>
        <v>0.91758420669577867</v>
      </c>
      <c r="H15" s="32">
        <v>141887.954</v>
      </c>
      <c r="I15" s="33">
        <f t="shared" si="3"/>
        <v>0.13731503767158199</v>
      </c>
      <c r="J15" s="34">
        <f t="shared" si="4"/>
        <v>-2.258315036384274E-2</v>
      </c>
      <c r="K15" s="32">
        <v>1149778</v>
      </c>
      <c r="L15" s="33">
        <f t="shared" si="5"/>
        <v>0.1379574397114573</v>
      </c>
      <c r="M15" s="32">
        <v>1084562.7720000001</v>
      </c>
      <c r="N15" s="33">
        <f t="shared" si="6"/>
        <v>0.13580180231333697</v>
      </c>
      <c r="O15" s="33">
        <f t="shared" si="7"/>
        <v>0.94328015669111787</v>
      </c>
      <c r="P15" s="32">
        <v>1086023.189</v>
      </c>
      <c r="Q15" s="33">
        <f t="shared" si="8"/>
        <v>0.1428379954475161</v>
      </c>
      <c r="R15" s="34">
        <f t="shared" si="9"/>
        <v>-1.344738321236619E-3</v>
      </c>
      <c r="S15" s="24"/>
      <c r="T15" s="19" t="s">
        <v>35</v>
      </c>
      <c r="U15" s="35">
        <f>+'COLOMB$ '!U15</f>
        <v>388487</v>
      </c>
      <c r="V15" s="35">
        <f>+'COLOMB$ '!V15</f>
        <v>425966.64899999998</v>
      </c>
      <c r="W15" s="35">
        <f>+'COLOMB$ '!W15</f>
        <v>399624.234</v>
      </c>
      <c r="X15" s="35">
        <f>+'COLOMB$ '!X15</f>
        <v>3586079</v>
      </c>
      <c r="Y15" s="35">
        <f>+'COLOMB$ '!Y15</f>
        <v>3623753.6349999998</v>
      </c>
      <c r="Z15" s="36">
        <f>+X15-Y15</f>
        <v>-37674.634999999776</v>
      </c>
      <c r="AA15" s="37">
        <f>IF(X15=0,"",(Y15-X15)/ABS(X15)+1)</f>
        <v>1.0105058017405639</v>
      </c>
      <c r="AB15" s="35">
        <f>+'COLOMB$ '!AB15</f>
        <v>3132721.3450000002</v>
      </c>
      <c r="AC15" s="34">
        <f>IF(AB15=0,"",(Y15-AB15)/ABS(AB15))</f>
        <v>0.1567430473137085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298969</v>
      </c>
      <c r="V16" s="35">
        <f>+'COLOMB$ '!V16</f>
        <v>226676.06366999997</v>
      </c>
      <c r="W16" s="35">
        <f>+'COLOMB$ '!W16</f>
        <v>253127.84075</v>
      </c>
      <c r="X16" s="35">
        <f>+'COLOMB$ '!X16</f>
        <v>2449489</v>
      </c>
      <c r="Y16" s="35">
        <f>+'COLOMB$ '!Y16</f>
        <v>2023122.7308099999</v>
      </c>
      <c r="Z16" s="36">
        <f>+X16-Y16</f>
        <v>426366.26919000014</v>
      </c>
      <c r="AA16" s="37">
        <f>IF(X16=0,"",(Y16-X16)/ABS(X16)+1)</f>
        <v>0.82593664670876243</v>
      </c>
      <c r="AB16" s="35">
        <f>+'COLOMB$ '!AB16</f>
        <v>2021804.77908</v>
      </c>
      <c r="AC16" s="34">
        <f>IF(AB16=0,"",(Y16-AB16)/ABS(AB16))</f>
        <v>6.5186893593137841E-4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16095</v>
      </c>
      <c r="D17" s="33">
        <f t="shared" si="0"/>
        <v>1.5649490309858936E-2</v>
      </c>
      <c r="E17" s="32">
        <v>21122.437999999998</v>
      </c>
      <c r="F17" s="33">
        <f t="shared" si="1"/>
        <v>2.2533512055376858E-2</v>
      </c>
      <c r="G17" s="33">
        <f t="shared" si="2"/>
        <v>1.312360236098167</v>
      </c>
      <c r="H17" s="32">
        <v>48134.745000000003</v>
      </c>
      <c r="I17" s="33">
        <f t="shared" si="3"/>
        <v>4.6583407094495093E-2</v>
      </c>
      <c r="J17" s="34">
        <f t="shared" si="4"/>
        <v>-0.56118105538940743</v>
      </c>
      <c r="K17" s="32">
        <v>136557</v>
      </c>
      <c r="L17" s="33">
        <f t="shared" si="5"/>
        <v>1.6384949176864991E-2</v>
      </c>
      <c r="M17" s="32">
        <v>126005.70600000001</v>
      </c>
      <c r="N17" s="33">
        <f t="shared" si="6"/>
        <v>1.5777604043156715E-2</v>
      </c>
      <c r="O17" s="33">
        <f t="shared" si="7"/>
        <v>0.92273340802741721</v>
      </c>
      <c r="P17" s="32">
        <v>135785.571</v>
      </c>
      <c r="Q17" s="33">
        <f t="shared" si="8"/>
        <v>1.7859046628825138E-2</v>
      </c>
      <c r="R17" s="34">
        <f t="shared" si="9"/>
        <v>-7.2024331657448273E-2</v>
      </c>
      <c r="S17" s="24"/>
      <c r="T17" s="19" t="s">
        <v>37</v>
      </c>
      <c r="U17" s="35">
        <f>U13+U14+U15+U16</f>
        <v>851658</v>
      </c>
      <c r="V17" s="35">
        <f>V13+V14+V15+V16</f>
        <v>862801.87566999986</v>
      </c>
      <c r="W17" s="35">
        <f>W13+W14+W15+W16</f>
        <v>807117.79474999988</v>
      </c>
      <c r="X17" s="35">
        <f>X13+X14+X15+X16</f>
        <v>7448575</v>
      </c>
      <c r="Y17" s="35">
        <f>Y13+Y14+Y15+Y16</f>
        <v>7211467.9328099992</v>
      </c>
      <c r="Z17" s="36">
        <f>+Y17-X17</f>
        <v>-237107.06719000079</v>
      </c>
      <c r="AA17" s="37">
        <f>IF(X17=0,"",(Y17-X17)/ABS(X17)+1)</f>
        <v>0.96816745925361547</v>
      </c>
      <c r="AB17" s="35">
        <f>+'COLOMB$ '!AB17</f>
        <v>6318005.3220800003</v>
      </c>
      <c r="AC17" s="34">
        <f>IF(AB17=0,"",(Y17-AB17)/ABS(AB17))</f>
        <v>0.14141529884559437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173055</v>
      </c>
      <c r="D18" s="33">
        <f t="shared" si="0"/>
        <v>0.16826483663079453</v>
      </c>
      <c r="E18" s="32">
        <v>206411.30100000001</v>
      </c>
      <c r="F18" s="33">
        <f t="shared" si="1"/>
        <v>0.22020050618444337</v>
      </c>
      <c r="G18" s="33">
        <f t="shared" si="2"/>
        <v>1.1927497096298865</v>
      </c>
      <c r="H18" s="32">
        <v>180504.307</v>
      </c>
      <c r="I18" s="33">
        <f t="shared" si="3"/>
        <v>0.17468682165638813</v>
      </c>
      <c r="J18" s="41">
        <f t="shared" si="4"/>
        <v>0.14352562789540532</v>
      </c>
      <c r="K18" s="32">
        <v>1367753</v>
      </c>
      <c r="L18" s="33">
        <f t="shared" si="5"/>
        <v>0.16411142154195407</v>
      </c>
      <c r="M18" s="32">
        <v>1392769.9669999999</v>
      </c>
      <c r="N18" s="33">
        <f t="shared" si="6"/>
        <v>0.17439347597898816</v>
      </c>
      <c r="O18" s="33">
        <f t="shared" si="7"/>
        <v>1.0182905590409963</v>
      </c>
      <c r="P18" s="32">
        <v>1101181.673</v>
      </c>
      <c r="Q18" s="33">
        <f t="shared" si="8"/>
        <v>0.1448316982436571</v>
      </c>
      <c r="R18" s="34">
        <f t="shared" si="9"/>
        <v>0.26479581085436393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62237</v>
      </c>
      <c r="D19" s="33">
        <f t="shared" si="0"/>
        <v>6.0514279491437749E-2</v>
      </c>
      <c r="E19" s="32">
        <v>55510.152000000002</v>
      </c>
      <c r="F19" s="33">
        <f t="shared" si="1"/>
        <v>5.9218480332990056E-2</v>
      </c>
      <c r="G19" s="33">
        <f t="shared" si="2"/>
        <v>0.89191561289907939</v>
      </c>
      <c r="H19" s="32">
        <v>57042.544000000002</v>
      </c>
      <c r="I19" s="33">
        <f t="shared" si="3"/>
        <v>5.5204116046686201E-2</v>
      </c>
      <c r="J19" s="34">
        <f t="shared" si="4"/>
        <v>-2.6864019248510371E-2</v>
      </c>
      <c r="K19" s="32">
        <v>495973</v>
      </c>
      <c r="L19" s="33">
        <f t="shared" si="5"/>
        <v>5.950989255839876E-2</v>
      </c>
      <c r="M19" s="32">
        <v>448537.78200000001</v>
      </c>
      <c r="N19" s="33">
        <f t="shared" si="6"/>
        <v>5.6162944897048914E-2</v>
      </c>
      <c r="O19" s="33">
        <f t="shared" si="7"/>
        <v>0.90435927358948975</v>
      </c>
      <c r="P19" s="32">
        <v>462171.50900000002</v>
      </c>
      <c r="Q19" s="33">
        <f t="shared" si="8"/>
        <v>6.0786595136426369E-2</v>
      </c>
      <c r="R19" s="34">
        <f t="shared" si="9"/>
        <v>-2.9499280536568109E-2</v>
      </c>
      <c r="S19" s="24"/>
      <c r="T19" s="19" t="s">
        <v>38</v>
      </c>
      <c r="U19" s="35">
        <f>U11-U17</f>
        <v>420975</v>
      </c>
      <c r="V19" s="35">
        <f>V11-V17</f>
        <v>391571.15326000017</v>
      </c>
      <c r="W19" s="35">
        <f>W11-W17</f>
        <v>377811.98577999999</v>
      </c>
      <c r="X19" s="35">
        <f>X11-X17</f>
        <v>2050111</v>
      </c>
      <c r="Y19" s="35">
        <f>Y11-Y17</f>
        <v>1737970.7306300011</v>
      </c>
      <c r="Z19" s="36">
        <f>+Y19-X19</f>
        <v>-312140.26936999895</v>
      </c>
      <c r="AA19" s="37">
        <f>IF(X19=0,"",(Y19-X19)/ABS(X19)+1)</f>
        <v>0.847744698033424</v>
      </c>
      <c r="AB19" s="35">
        <f>AB11-AB17</f>
        <v>2651641.1212900011</v>
      </c>
      <c r="AC19" s="34">
        <f>IF(AB19=0,"",(Y19-AB19)/ABS(AB19))</f>
        <v>-0.34456789168192831</v>
      </c>
      <c r="AE19" s="40"/>
    </row>
    <row r="20" spans="1:32" x14ac:dyDescent="0.2">
      <c r="B20" s="42" t="s">
        <v>39</v>
      </c>
      <c r="C20" s="43">
        <f>SUM(C10:C19)</f>
        <v>1028468</v>
      </c>
      <c r="D20" s="44">
        <f t="shared" si="0"/>
        <v>1</v>
      </c>
      <c r="E20" s="43">
        <f>SUM(E10:E19)</f>
        <v>937378.86699999997</v>
      </c>
      <c r="F20" s="44">
        <f t="shared" si="1"/>
        <v>1</v>
      </c>
      <c r="G20" s="44">
        <f t="shared" si="2"/>
        <v>0.91143221471159042</v>
      </c>
      <c r="H20" s="43">
        <f>SUM(H10:H19)</f>
        <v>1033302.371</v>
      </c>
      <c r="I20" s="44">
        <f>+H22/$H$22</f>
        <v>1</v>
      </c>
      <c r="J20" s="45">
        <f t="shared" si="4"/>
        <v>-9.2831978994849393E-2</v>
      </c>
      <c r="K20" s="43">
        <f>SUM(K10:K19)</f>
        <v>8334295</v>
      </c>
      <c r="L20" s="44">
        <f t="shared" si="5"/>
        <v>1</v>
      </c>
      <c r="M20" s="43">
        <f>SUM(M10:M19)</f>
        <v>7986365.0814999994</v>
      </c>
      <c r="N20" s="44">
        <f t="shared" si="6"/>
        <v>1</v>
      </c>
      <c r="O20" s="44">
        <f t="shared" si="7"/>
        <v>0.95825322735756291</v>
      </c>
      <c r="P20" s="43">
        <f>SUM(P10:P19)</f>
        <v>7603181.3915999997</v>
      </c>
      <c r="Q20" s="44">
        <f t="shared" si="8"/>
        <v>1</v>
      </c>
      <c r="R20" s="45">
        <f t="shared" si="9"/>
        <v>5.0397809833044531E-2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424820</v>
      </c>
      <c r="V21" s="35">
        <f>+V10+V19</f>
        <v>325448.15326000017</v>
      </c>
      <c r="W21" s="35">
        <f>+'COLOMB$ '!W21</f>
        <v>400437.98577999999</v>
      </c>
      <c r="X21" s="35">
        <f>+X10+X19</f>
        <v>2095862</v>
      </c>
      <c r="Y21" s="35">
        <f>+Y10+Y19</f>
        <v>1783721.7306300011</v>
      </c>
      <c r="Z21" s="36">
        <f>+Y21-X21</f>
        <v>-312140.26936999895</v>
      </c>
      <c r="AA21" s="37">
        <f>IF(X21=0,"",(Y21-X21)/ABS(X21)+1)</f>
        <v>0.85106831014160333</v>
      </c>
      <c r="AB21" s="35">
        <f>+'COLOMB$ '!AB21</f>
        <v>2683749.1212900011</v>
      </c>
      <c r="AC21" s="34">
        <f>IF(AB21=0,"",(Y21-AB21)/ABS(AB21))</f>
        <v>-0.33536196938832447</v>
      </c>
    </row>
    <row r="22" spans="1:32" x14ac:dyDescent="0.2">
      <c r="B22" s="19" t="s">
        <v>41</v>
      </c>
      <c r="C22" s="32">
        <v>102530</v>
      </c>
      <c r="D22" s="33">
        <f>+C22/$C$20</f>
        <v>9.9691969025774263E-2</v>
      </c>
      <c r="E22" s="32">
        <v>110587.28481999999</v>
      </c>
      <c r="F22" s="33">
        <f>+E22/$E$20</f>
        <v>0.1179750138531766</v>
      </c>
      <c r="G22" s="33">
        <f>IF(C22=0,"",(E22-C22)/ABS(C22)+1)</f>
        <v>1.0785846563932506</v>
      </c>
      <c r="H22" s="32">
        <v>52270.400500000003</v>
      </c>
      <c r="I22" s="33">
        <f>+H22/$H$20</f>
        <v>5.0585774277682363E-2</v>
      </c>
      <c r="J22" s="34">
        <f>IF(H22=0,"",(E22-H22)/ABS(H22))</f>
        <v>1.1156770134179472</v>
      </c>
      <c r="K22" s="32">
        <v>822731</v>
      </c>
      <c r="L22" s="33">
        <f>+K22/$K$20</f>
        <v>9.8716328135733139E-2</v>
      </c>
      <c r="M22" s="32">
        <v>954703.76710000006</v>
      </c>
      <c r="N22" s="33">
        <f>+M22/$M$20</f>
        <v>0.11954171357774789</v>
      </c>
      <c r="O22" s="33">
        <f>IF(K22=0,"",(M22-K22)/ABS(K22)+1)</f>
        <v>1.1604081614768376</v>
      </c>
      <c r="P22" s="32">
        <v>612281.49484000006</v>
      </c>
      <c r="Q22" s="33">
        <f>+P22/$P$20</f>
        <v>8.0529644540172238E-2</v>
      </c>
      <c r="R22" s="34">
        <f>IF(P22=0,"",(M22-P22)/ABS(P22))</f>
        <v>0.55925628186669429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17036</v>
      </c>
      <c r="V23" s="35">
        <f>+'COLOMB$ '!V23</f>
        <v>0</v>
      </c>
      <c r="W23" s="35">
        <f>+'COLOMB$ '!W23</f>
        <v>12492.08</v>
      </c>
      <c r="X23" s="35">
        <f>+'COLOMB$ '!X23</f>
        <v>115236</v>
      </c>
      <c r="Y23" s="35">
        <f>+'COLOMB$ '!Y23</f>
        <v>218004.28115</v>
      </c>
      <c r="Z23" s="36">
        <f>+Y23-X23</f>
        <v>102768.28115</v>
      </c>
      <c r="AA23" s="37">
        <f>IF(X23=0,"",(Y23-X23)/ABS(X23)+1)</f>
        <v>1.8918070841577284</v>
      </c>
      <c r="AB23" s="35">
        <f>+'COLOMB$ '!AB23</f>
        <v>94165.921569999991</v>
      </c>
      <c r="AC23" s="34">
        <f>IF(AB23=0,"",(Y23-AB23)/ABS(AB23))</f>
        <v>1.3151080296914257</v>
      </c>
    </row>
    <row r="24" spans="1:32" x14ac:dyDescent="0.2">
      <c r="B24" s="46" t="s">
        <v>43</v>
      </c>
      <c r="C24" s="35">
        <f>+C20-C22</f>
        <v>925938</v>
      </c>
      <c r="D24" s="33">
        <f>+C24/$C$20</f>
        <v>0.90030803097422574</v>
      </c>
      <c r="E24" s="35">
        <f>+E20-E22</f>
        <v>826791.58218000003</v>
      </c>
      <c r="F24" s="33">
        <f>+E24/$E$20</f>
        <v>0.88202498614682345</v>
      </c>
      <c r="G24" s="33">
        <f>IF(C24=0,"",(E24-C24)/ABS(C24)+1)</f>
        <v>0.89292326503502395</v>
      </c>
      <c r="H24" s="35">
        <f>+H20-H22</f>
        <v>981031.97050000005</v>
      </c>
      <c r="I24" s="33">
        <f>+H24/$H$20</f>
        <v>0.9494142257223176</v>
      </c>
      <c r="J24" s="34">
        <f>IF(H24=0,"",(E24-H24)/ABS(H24))</f>
        <v>-0.15722259106539488</v>
      </c>
      <c r="K24" s="35">
        <f>+K20-K22</f>
        <v>7511564</v>
      </c>
      <c r="L24" s="33">
        <f>+K24/$K$20</f>
        <v>0.90128367186426683</v>
      </c>
      <c r="M24" s="35">
        <f>+M20-M22</f>
        <v>7031661.3143999996</v>
      </c>
      <c r="N24" s="33">
        <f>+M24/$M$20</f>
        <v>0.8804582864222521</v>
      </c>
      <c r="O24" s="33">
        <f>IF(K24=0,"",(M24-K24)/ABS(K24)+1)</f>
        <v>0.936111482828343</v>
      </c>
      <c r="P24" s="35">
        <f>+P20-P22</f>
        <v>6990899.8967599999</v>
      </c>
      <c r="Q24" s="33">
        <f>+P24/$P$20</f>
        <v>0.9194703554598278</v>
      </c>
      <c r="R24" s="34">
        <f>IF(P24=0,"",(M24-P24)/ABS(P24))</f>
        <v>5.8306395803050942E-3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57006</v>
      </c>
      <c r="V25" s="35">
        <f>+'COLOMB$ '!V25</f>
        <v>54634.488549999995</v>
      </c>
      <c r="W25" s="35">
        <f>+'COLOMB$ '!W25</f>
        <v>52571.68677</v>
      </c>
      <c r="X25" s="35">
        <f>+'COLOMB$ '!X25</f>
        <v>1536779</v>
      </c>
      <c r="Y25" s="35">
        <f>+'COLOMB$ '!Y25</f>
        <v>1482625.09983</v>
      </c>
      <c r="Z25" s="36">
        <f>+Y25-X25</f>
        <v>-54153.900170000037</v>
      </c>
      <c r="AA25" s="37">
        <f>IF(X25=0,"",(Y25-X25)/ABS(X25)+1)</f>
        <v>0.96476142622328909</v>
      </c>
      <c r="AB25" s="35">
        <f>+'COLOMB$ '!AB25</f>
        <v>1453705.91771</v>
      </c>
      <c r="AC25" s="34">
        <f>IF(AB25=0,"",(Y25-AB25)/ABS(AB25))</f>
        <v>1.9893419822873078E-2</v>
      </c>
    </row>
    <row r="26" spans="1:32" x14ac:dyDescent="0.2">
      <c r="B26" s="19" t="s">
        <v>45</v>
      </c>
      <c r="C26" s="32">
        <v>218953</v>
      </c>
      <c r="D26" s="33">
        <f>+C26/$C$20</f>
        <v>0.21289237973373989</v>
      </c>
      <c r="E26" s="32">
        <v>194888.57794999998</v>
      </c>
      <c r="F26" s="33">
        <f>+E26/$E$20</f>
        <v>0.20790801330280043</v>
      </c>
      <c r="G26" s="33">
        <f>IF(C26=0,"",(E26-C26)/ABS(C26)+1)</f>
        <v>0.89009320698962779</v>
      </c>
      <c r="H26" s="32">
        <v>210750.42535</v>
      </c>
      <c r="I26" s="33">
        <f>+H26/$H$20</f>
        <v>0.20395813584173031</v>
      </c>
      <c r="J26" s="34">
        <f>IF(H26=0,"",(E26-H26)/ABS(H26))</f>
        <v>-7.526365545245163E-2</v>
      </c>
      <c r="K26" s="32">
        <v>1803041</v>
      </c>
      <c r="L26" s="33">
        <f>+K26/$K$20</f>
        <v>0.21633995436926579</v>
      </c>
      <c r="M26" s="32">
        <v>1703301.5611400001</v>
      </c>
      <c r="N26" s="33">
        <f>+M26/$M$20</f>
        <v>0.21327619558559999</v>
      </c>
      <c r="O26" s="33">
        <f>IF(K26=0,"",(M26-K26)/ABS(K26)+1)</f>
        <v>0.9446826562124766</v>
      </c>
      <c r="P26" s="32">
        <v>1595059.64653</v>
      </c>
      <c r="Q26" s="33">
        <f>+P26/$P$20</f>
        <v>0.209788450962412</v>
      </c>
      <c r="R26" s="34">
        <f>IF(P26=0,"",(M26-P26)/ABS(P26))</f>
        <v>6.7860731631871465E-2</v>
      </c>
      <c r="S26" s="24"/>
      <c r="AC26" s="34"/>
    </row>
    <row r="27" spans="1:32" x14ac:dyDescent="0.2">
      <c r="B27" s="19" t="s">
        <v>46</v>
      </c>
      <c r="C27" s="32">
        <v>346738</v>
      </c>
      <c r="D27" s="33">
        <f>+C27/$C$20</f>
        <v>0.3371402902180719</v>
      </c>
      <c r="E27" s="32">
        <v>346047.43827999994</v>
      </c>
      <c r="F27" s="33">
        <f>+E27/$E$20</f>
        <v>0.36916496676258004</v>
      </c>
      <c r="G27" s="33">
        <f>IF(C27=0,"",(E27-C27)/ABS(C27)+1)</f>
        <v>0.99800840484746389</v>
      </c>
      <c r="H27" s="32">
        <v>320561.07543999999</v>
      </c>
      <c r="I27" s="33">
        <f>+H27/$H$20</f>
        <v>0.3102296911694592</v>
      </c>
      <c r="J27" s="34">
        <f>IF(H27=0,"",(E27-H27)/ABS(H27))</f>
        <v>7.9505482083305171E-2</v>
      </c>
      <c r="K27" s="32">
        <v>2712064</v>
      </c>
      <c r="L27" s="33">
        <f>+K27/$K$20</f>
        <v>0.32541012767126676</v>
      </c>
      <c r="M27" s="32">
        <v>2753143.3230900001</v>
      </c>
      <c r="N27" s="33">
        <f>+M27/$M$20</f>
        <v>0.34473046185523298</v>
      </c>
      <c r="O27" s="33">
        <f>IF(K27=0,"",(M27-K27)/ABS(K27)+1)</f>
        <v>1.015146885578659</v>
      </c>
      <c r="P27" s="32">
        <v>2418182.4677300001</v>
      </c>
      <c r="Q27" s="33">
        <f>+P27/$P$20</f>
        <v>0.31804876711235769</v>
      </c>
      <c r="R27" s="34">
        <f>IF(P27=0,"",(M27-P27)/ABS(P27))</f>
        <v>0.13851760974614744</v>
      </c>
      <c r="S27" s="24"/>
      <c r="T27" s="19" t="s">
        <v>47</v>
      </c>
      <c r="U27" s="35">
        <f>+'COLOMB$ '!U27</f>
        <v>267604</v>
      </c>
      <c r="V27" s="35">
        <f>+'COLOMB$ '!V27</f>
        <v>127675.46445</v>
      </c>
      <c r="W27" s="35">
        <f>+'COLOMB$ '!W27</f>
        <v>139160</v>
      </c>
      <c r="X27" s="35">
        <f>+'COLOMB$ '!X27</f>
        <v>35673</v>
      </c>
      <c r="Y27" s="35">
        <f>+'COLOMB$ '!Y27</f>
        <v>-374503</v>
      </c>
      <c r="Z27" s="36">
        <f>+Y27-X27</f>
        <v>-410176</v>
      </c>
      <c r="AA27" s="37">
        <f>IF(X27=0,"",(Y27-X27)/ABS(X27)+1)</f>
        <v>-10.498219942253245</v>
      </c>
      <c r="AB27" s="35">
        <f>+'COLOMB$ '!AB27</f>
        <v>644108</v>
      </c>
      <c r="AC27" s="34">
        <f>IF(AB27=0,"",(Y27-AB27)/ABS(AB27))</f>
        <v>-1.5814288908071317</v>
      </c>
    </row>
    <row r="28" spans="1:32" x14ac:dyDescent="0.2">
      <c r="B28" s="19" t="s">
        <v>48</v>
      </c>
      <c r="C28" s="35">
        <f>SUM(C26:C27)</f>
        <v>565691</v>
      </c>
      <c r="D28" s="33">
        <f>+C28/$C$20</f>
        <v>0.55003266995181177</v>
      </c>
      <c r="E28" s="35">
        <f>SUM(E26:E27)</f>
        <v>540936.01622999995</v>
      </c>
      <c r="F28" s="33">
        <f>+E28/$E$20</f>
        <v>0.57707298006538055</v>
      </c>
      <c r="G28" s="33">
        <f>IF(C28=0,"",(E28-C28)/ABS(C28)+1)</f>
        <v>0.95623938904808448</v>
      </c>
      <c r="H28" s="35">
        <f>SUM(H26:H27)</f>
        <v>531311.50078999996</v>
      </c>
      <c r="I28" s="33">
        <f>+H28/$H$20</f>
        <v>0.51418782701118948</v>
      </c>
      <c r="J28" s="34">
        <f>IF(H28=0,"",(E28-H28)/ABS(H28))</f>
        <v>1.8114637883218085E-2</v>
      </c>
      <c r="K28" s="35">
        <f>SUM(K26:K27)</f>
        <v>4515105</v>
      </c>
      <c r="L28" s="33">
        <f>+K28/$K$20</f>
        <v>0.54175008204053254</v>
      </c>
      <c r="M28" s="35">
        <f>SUM(M26:M27)</f>
        <v>4456444.88423</v>
      </c>
      <c r="N28" s="33">
        <f>+M28/$M$20</f>
        <v>0.55800665744083289</v>
      </c>
      <c r="O28" s="33">
        <f>IF(K28=0,"",(M28-K28)/ABS(K28)+1)</f>
        <v>0.98700802843566204</v>
      </c>
      <c r="P28" s="35">
        <f>SUM(P26:P27)</f>
        <v>4013242.1142600002</v>
      </c>
      <c r="Q28" s="33">
        <f>+P28/$P$20</f>
        <v>0.52783721807476969</v>
      </c>
      <c r="R28" s="34">
        <f>IF(P28=0,"",(M28-P28)/ABS(P28))</f>
        <v>0.110435093959369</v>
      </c>
      <c r="S28" s="24"/>
      <c r="T28" s="19" t="s">
        <v>49</v>
      </c>
      <c r="U28" s="35">
        <f>+'COLOMB$ '!U28</f>
        <v>81250</v>
      </c>
      <c r="V28" s="35">
        <f>+'COLOMB$ '!V28</f>
        <v>81446.445999999996</v>
      </c>
      <c r="W28" s="35">
        <f>+'COLOMB$ '!W28</f>
        <v>76356.298999999999</v>
      </c>
      <c r="X28" s="35">
        <f>+'COLOMB$ '!X28</f>
        <v>406250</v>
      </c>
      <c r="Y28" s="35">
        <f>+'COLOMB$ '!Y28</f>
        <v>395904.03185000003</v>
      </c>
      <c r="Z28" s="36">
        <f>+Y28-X28</f>
        <v>-10345.968149999972</v>
      </c>
      <c r="AA28" s="37">
        <f>IF(X28=0,"",(Y28-X28)/ABS(X28)+1)</f>
        <v>0.97453300147692312</v>
      </c>
      <c r="AB28" s="35">
        <f>+'COLOMB$ '!AB28</f>
        <v>371911.22010000004</v>
      </c>
      <c r="AC28" s="34">
        <f>IF(AB28=0,"",(Y28-AB28)/ABS(AB28))</f>
        <v>6.4512201980754358E-2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57647</v>
      </c>
      <c r="D30" s="33">
        <f>+C30/$C$20</f>
        <v>5.6051330717144333E-2</v>
      </c>
      <c r="E30" s="35">
        <v>57201.173130000003</v>
      </c>
      <c r="F30" s="33">
        <f>+E30/$E$20</f>
        <v>6.1022469295758087E-2</v>
      </c>
      <c r="G30" s="33">
        <f>IF(C30=0,"",(E30-C30)/ABS(C30)+1)</f>
        <v>0.99226626069006196</v>
      </c>
      <c r="H30" s="35">
        <v>56197.387999999999</v>
      </c>
      <c r="I30" s="33">
        <f>+H30/$H$20</f>
        <v>5.4386198635752475E-2</v>
      </c>
      <c r="J30" s="34">
        <f>IF(H30=0,"",(E30-H30)/ABS(H30))</f>
        <v>1.7861775533055093E-2</v>
      </c>
      <c r="K30" s="35">
        <v>475801</v>
      </c>
      <c r="L30" s="33">
        <f>+K30/$K$20</f>
        <v>5.7089531868022431E-2</v>
      </c>
      <c r="M30" s="35">
        <v>444204.25526999997</v>
      </c>
      <c r="N30" s="33">
        <f>+M30/$M$20</f>
        <v>5.5620329240767631E-2</v>
      </c>
      <c r="O30" s="33">
        <f>IF(K30=0,"",(M30-K30)/ABS(K30)+1)</f>
        <v>0.93359252139024496</v>
      </c>
      <c r="P30" s="35">
        <v>424850.11787000002</v>
      </c>
      <c r="Q30" s="33">
        <f>+P30/$P$20</f>
        <v>5.5877940560431022E-2</v>
      </c>
      <c r="R30" s="34">
        <f>IF(P30=0,"",(M30-P30)/ABS(P30))</f>
        <v>4.5555212499486998E-2</v>
      </c>
      <c r="S30" s="24"/>
      <c r="T30" s="42" t="s">
        <v>51</v>
      </c>
      <c r="U30" s="43">
        <f>U21-U23-U25-U27-U28</f>
        <v>1924</v>
      </c>
      <c r="V30" s="43">
        <f>V21-V23-V25-V27-V28</f>
        <v>61691.754260000162</v>
      </c>
      <c r="W30" s="43">
        <f>W21-W23-W25-W27-W28</f>
        <v>119857.92001</v>
      </c>
      <c r="X30" s="43">
        <f>X21-X23-X25-X27-X28</f>
        <v>1924</v>
      </c>
      <c r="Y30" s="43">
        <f>Y21-Y23-Y25-Y27-Y28</f>
        <v>61691.317800001125</v>
      </c>
      <c r="Z30" s="47">
        <f>+Y30-X30</f>
        <v>59767.317800001125</v>
      </c>
      <c r="AA30" s="48">
        <f>IF(U30=0,"",(V30-U30)/ABS(U30)+1)</f>
        <v>32.064321340956425</v>
      </c>
      <c r="AB30" s="43">
        <f>AB21-AB23-AB25-AB27-AB28</f>
        <v>119858.06191000133</v>
      </c>
      <c r="AC30" s="34">
        <f>IF(AB30=0,"",(Y30-AB30)/ABS(AB30))</f>
        <v>-0.48529688519138814</v>
      </c>
    </row>
    <row r="31" spans="1:32" x14ac:dyDescent="0.2">
      <c r="B31" s="19" t="s">
        <v>52</v>
      </c>
      <c r="C31" s="35">
        <v>184243</v>
      </c>
      <c r="D31" s="33">
        <f>+C31/$C$20</f>
        <v>0.17914315272813544</v>
      </c>
      <c r="E31" s="35">
        <v>193563.47232</v>
      </c>
      <c r="F31" s="33">
        <f>+E31/$E$20</f>
        <v>0.2064943846445815</v>
      </c>
      <c r="G31" s="33">
        <f>IF(C31=0,"",(E31-C31)/ABS(C31)+1)</f>
        <v>1.05058793180745</v>
      </c>
      <c r="H31" s="35">
        <v>207749.72693</v>
      </c>
      <c r="I31" s="33">
        <f>+H31/$H$20</f>
        <v>0.20105414713114986</v>
      </c>
      <c r="J31" s="34">
        <f>IF(H31=0,"",(E31-H31)/ABS(H31))</f>
        <v>-6.8285310501418728E-2</v>
      </c>
      <c r="K31" s="35">
        <v>1585479</v>
      </c>
      <c r="L31" s="33">
        <f>+K31/$K$20</f>
        <v>0.19023552682020495</v>
      </c>
      <c r="M31" s="35">
        <v>1529249.8004900001</v>
      </c>
      <c r="N31" s="33">
        <f>+M31/$M$20</f>
        <v>0.19148258123491349</v>
      </c>
      <c r="O31" s="33">
        <f>IF(K31=0,"",(M31-K31)/ABS(K31)+1)</f>
        <v>0.96453488219648453</v>
      </c>
      <c r="P31" s="35">
        <v>1451015.31134</v>
      </c>
      <c r="Q31" s="33">
        <f>+P31/$P$20</f>
        <v>0.19084317953312055</v>
      </c>
      <c r="R31" s="34">
        <f>IF(P31=0,"",(M31-P31)/ABS(P31))</f>
        <v>5.3917066579918557E-2</v>
      </c>
      <c r="S31" s="24"/>
    </row>
    <row r="32" spans="1:32" x14ac:dyDescent="0.2">
      <c r="B32" s="19" t="s">
        <v>53</v>
      </c>
      <c r="C32" s="35">
        <f>SUM(C30:C31)</f>
        <v>241890</v>
      </c>
      <c r="D32" s="33">
        <f>+C32/$C$20</f>
        <v>0.23519448344527977</v>
      </c>
      <c r="E32" s="35">
        <f>SUM(E30:E31)</f>
        <v>250764.64545000001</v>
      </c>
      <c r="F32" s="33">
        <f>+E32/$E$20</f>
        <v>0.26751685394033958</v>
      </c>
      <c r="G32" s="33">
        <f>IF(C32=0,"",(E32-C32)/ABS(C32)+1)</f>
        <v>1.0366887653478853</v>
      </c>
      <c r="H32" s="35">
        <f>SUM(H30:H31)</f>
        <v>263947.11492999998</v>
      </c>
      <c r="I32" s="33">
        <f>+H32/$H$20</f>
        <v>0.25544034576690233</v>
      </c>
      <c r="J32" s="34">
        <f>IF(H32=0,"",(E32-H32)/ABS(H32))</f>
        <v>-4.9943601328986009E-2</v>
      </c>
      <c r="K32" s="35">
        <f>SUM(K30:K31)</f>
        <v>2061280</v>
      </c>
      <c r="L32" s="33">
        <f>+K32/$K$20</f>
        <v>0.24732505868822738</v>
      </c>
      <c r="M32" s="35">
        <f>SUM(M30:M31)</f>
        <v>1973454.0557599999</v>
      </c>
      <c r="N32" s="33">
        <f>+M32/$M$20</f>
        <v>0.24710291047568109</v>
      </c>
      <c r="O32" s="33">
        <f>IF(K32=0,"",(M32-K32)/ABS(K32)+1)</f>
        <v>0.95739252103547301</v>
      </c>
      <c r="P32" s="35">
        <f t="shared" ref="P32" si="10">SUM(P30:P31)</f>
        <v>1875865.42921</v>
      </c>
      <c r="Q32" s="33">
        <f>+P32/$P$20</f>
        <v>0.24672112009355154</v>
      </c>
      <c r="R32" s="34">
        <f>IF(P32=0,"",(M32-P32)/ABS(P32))</f>
        <v>5.2023255522704689E-2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807581</v>
      </c>
      <c r="D34" s="33">
        <f>+C34/$C$20</f>
        <v>0.78522715339709159</v>
      </c>
      <c r="E34" s="35">
        <f>E28+E32</f>
        <v>791700.6616799999</v>
      </c>
      <c r="F34" s="33">
        <f>+E34/$E$20</f>
        <v>0.84458983400572007</v>
      </c>
      <c r="G34" s="33">
        <f>IF(C34=0,"",(E34-C34)/ABS(C34)+1)</f>
        <v>0.98033591884900695</v>
      </c>
      <c r="H34" s="35">
        <f>H28+H32</f>
        <v>795258.61571999989</v>
      </c>
      <c r="I34" s="33">
        <f>+H34/$H$20</f>
        <v>0.7696281727780917</v>
      </c>
      <c r="J34" s="34">
        <f>IF(H34=0,"",(E34-H34)/ABS(H34))</f>
        <v>-4.4739584956004948E-3</v>
      </c>
      <c r="K34" s="35">
        <f>K28+K32</f>
        <v>6576385</v>
      </c>
      <c r="L34" s="33">
        <f>+K34/$K$20</f>
        <v>0.78907514072875995</v>
      </c>
      <c r="M34" s="35">
        <f>M28+M32</f>
        <v>6429898.9399899999</v>
      </c>
      <c r="N34" s="33">
        <f>+M34/$M$20</f>
        <v>0.805109567916514</v>
      </c>
      <c r="O34" s="33">
        <f>IF(K34=0,"",(M34-K34)/ABS(K34)+1)</f>
        <v>0.97772544338416922</v>
      </c>
      <c r="P34" s="35">
        <f>P28+P32</f>
        <v>5889107.5434699999</v>
      </c>
      <c r="Q34" s="33">
        <f>+P34/$P$20</f>
        <v>0.7745583381683212</v>
      </c>
      <c r="R34" s="34">
        <f>IF(P34=0,"",(M34-P34)/ABS(P34))</f>
        <v>9.1829091679543853E-2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118357</v>
      </c>
      <c r="D36" s="44">
        <f>+C36/$C$20</f>
        <v>0.11508087757713414</v>
      </c>
      <c r="E36" s="43">
        <f>E24-E34</f>
        <v>35090.920500000124</v>
      </c>
      <c r="F36" s="44">
        <f>+E36/$E$20</f>
        <v>3.7435152141103392E-2</v>
      </c>
      <c r="G36" s="44">
        <f>IF(C36=0,"",(E36-C36)/ABS(C36)+1)</f>
        <v>0.29648369340216574</v>
      </c>
      <c r="H36" s="43">
        <f>H24-H34</f>
        <v>185773.35478000017</v>
      </c>
      <c r="I36" s="44">
        <f>+H36/$H$20</f>
        <v>0.17978605294422592</v>
      </c>
      <c r="J36" s="45">
        <f>IF(H36=0,"",(E36-H36)/ABS(H36))</f>
        <v>-0.81110896909001773</v>
      </c>
      <c r="K36" s="43">
        <f>K24-K34</f>
        <v>935179</v>
      </c>
      <c r="L36" s="44">
        <f>+K36/$K$20</f>
        <v>0.11220853113550697</v>
      </c>
      <c r="M36" s="43">
        <f>+M24-M34</f>
        <v>601762.3744099997</v>
      </c>
      <c r="N36" s="44">
        <f>+M36/$M$20</f>
        <v>7.5348718505738113E-2</v>
      </c>
      <c r="O36" s="44">
        <f>IF(K36=0,"",(M36-K36)/ABS(K36)+1)</f>
        <v>0.64347293342771783</v>
      </c>
      <c r="P36" s="43">
        <f>P24-P34</f>
        <v>1101792.35329</v>
      </c>
      <c r="Q36" s="44">
        <f>+P36/$P$20</f>
        <v>0.14491201729150655</v>
      </c>
      <c r="R36" s="45">
        <f>IF(P36=0,"",(M36-P36)/ABS(P36))</f>
        <v>-0.45383322672996323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321</v>
      </c>
      <c r="D38" s="33">
        <f>+C38/$C$20</f>
        <v>3.1211471820221921E-4</v>
      </c>
      <c r="E38" s="32">
        <v>1168.81575</v>
      </c>
      <c r="F38" s="33">
        <f>+E38/$E$20</f>
        <v>1.2468979098501482E-3</v>
      </c>
      <c r="G38" s="33">
        <f>IF(C38=0,"",(E38-C38)/ABS(C38)+1)</f>
        <v>3.6411705607476637</v>
      </c>
      <c r="H38" s="32">
        <v>1523.9284</v>
      </c>
      <c r="I38" s="33">
        <f>+H38/$H$20</f>
        <v>1.4748136100038039E-3</v>
      </c>
      <c r="J38" s="34">
        <f>IF(H38=0,"",(E38-H38)/ABS(H38))</f>
        <v>-0.23302449773887016</v>
      </c>
      <c r="K38" s="32">
        <v>2568</v>
      </c>
      <c r="L38" s="33">
        <f>+K38/$K$20</f>
        <v>3.0812444243934249E-4</v>
      </c>
      <c r="M38" s="32">
        <v>15495.931699999999</v>
      </c>
      <c r="N38" s="33">
        <f>+M38/$M$20</f>
        <v>1.9402984388849844E-3</v>
      </c>
      <c r="O38" s="33">
        <f>IF(K38=0,"",(M38-K38)/ABS(K38)+1)</f>
        <v>6.0342413161993766</v>
      </c>
      <c r="P38" s="32">
        <v>6412.4356600000001</v>
      </c>
      <c r="Q38" s="33">
        <f>+P38/$P$20</f>
        <v>8.4338848828261067E-4</v>
      </c>
      <c r="R38" s="34">
        <f>IF(P38=0,"",(M38-P38)/ABS(P38))</f>
        <v>1.4165438098134457</v>
      </c>
      <c r="S38" s="24"/>
    </row>
    <row r="39" spans="2:20" x14ac:dyDescent="0.2">
      <c r="B39" s="19" t="s">
        <v>57</v>
      </c>
      <c r="C39" s="32">
        <v>32907</v>
      </c>
      <c r="D39" s="33">
        <f>+C39/$C$20</f>
        <v>3.1996134055702265E-2</v>
      </c>
      <c r="E39" s="32">
        <v>30531.570390000001</v>
      </c>
      <c r="F39" s="33">
        <f>+E39/$E$20</f>
        <v>3.2571216895163908E-2</v>
      </c>
      <c r="G39" s="33">
        <f>IF(C39=0,"",(E39-C39)/ABS(C39)+1)</f>
        <v>0.9278138508524022</v>
      </c>
      <c r="H39" s="32">
        <v>28886.370010000002</v>
      </c>
      <c r="I39" s="33">
        <f>+H39/$H$20</f>
        <v>2.7955389265239574E-2</v>
      </c>
      <c r="J39" s="34">
        <f>IF(H39=0,"",(E39-H39)/ABS(H39))</f>
        <v>5.6954209872353508E-2</v>
      </c>
      <c r="K39" s="32">
        <v>258199</v>
      </c>
      <c r="L39" s="33">
        <f>+K39/$K$20</f>
        <v>3.0980304872817676E-2</v>
      </c>
      <c r="M39" s="32">
        <v>253009.85586000001</v>
      </c>
      <c r="N39" s="33">
        <f>+M39/$M$20</f>
        <v>3.1680226646047555E-2</v>
      </c>
      <c r="O39" s="33">
        <f>IF(K39=0,"",(M39-K39)/ABS(K39)+1)</f>
        <v>0.97990253974647468</v>
      </c>
      <c r="P39" s="32">
        <v>237420.55390999999</v>
      </c>
      <c r="Q39" s="33">
        <f>+P39/$P$20</f>
        <v>3.122647503481929E-2</v>
      </c>
      <c r="R39" s="34">
        <f>IF(P39=0,"",(M39-P39)/ABS(P39))</f>
        <v>6.5661130400317097E-2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85771</v>
      </c>
      <c r="D41" s="33">
        <f>+C41/$C$20</f>
        <v>8.3396858239634095E-2</v>
      </c>
      <c r="E41" s="35">
        <f>E36+E38-E39</f>
        <v>5728.1658600001247</v>
      </c>
      <c r="F41" s="33">
        <f>+E41/$E$20</f>
        <v>6.1108331557896377E-3</v>
      </c>
      <c r="G41" s="33">
        <f>IF(C41=0,"",(E41-C41)/ABS(C41)+1)</f>
        <v>6.6784412680278016E-2</v>
      </c>
      <c r="H41" s="35">
        <f>H36+H38-H39</f>
        <v>158410.91317000016</v>
      </c>
      <c r="I41" s="33">
        <f>+H41/$H$20</f>
        <v>0.15330547728899013</v>
      </c>
      <c r="J41" s="34">
        <f>IF(H41=0,"",(E41-H41)/ABS(H41))</f>
        <v>-0.96383982804358381</v>
      </c>
      <c r="K41" s="35">
        <f>K36+K38-K39</f>
        <v>679548</v>
      </c>
      <c r="L41" s="33">
        <f>+K41/$K$20</f>
        <v>8.153635070512863E-2</v>
      </c>
      <c r="M41" s="35">
        <f>M36+M38-M39</f>
        <v>364248.45024999965</v>
      </c>
      <c r="N41" s="33">
        <f>+M41/$M$20</f>
        <v>4.5608790298575543E-2</v>
      </c>
      <c r="O41" s="33">
        <f>IF(K41=0,"",(M41-K41)/ABS(K41)+1)</f>
        <v>0.53601577850276905</v>
      </c>
      <c r="P41" s="35">
        <f>P36+P38-P39</f>
        <v>870784.23503999994</v>
      </c>
      <c r="Q41" s="33">
        <f>+P41/$P$20</f>
        <v>0.11452893074496986</v>
      </c>
      <c r="R41" s="34">
        <f>IF(P41=0,"",(M41-P41)/ABS(P41))</f>
        <v>-0.58170068359900007</v>
      </c>
    </row>
    <row r="42" spans="2:20" x14ac:dyDescent="0.2">
      <c r="B42" s="19" t="s">
        <v>44</v>
      </c>
      <c r="C42" s="32">
        <v>34607</v>
      </c>
      <c r="D42" s="33">
        <f>+C42/$C$20</f>
        <v>3.3649078046181308E-2</v>
      </c>
      <c r="E42" s="32">
        <v>2902.0329999999999</v>
      </c>
      <c r="F42" s="33">
        <f>+E42/$E$20</f>
        <v>3.0959018836083916E-3</v>
      </c>
      <c r="G42" s="33">
        <f>IF(C42=0,"",(E42-C42)/ABS(C42)+1)</f>
        <v>8.3856820874389504E-2</v>
      </c>
      <c r="H42" s="32">
        <v>56872.519</v>
      </c>
      <c r="I42" s="33">
        <f>+H42/$H$20</f>
        <v>5.5039570793745905E-2</v>
      </c>
      <c r="J42" s="34">
        <f>IF(H42=0,"",(E42-H42)/ABS(H42))</f>
        <v>-0.94897301805815915</v>
      </c>
      <c r="K42" s="32">
        <v>274325</v>
      </c>
      <c r="L42" s="33">
        <f>+K42/$K$20</f>
        <v>3.2915201585737006E-2</v>
      </c>
      <c r="M42" s="32">
        <v>134432.15700000001</v>
      </c>
      <c r="N42" s="33">
        <f>+M42/$M$20</f>
        <v>1.6832708701409748E-2</v>
      </c>
      <c r="O42" s="33">
        <f>IF(K42=0,"",(M42-K42)/ABS(K42)+1)</f>
        <v>0.49004705003189653</v>
      </c>
      <c r="P42" s="32">
        <v>315495.97200000001</v>
      </c>
      <c r="Q42" s="33">
        <f>+P42/$P$20</f>
        <v>4.1495257807285801E-2</v>
      </c>
      <c r="R42" s="34">
        <f>IF(P42=0,"",(M42-P42)/ABS(P42))</f>
        <v>-0.57390214477920498</v>
      </c>
    </row>
    <row r="43" spans="2:20" x14ac:dyDescent="0.2">
      <c r="B43" s="42" t="s">
        <v>59</v>
      </c>
      <c r="C43" s="43">
        <f>C41-C42</f>
        <v>51164</v>
      </c>
      <c r="D43" s="44">
        <f>+C43/$C$20</f>
        <v>4.9747780193452787E-2</v>
      </c>
      <c r="E43" s="43">
        <f>E41-E42</f>
        <v>2826.1328600001248</v>
      </c>
      <c r="F43" s="44">
        <f>+E43/$E$20</f>
        <v>3.0149312721812461E-3</v>
      </c>
      <c r="G43" s="44">
        <f>IF(C43=0,"",(E43-C43)/ABS(C43)+1)</f>
        <v>5.5236745758738937E-2</v>
      </c>
      <c r="H43" s="43">
        <f>H41-H42</f>
        <v>101538.39417000016</v>
      </c>
      <c r="I43" s="44">
        <f>+H43/$H$20</f>
        <v>9.8265906495244221E-2</v>
      </c>
      <c r="J43" s="45">
        <f>IF(H43=0,"",(E43-H43)/ABS(H43))</f>
        <v>-0.97216685488182442</v>
      </c>
      <c r="K43" s="43">
        <f>+K41-K42</f>
        <v>405223</v>
      </c>
      <c r="L43" s="44">
        <f>+K43/$K$20</f>
        <v>4.8621149119391624E-2</v>
      </c>
      <c r="M43" s="43">
        <f>+M41-M42</f>
        <v>229816.29324999964</v>
      </c>
      <c r="N43" s="44">
        <f>+M43/$M$20</f>
        <v>2.8776081597165794E-2</v>
      </c>
      <c r="O43" s="44">
        <f>IF(K43=0,"",(M43-K43)/ABS(K43)+1)</f>
        <v>0.56713536312104607</v>
      </c>
      <c r="P43" s="43">
        <f>+P41-P42</f>
        <v>555288.26303999987</v>
      </c>
      <c r="Q43" s="44">
        <f>+P43/$P$20</f>
        <v>7.3033672937684049E-2</v>
      </c>
      <c r="R43" s="45">
        <f>IF(P43=0,"",(M43-P43)/ABS(P43))</f>
        <v>-0.58613154905915066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166571</v>
      </c>
      <c r="D45" s="33">
        <f>+C45/$C$20</f>
        <v>0.1619603137871086</v>
      </c>
      <c r="E45" s="32">
        <v>82841.431730000128</v>
      </c>
      <c r="F45" s="33">
        <f>+E45/$E$20</f>
        <v>8.8375612728636574E-2</v>
      </c>
      <c r="G45" s="33">
        <f>IF(C45=0,"",(E45-C45)/ABS(C45)+1)</f>
        <v>0.49733406013051573</v>
      </c>
      <c r="H45" s="32">
        <v>232266.35611000017</v>
      </c>
      <c r="I45" s="33">
        <f>+H45/$H$20</f>
        <v>0.22478062823490816</v>
      </c>
      <c r="J45" s="34">
        <f>IF(H45=0,"",(E45-H45)/ABS(H45))</f>
        <v>-0.64333434631933151</v>
      </c>
      <c r="K45" s="32">
        <v>1331472</v>
      </c>
      <c r="L45" s="33">
        <f>+K45/$K$20</f>
        <v>0.15975820390326956</v>
      </c>
      <c r="M45" s="32">
        <v>984423.14388999972</v>
      </c>
      <c r="N45" s="33">
        <f>+M45/$M$20</f>
        <v>0.12326297806875432</v>
      </c>
      <c r="O45" s="33">
        <f>IF(K45=0,"",(M45-K45)/ABS(K45)+1)</f>
        <v>0.73934948980526793</v>
      </c>
      <c r="P45" s="32">
        <v>1465988.16322</v>
      </c>
      <c r="Q45" s="33">
        <f>+P45/$P$20</f>
        <v>0.19281246727055923</v>
      </c>
      <c r="R45" s="34">
        <f>IF(P45=0,"",(M45-P45)/ABS(P45))</f>
        <v>-0.32849175144242421</v>
      </c>
      <c r="T45" s="40"/>
    </row>
    <row r="46" spans="2:20" x14ac:dyDescent="0.2">
      <c r="B46" s="19" t="s">
        <v>35</v>
      </c>
      <c r="C46" s="32">
        <v>414259</v>
      </c>
      <c r="D46" s="34">
        <f t="shared" ref="D46" si="11">+C46/$C$20</f>
        <v>0.40279230855991632</v>
      </c>
      <c r="E46" s="32">
        <v>426704.85200000001</v>
      </c>
      <c r="F46" s="34">
        <f>+E46/$E$20</f>
        <v>0.45521065923497084</v>
      </c>
      <c r="G46" s="34">
        <f>IF(C46=0,"",(E46-C46)/ABS(C46)+1)</f>
        <v>1.0300436490215059</v>
      </c>
      <c r="H46" s="32">
        <v>404187.64299999998</v>
      </c>
      <c r="I46" s="34">
        <f t="shared" ref="I46" si="12">+H46/$H$20</f>
        <v>0.39116105250860783</v>
      </c>
      <c r="J46" s="34">
        <f>IF(H46=0,"",(E46-H46)/ABS(H46))</f>
        <v>5.5709790712231234E-2</v>
      </c>
      <c r="K46" s="32">
        <v>3433759</v>
      </c>
      <c r="L46" s="34">
        <f t="shared" ref="L46" si="13">+K46/$K$20</f>
        <v>0.41200353479208501</v>
      </c>
      <c r="M46" s="32">
        <v>3443491.6469999999</v>
      </c>
      <c r="N46" s="34">
        <f>+M46/$M$20</f>
        <v>0.43117132911650502</v>
      </c>
      <c r="O46" s="34">
        <f>IF(K46=0,"",(M46-K46)/ABS(K46)+1)</f>
        <v>1.0028344001428171</v>
      </c>
      <c r="P46" s="32">
        <v>3053834.2734499997</v>
      </c>
      <c r="Q46" s="34">
        <f t="shared" ref="Q46" si="14">+P46/$P$20</f>
        <v>0.40165216587149666</v>
      </c>
      <c r="R46" s="34">
        <f>IF(P46=0,"",(M46-P46)/ABS(P46))</f>
        <v>0.12759610989295553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12" priority="2" operator="lessThan">
      <formula>0</formula>
    </cfRule>
  </conditionalFormatting>
  <conditionalFormatting sqref="R10:R46">
    <cfRule type="cellIs" dxfId="11" priority="1" operator="lessThan">
      <formula>0</formula>
    </cfRule>
  </conditionalFormatting>
  <conditionalFormatting sqref="AC10:AC11 AC13:AC17 AC19:AC28 AC30">
    <cfRule type="cellIs" dxfId="10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90BA9-315F-42F4-992E-7073703018DB}">
  <sheetPr>
    <tabColor theme="2" tint="-0.499984740745262"/>
  </sheetPr>
  <dimension ref="A1:AI56"/>
  <sheetViews>
    <sheetView showGridLines="0" topLeftCell="D1" zoomScale="95" zoomScaleNormal="95" workbookViewId="0">
      <selection activeCell="U37" sqref="U37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AGOSTO de 2024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AGOSTO de 2024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2024</v>
      </c>
      <c r="F7" s="61" t="str">
        <f>"Real "&amp;Paramet!F3</f>
        <v>Real 2024</v>
      </c>
      <c r="G7" s="62" t="s">
        <v>24</v>
      </c>
      <c r="I7" s="61" t="str">
        <f>"Real "&amp;Paramet!F4</f>
        <v>Real 2023</v>
      </c>
      <c r="J7" s="62" t="s">
        <v>25</v>
      </c>
      <c r="K7" s="62"/>
      <c r="L7" s="61" t="str">
        <f>+D7</f>
        <v>Ppto 2024</v>
      </c>
      <c r="M7" s="62"/>
      <c r="N7" s="61" t="str">
        <f>+F7</f>
        <v>Real 2024</v>
      </c>
      <c r="O7" s="62" t="s">
        <v>24</v>
      </c>
      <c r="P7" s="62" t="str">
        <f>+I7</f>
        <v>Real 2023</v>
      </c>
      <c r="Q7" s="62"/>
      <c r="R7" s="62" t="s">
        <v>25</v>
      </c>
      <c r="S7" s="63"/>
      <c r="U7" s="61" t="str">
        <f>+D7</f>
        <v>Ppto 2024</v>
      </c>
      <c r="V7" s="61" t="str">
        <f>+N7</f>
        <v>Real 2024</v>
      </c>
      <c r="W7" s="61" t="str">
        <f>+I7</f>
        <v>Real 2023</v>
      </c>
      <c r="X7" s="61" t="str">
        <f>+U7</f>
        <v>Ppto 2024</v>
      </c>
      <c r="Y7" s="61" t="str">
        <f>+V7</f>
        <v>Real 2024</v>
      </c>
      <c r="Z7" s="61" t="s">
        <v>26</v>
      </c>
      <c r="AA7" s="61" t="s">
        <v>24</v>
      </c>
      <c r="AB7" s="61" t="str">
        <f>+W7</f>
        <v>Real 2023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420217</v>
      </c>
      <c r="D10" s="34">
        <f t="shared" ref="D10:D15" si="0">+C10/$C$20</f>
        <v>0.40993021127818524</v>
      </c>
      <c r="E10" s="32">
        <v>354255.86900000001</v>
      </c>
      <c r="F10" s="34">
        <f t="shared" ref="F10:F20" si="1">+E10/$E$20</f>
        <v>0.37792175764935398</v>
      </c>
      <c r="G10" s="34">
        <f t="shared" ref="G10:G20" si="2">IF(C10=0,"",(E10-C10)/ABS(C10)+1)</f>
        <v>0.84303078885433003</v>
      </c>
      <c r="H10" s="32">
        <v>444876.63500000001</v>
      </c>
      <c r="I10" s="34">
        <f t="shared" ref="I10:I18" si="3">+H10/$H$20</f>
        <v>0.43768598000930903</v>
      </c>
      <c r="J10" s="34">
        <f t="shared" ref="J10:J20" si="4">IF(H10=0,"",(E10-H10)/ABS(H10))</f>
        <v>-0.20369864108507293</v>
      </c>
      <c r="K10" s="32">
        <v>3389827</v>
      </c>
      <c r="L10" s="34">
        <f t="shared" ref="L10:L46" si="5">+K10/$K$20</f>
        <v>0.40824733005867742</v>
      </c>
      <c r="M10" s="32">
        <v>3040952.81</v>
      </c>
      <c r="N10" s="34">
        <f t="shared" ref="N10:N20" si="6">+M10/$M$20</f>
        <v>0.38851895440139322</v>
      </c>
      <c r="O10" s="34">
        <f t="shared" ref="O10:O19" si="7">IF(K10=0,"",(M10-K10)/ABS(K10)+1)</f>
        <v>0.89708200742987776</v>
      </c>
      <c r="P10" s="32">
        <v>3187550.9369999999</v>
      </c>
      <c r="Q10" s="34">
        <f t="shared" ref="Q10:Q46" si="8">+P10/$P$20</f>
        <v>0.41931534957670052</v>
      </c>
      <c r="R10" s="34">
        <f t="shared" ref="R10:R18" si="9">IF(P10=0,"",(M10-P10)/ABS(P10))</f>
        <v>-4.5990834310548262E-2</v>
      </c>
      <c r="S10" s="67"/>
      <c r="T10" s="3" t="s">
        <v>31</v>
      </c>
      <c r="U10" s="32">
        <v>3845</v>
      </c>
      <c r="V10" s="32">
        <v>-66123</v>
      </c>
      <c r="W10" s="32">
        <v>22626</v>
      </c>
      <c r="X10" s="32">
        <v>45751</v>
      </c>
      <c r="Y10" s="32">
        <v>45751</v>
      </c>
      <c r="Z10" s="63">
        <f>+Y10-X10</f>
        <v>0</v>
      </c>
      <c r="AA10" s="68">
        <f>IF(X10=0,"",(Y10-X10)/ABS(X10)+1)</f>
        <v>1</v>
      </c>
      <c r="AB10" s="32">
        <v>32108</v>
      </c>
      <c r="AC10" s="34">
        <f>IF(W10=0,"",(Y10-AB10)/ABS(AB10))</f>
        <v>0.42490967983057182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41514</v>
      </c>
      <c r="D11" s="34">
        <f t="shared" si="0"/>
        <v>4.0497749474682321E-2</v>
      </c>
      <c r="E11" s="32">
        <v>47161.968000000001</v>
      </c>
      <c r="F11" s="34">
        <f t="shared" si="1"/>
        <v>5.0312600017256418E-2</v>
      </c>
      <c r="G11" s="34">
        <f t="shared" si="2"/>
        <v>1.1360497181673652</v>
      </c>
      <c r="H11" s="32">
        <v>18620.735000000001</v>
      </c>
      <c r="I11" s="34">
        <f t="shared" si="3"/>
        <v>1.831976329116192E-2</v>
      </c>
      <c r="J11" s="34">
        <f t="shared" si="4"/>
        <v>1.5327661878008574</v>
      </c>
      <c r="K11" s="32">
        <v>368431</v>
      </c>
      <c r="L11" s="34">
        <f t="shared" si="5"/>
        <v>4.4371282682227904E-2</v>
      </c>
      <c r="M11" s="32">
        <v>457829.30300000001</v>
      </c>
      <c r="N11" s="34">
        <f t="shared" si="6"/>
        <v>5.8493299044610508E-2</v>
      </c>
      <c r="O11" s="34">
        <f t="shared" si="7"/>
        <v>1.2426459852726834</v>
      </c>
      <c r="P11" s="32">
        <v>284706.13900000002</v>
      </c>
      <c r="Q11" s="34">
        <f t="shared" si="8"/>
        <v>3.7452469485483773E-2</v>
      </c>
      <c r="R11" s="34">
        <f t="shared" si="9"/>
        <v>0.60807668077715726</v>
      </c>
      <c r="S11" s="67"/>
      <c r="T11" s="3" t="s">
        <v>32</v>
      </c>
      <c r="U11" s="32">
        <v>1272633</v>
      </c>
      <c r="V11" s="32">
        <v>1254373.02893</v>
      </c>
      <c r="W11" s="32">
        <v>1184929.7805299999</v>
      </c>
      <c r="X11" s="32">
        <v>9498686</v>
      </c>
      <c r="Y11" s="32">
        <v>8949438.6634400003</v>
      </c>
      <c r="Z11" s="63">
        <f>+Y11-X11</f>
        <v>-549247.33655999973</v>
      </c>
      <c r="AA11" s="68">
        <f>IF(X11=0,"",(Y11-X11)/ABS(X11)+1)</f>
        <v>0.9421764929843981</v>
      </c>
      <c r="AB11" s="32">
        <v>8969646.4433700014</v>
      </c>
      <c r="AC11" s="34">
        <f>IF(AB11=0,"",(Y11-AB11)/ABS(AB11))</f>
        <v>-2.2529070747195276E-3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71017</v>
      </c>
      <c r="D12" s="34">
        <f t="shared" si="0"/>
        <v>6.9278524701149355E-2</v>
      </c>
      <c r="E12" s="32">
        <v>60618.758999999998</v>
      </c>
      <c r="F12" s="34">
        <f t="shared" si="1"/>
        <v>6.4668365304634073E-2</v>
      </c>
      <c r="G12" s="34">
        <f t="shared" si="2"/>
        <v>0.85358095948857315</v>
      </c>
      <c r="H12" s="32">
        <v>79401.804000000004</v>
      </c>
      <c r="I12" s="34">
        <f t="shared" si="3"/>
        <v>7.8118412306025176E-2</v>
      </c>
      <c r="J12" s="34">
        <f t="shared" si="4"/>
        <v>-0.23655690492875961</v>
      </c>
      <c r="K12" s="32">
        <v>599122</v>
      </c>
      <c r="L12" s="34">
        <f t="shared" si="5"/>
        <v>7.2154111958933287E-2</v>
      </c>
      <c r="M12" s="32">
        <v>534806.19099999999</v>
      </c>
      <c r="N12" s="34">
        <f t="shared" si="6"/>
        <v>6.8328038978911931E-2</v>
      </c>
      <c r="O12" s="34">
        <f t="shared" si="7"/>
        <v>0.89264989601450118</v>
      </c>
      <c r="P12" s="32">
        <v>701028.31160000002</v>
      </c>
      <c r="Q12" s="34">
        <f t="shared" si="8"/>
        <v>9.2218740139843658E-2</v>
      </c>
      <c r="R12" s="34">
        <f t="shared" si="9"/>
        <v>-0.2371118510472438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93193</v>
      </c>
      <c r="D13" s="34">
        <f t="shared" si="0"/>
        <v>9.0911662735319879E-2</v>
      </c>
      <c r="E13" s="32">
        <v>53614.703000000001</v>
      </c>
      <c r="F13" s="34">
        <f t="shared" si="1"/>
        <v>5.7196406797167539E-2</v>
      </c>
      <c r="G13" s="34">
        <f t="shared" si="2"/>
        <v>0.57530826349618536</v>
      </c>
      <c r="H13" s="32">
        <v>53577.745999999999</v>
      </c>
      <c r="I13" s="34">
        <f t="shared" si="3"/>
        <v>5.2711755169384956E-2</v>
      </c>
      <c r="J13" s="34">
        <f t="shared" si="4"/>
        <v>6.8978265715026823E-4</v>
      </c>
      <c r="K13" s="32">
        <v>823760</v>
      </c>
      <c r="L13" s="34">
        <f t="shared" si="5"/>
        <v>9.9207959759933503E-2</v>
      </c>
      <c r="M13" s="32">
        <v>809022.33349999995</v>
      </c>
      <c r="N13" s="34">
        <f t="shared" si="6"/>
        <v>0.10336250864043997</v>
      </c>
      <c r="O13" s="34">
        <f t="shared" si="7"/>
        <v>0.98210927151111971</v>
      </c>
      <c r="P13" s="32">
        <v>643351.50800000003</v>
      </c>
      <c r="Q13" s="34">
        <f t="shared" si="8"/>
        <v>8.4631482856117726E-2</v>
      </c>
      <c r="R13" s="34">
        <f t="shared" si="9"/>
        <v>0.25751214295746999</v>
      </c>
      <c r="S13" s="67"/>
      <c r="T13" s="3" t="s">
        <v>33</v>
      </c>
      <c r="U13" s="32">
        <v>152071</v>
      </c>
      <c r="V13" s="32">
        <v>197332.92800000001</v>
      </c>
      <c r="W13" s="32">
        <v>142373.72399999999</v>
      </c>
      <c r="X13" s="32">
        <v>1316379</v>
      </c>
      <c r="Y13" s="32">
        <v>1464466.841</v>
      </c>
      <c r="Z13" s="63">
        <f>+X13-Y13</f>
        <v>-148087.84100000001</v>
      </c>
      <c r="AA13" s="68">
        <f>IF(X13=0,"",(Y13-X13)/ABS(X13)+1)</f>
        <v>1.1124963562925267</v>
      </c>
      <c r="AB13" s="32">
        <v>1085165.814</v>
      </c>
      <c r="AC13" s="34">
        <f>IF(AB13=0,"",(Y13-AB13)/ABS(AB13))</f>
        <v>0.34953278301485452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12131</v>
      </c>
      <c r="V14" s="32">
        <v>12826.235000000001</v>
      </c>
      <c r="W14" s="32">
        <v>11991.995999999999</v>
      </c>
      <c r="X14" s="32">
        <v>96628</v>
      </c>
      <c r="Y14" s="32">
        <v>100124.726</v>
      </c>
      <c r="Z14" s="63">
        <f>+X14-Y14</f>
        <v>-3496.7259999999951</v>
      </c>
      <c r="AA14" s="68">
        <f>IF(X14=0,"",(Y14-X14)/ABS(X14)+1)</f>
        <v>1.0361875025872418</v>
      </c>
      <c r="AB14" s="32">
        <v>78313.384000000005</v>
      </c>
      <c r="AC14" s="34">
        <f>IF(AB14=0,"",(Y14-AB14)/ABS(AB14))</f>
        <v>0.27851359353849386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151140</v>
      </c>
      <c r="D15" s="34">
        <f t="shared" si="0"/>
        <v>0.14744013719717411</v>
      </c>
      <c r="E15" s="32">
        <v>138683.677</v>
      </c>
      <c r="F15" s="34">
        <f t="shared" si="1"/>
        <v>0.14794837165877775</v>
      </c>
      <c r="G15" s="34">
        <f t="shared" si="2"/>
        <v>0.91758420669577867</v>
      </c>
      <c r="H15" s="32">
        <v>140194.81400000001</v>
      </c>
      <c r="I15" s="34">
        <f t="shared" si="3"/>
        <v>0.13792880931544718</v>
      </c>
      <c r="J15" s="34">
        <f t="shared" si="4"/>
        <v>-1.0778836655113483E-2</v>
      </c>
      <c r="K15" s="32">
        <v>1149778</v>
      </c>
      <c r="L15" s="34">
        <f t="shared" si="5"/>
        <v>0.13847131392257067</v>
      </c>
      <c r="M15" s="32">
        <v>1068668.368</v>
      </c>
      <c r="N15" s="34">
        <f t="shared" si="6"/>
        <v>0.13653546861097238</v>
      </c>
      <c r="O15" s="34">
        <f t="shared" si="7"/>
        <v>0.92945626720984398</v>
      </c>
      <c r="P15" s="32">
        <v>1086023.189</v>
      </c>
      <c r="Q15" s="34">
        <f t="shared" si="8"/>
        <v>0.14286397367269371</v>
      </c>
      <c r="R15" s="34">
        <f t="shared" si="9"/>
        <v>-1.5980156939356106E-2</v>
      </c>
      <c r="S15" s="67"/>
      <c r="T15" s="3" t="s">
        <v>35</v>
      </c>
      <c r="U15" s="32">
        <v>388487</v>
      </c>
      <c r="V15" s="32">
        <v>425966.64899999998</v>
      </c>
      <c r="W15" s="32">
        <v>399624.234</v>
      </c>
      <c r="X15" s="32">
        <v>3586079</v>
      </c>
      <c r="Y15" s="32">
        <v>3623753.6349999998</v>
      </c>
      <c r="Z15" s="63">
        <f>+X15-Y15</f>
        <v>-37674.634999999776</v>
      </c>
      <c r="AA15" s="68">
        <f>IF(X15=0,"",(Y15-X15)/ABS(X15)+1)</f>
        <v>1.0105058017405639</v>
      </c>
      <c r="AB15" s="32">
        <v>3132721.3450000002</v>
      </c>
      <c r="AC15" s="34">
        <f>IF(AB15=0,"",(Y15-AB15)/ABS(AB15))</f>
        <v>0.1567430473137085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298969</v>
      </c>
      <c r="V16" s="32">
        <v>226676.06366999997</v>
      </c>
      <c r="W16" s="32">
        <v>253127.84075</v>
      </c>
      <c r="X16" s="32">
        <v>2449489</v>
      </c>
      <c r="Y16" s="32">
        <v>2023122.7308099999</v>
      </c>
      <c r="Z16" s="63">
        <f>+X16-Y16</f>
        <v>426366.26919000014</v>
      </c>
      <c r="AA16" s="68">
        <f>IF(X16=0,"",(Y16-X16)/ABS(X16)+1)</f>
        <v>0.82593664670876243</v>
      </c>
      <c r="AB16" s="32">
        <v>2021804.77908</v>
      </c>
      <c r="AC16" s="34">
        <f>IF(AB16=0,"",(Y16-AB16)/ABS(AB16))</f>
        <v>6.5186893593137841E-4</v>
      </c>
      <c r="AD16" s="53"/>
      <c r="AE16" s="53"/>
      <c r="AF16" s="53"/>
      <c r="AG16" s="53"/>
      <c r="AH16" s="53"/>
      <c r="AI16" s="55"/>
    </row>
    <row r="17" spans="1:35" x14ac:dyDescent="0.2">
      <c r="A17" s="38">
        <v>4155951500</v>
      </c>
      <c r="B17" s="3" t="s">
        <v>76</v>
      </c>
      <c r="C17" s="32">
        <v>16095</v>
      </c>
      <c r="D17" s="34">
        <f>+C17/$C$20</f>
        <v>1.5700999127884856E-2</v>
      </c>
      <c r="E17" s="32">
        <v>21122.437999999998</v>
      </c>
      <c r="F17" s="34">
        <f t="shared" si="1"/>
        <v>2.2533512055376858E-2</v>
      </c>
      <c r="G17" s="34">
        <f t="shared" si="2"/>
        <v>1.312360236098167</v>
      </c>
      <c r="H17" s="32">
        <v>48134.745000000003</v>
      </c>
      <c r="I17" s="34">
        <f t="shared" si="3"/>
        <v>4.7356730788577349E-2</v>
      </c>
      <c r="J17" s="34">
        <f t="shared" si="4"/>
        <v>-0.56118105538940743</v>
      </c>
      <c r="K17" s="32">
        <v>136557</v>
      </c>
      <c r="L17" s="34">
        <f t="shared" si="5"/>
        <v>1.644598106358313E-2</v>
      </c>
      <c r="M17" s="32">
        <v>126005.70600000001</v>
      </c>
      <c r="N17" s="34">
        <f t="shared" si="6"/>
        <v>1.6098771734550318E-2</v>
      </c>
      <c r="O17" s="34">
        <f t="shared" si="7"/>
        <v>0.92273340802741721</v>
      </c>
      <c r="P17" s="32">
        <v>135785.571</v>
      </c>
      <c r="Q17" s="34">
        <f t="shared" si="8"/>
        <v>1.7862294688512106E-2</v>
      </c>
      <c r="R17" s="34">
        <f t="shared" si="9"/>
        <v>-7.2024331657448273E-2</v>
      </c>
      <c r="S17" s="67"/>
      <c r="T17" s="3" t="s">
        <v>37</v>
      </c>
      <c r="U17" s="32">
        <f t="shared" ref="U17:AB17" si="10">SUM(U13:U16)</f>
        <v>851658</v>
      </c>
      <c r="V17" s="32">
        <f>SUM(V13:V16)</f>
        <v>862801.87566999986</v>
      </c>
      <c r="W17" s="32">
        <f t="shared" si="10"/>
        <v>807117.79474999988</v>
      </c>
      <c r="X17" s="32">
        <f t="shared" si="10"/>
        <v>7448575</v>
      </c>
      <c r="Y17" s="32">
        <f>SUM(Y13:Y16)</f>
        <v>7211467.9328099992</v>
      </c>
      <c r="Z17" s="63">
        <f>+Y17-X17</f>
        <v>-237107.06719000079</v>
      </c>
      <c r="AA17" s="68">
        <f>IF(X17=0,"",(Y17-X17)/ABS(X17)+1)</f>
        <v>0.96816745925361547</v>
      </c>
      <c r="AB17" s="32">
        <f t="shared" si="10"/>
        <v>6318005.3220800003</v>
      </c>
      <c r="AC17" s="34">
        <f>IF(AB17=0,"",(Y17-AB17)/ABS(AB17))</f>
        <v>0.14141529884559437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77</v>
      </c>
      <c r="B18" s="3" t="s">
        <v>78</v>
      </c>
      <c r="C18" s="32">
        <v>169681</v>
      </c>
      <c r="D18" s="41">
        <f t="shared" ref="D18:D46" si="11">+C18/$C$20</f>
        <v>0.16552725896356821</v>
      </c>
      <c r="E18" s="32">
        <v>206411.30100000001</v>
      </c>
      <c r="F18" s="34">
        <f t="shared" si="1"/>
        <v>0.22020050618444337</v>
      </c>
      <c r="G18" s="34">
        <f t="shared" si="2"/>
        <v>1.2164667876780548</v>
      </c>
      <c r="H18" s="32">
        <v>174579.77600000001</v>
      </c>
      <c r="I18" s="34">
        <f t="shared" si="3"/>
        <v>0.17175799836816705</v>
      </c>
      <c r="J18" s="41">
        <f t="shared" si="4"/>
        <v>0.18233225937923067</v>
      </c>
      <c r="K18" s="32">
        <v>1339918</v>
      </c>
      <c r="L18" s="34">
        <f t="shared" si="5"/>
        <v>0.16137046108770828</v>
      </c>
      <c r="M18" s="32">
        <v>1341215.996</v>
      </c>
      <c r="N18" s="34">
        <f t="shared" si="6"/>
        <v>0.17135676511610951</v>
      </c>
      <c r="O18" s="34">
        <f t="shared" si="7"/>
        <v>1.0009687130107963</v>
      </c>
      <c r="P18" s="32">
        <v>1101181.673</v>
      </c>
      <c r="Q18" s="34">
        <f t="shared" si="8"/>
        <v>0.14485803906745567</v>
      </c>
      <c r="R18" s="41">
        <f t="shared" si="9"/>
        <v>0.21797885751772778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79</v>
      </c>
      <c r="B19" s="3" t="s">
        <v>80</v>
      </c>
      <c r="C19" s="32">
        <v>62237</v>
      </c>
      <c r="D19" s="34">
        <f t="shared" si="11"/>
        <v>6.0713456522036024E-2</v>
      </c>
      <c r="E19" s="32">
        <v>55510.152000000002</v>
      </c>
      <c r="F19" s="34">
        <f t="shared" si="1"/>
        <v>5.9218480332990056E-2</v>
      </c>
      <c r="G19" s="34">
        <f t="shared" si="2"/>
        <v>0.89191561289907939</v>
      </c>
      <c r="H19" s="32">
        <v>57042.544000000002</v>
      </c>
      <c r="I19" s="34"/>
      <c r="J19" s="34">
        <f t="shared" si="4"/>
        <v>-2.6864019248510371E-2</v>
      </c>
      <c r="K19" s="32">
        <v>495973</v>
      </c>
      <c r="L19" s="34">
        <f t="shared" si="5"/>
        <v>5.9731559466365811E-2</v>
      </c>
      <c r="M19" s="32">
        <v>448537.78200000001</v>
      </c>
      <c r="N19" s="34">
        <f t="shared" si="6"/>
        <v>5.7306193473012176E-2</v>
      </c>
      <c r="O19" s="34">
        <f t="shared" si="7"/>
        <v>0.90435927358948975</v>
      </c>
      <c r="P19" s="32">
        <v>462171.50900000002</v>
      </c>
      <c r="Q19" s="34">
        <f t="shared" si="8"/>
        <v>6.0797650513192789E-2</v>
      </c>
      <c r="R19" s="34"/>
      <c r="S19" s="67"/>
      <c r="T19" s="3" t="s">
        <v>38</v>
      </c>
      <c r="U19" s="32">
        <f>U11-U17</f>
        <v>420975</v>
      </c>
      <c r="V19" s="32">
        <f>V11-V17</f>
        <v>391571.15326000017</v>
      </c>
      <c r="W19" s="32">
        <f>W11-W17</f>
        <v>377811.98577999999</v>
      </c>
      <c r="X19" s="32">
        <f>X11-X17</f>
        <v>2050111</v>
      </c>
      <c r="Y19" s="32">
        <f>Y11-Y17</f>
        <v>1737970.7306300011</v>
      </c>
      <c r="Z19" s="32">
        <f>+Y19-X19</f>
        <v>-312140.26936999895</v>
      </c>
      <c r="AA19" s="68">
        <f>IF(X19=0,"",(Y19-X19)/ABS(X19)+1)</f>
        <v>0.847744698033424</v>
      </c>
      <c r="AB19" s="32">
        <f>AB11-AB17</f>
        <v>2651641.1212900011</v>
      </c>
      <c r="AC19" s="34">
        <f>IF(AB19=0,"",(Y19-AB19)/ABS(AB19))</f>
        <v>-0.34456789168192831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1025094</v>
      </c>
      <c r="D20" s="45">
        <f t="shared" si="11"/>
        <v>1</v>
      </c>
      <c r="E20" s="69">
        <f>SUM(E10:E19)</f>
        <v>937378.86699999997</v>
      </c>
      <c r="F20" s="45">
        <f t="shared" si="1"/>
        <v>1</v>
      </c>
      <c r="G20" s="45">
        <f t="shared" si="2"/>
        <v>0.91443210768963623</v>
      </c>
      <c r="H20" s="69">
        <f>SUM(H10:H19)</f>
        <v>1016428.7990000001</v>
      </c>
      <c r="I20" s="45">
        <f>+H22/$H$22</f>
        <v>1</v>
      </c>
      <c r="J20" s="45">
        <f t="shared" si="4"/>
        <v>-7.7772227703280711E-2</v>
      </c>
      <c r="K20" s="69">
        <f>SUM(K10:K19)</f>
        <v>8303366</v>
      </c>
      <c r="L20" s="45">
        <f t="shared" si="5"/>
        <v>1</v>
      </c>
      <c r="M20" s="69">
        <f>SUM(M10:M19)</f>
        <v>7827038.4895000001</v>
      </c>
      <c r="N20" s="45">
        <f t="shared" si="6"/>
        <v>1</v>
      </c>
      <c r="O20" s="45">
        <f>IF(K20=0,"",(M20-K20)/ABS(K20)+1)</f>
        <v>0.9426344074800509</v>
      </c>
      <c r="P20" s="69">
        <f>SUM(P10:P19)</f>
        <v>7601798.8376000002</v>
      </c>
      <c r="Q20" s="45">
        <f t="shared" si="8"/>
        <v>1</v>
      </c>
      <c r="R20" s="45">
        <f>IF(P20=0,"",(M20-P20)/ABS(P20))</f>
        <v>2.9629783254184534E-2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424820</v>
      </c>
      <c r="V21" s="32">
        <f>+V10+V19</f>
        <v>325448.15326000017</v>
      </c>
      <c r="W21" s="32">
        <f>+W10+W19</f>
        <v>400437.98577999999</v>
      </c>
      <c r="X21" s="32">
        <f>+X10+X19</f>
        <v>2095862</v>
      </c>
      <c r="Y21" s="32">
        <f>+Y10+Y19</f>
        <v>1783721.7306300011</v>
      </c>
      <c r="Z21" s="63">
        <f>+Y21-X21</f>
        <v>-312140.26936999895</v>
      </c>
      <c r="AA21" s="68">
        <f>IF(X21=0,"",(Y21-X21)/ABS(X21)+1)</f>
        <v>0.85106831014160333</v>
      </c>
      <c r="AB21" s="32">
        <f>+AB10+AB19</f>
        <v>2683749.1212900011</v>
      </c>
      <c r="AC21" s="34">
        <f>IF(AB21=0,"",(Y21-AB21)/ABS(AB21))</f>
        <v>-0.33536196938832447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100224</v>
      </c>
      <c r="D22" s="34">
        <f t="shared" si="11"/>
        <v>9.7770545920666793E-2</v>
      </c>
      <c r="E22" s="32">
        <v>109550.42902</v>
      </c>
      <c r="F22" s="34">
        <f>+E22/$E$20</f>
        <v>0.11686889141271839</v>
      </c>
      <c r="G22" s="34">
        <f>IF(C22=0,"",(E22-C22)/ABS(C22)+1)</f>
        <v>1.0930558451069603</v>
      </c>
      <c r="H22" s="32">
        <v>51429.668899999997</v>
      </c>
      <c r="I22" s="34">
        <f t="shared" ref="I22:I46" si="12">+H22/$H$20</f>
        <v>5.059839798970512E-2</v>
      </c>
      <c r="J22" s="34">
        <f>IF(H22=0,"",(E22-H22)/ABS(H22))</f>
        <v>1.1301017751642575</v>
      </c>
      <c r="K22" s="32">
        <v>803707</v>
      </c>
      <c r="L22" s="34">
        <f t="shared" si="5"/>
        <v>9.6792915066010579E-2</v>
      </c>
      <c r="M22" s="32">
        <v>947920.01905</v>
      </c>
      <c r="N22" s="34">
        <f>+M22/$M$20</f>
        <v>0.12110838860977087</v>
      </c>
      <c r="O22" s="34">
        <f>IF(K22=0,"",(M22-K22)/ABS(K22)+1)</f>
        <v>1.1794348177258627</v>
      </c>
      <c r="P22" s="32">
        <v>611685.76063999999</v>
      </c>
      <c r="Q22" s="34">
        <f t="shared" si="8"/>
        <v>8.0465923093686886E-2</v>
      </c>
      <c r="R22" s="34">
        <f>IF(P22=0,"",(M22-P22)/ABS(P22))</f>
        <v>0.54968462574345667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17036</v>
      </c>
      <c r="V23" s="32">
        <v>0</v>
      </c>
      <c r="W23" s="32">
        <v>12492.08</v>
      </c>
      <c r="X23" s="32">
        <v>115236</v>
      </c>
      <c r="Y23" s="32">
        <v>218004.28115</v>
      </c>
      <c r="Z23" s="63">
        <f>+Y23-X23</f>
        <v>102768.28115</v>
      </c>
      <c r="AA23" s="68">
        <f>IF(X23=0,"",(Y23-X23)/ABS(X23)+1)</f>
        <v>1.8918070841577284</v>
      </c>
      <c r="AB23" s="32">
        <v>94165.921569999991</v>
      </c>
      <c r="AC23" s="34">
        <f>IF(AB23=0,"",(Y23-AB23)/ABS(AB23))</f>
        <v>1.3151080296914257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924870</v>
      </c>
      <c r="D24" s="34">
        <f t="shared" si="11"/>
        <v>0.90222945407933319</v>
      </c>
      <c r="E24" s="32">
        <f>+E20-E22</f>
        <v>827828.43797999993</v>
      </c>
      <c r="F24" s="34">
        <f>+E24/$E$20</f>
        <v>0.88313110858728161</v>
      </c>
      <c r="G24" s="34">
        <f>IF(C24=0,"",(E24-C24)/ABS(C24)+1)</f>
        <v>0.8950754570696422</v>
      </c>
      <c r="H24" s="32">
        <f>+H20-H22</f>
        <v>964999.13010000007</v>
      </c>
      <c r="I24" s="34">
        <f t="shared" si="12"/>
        <v>0.94940160201029478</v>
      </c>
      <c r="J24" s="34">
        <f>IF(H24=0,"",(E24-H24)/ABS(H24))</f>
        <v>-0.14214592308055815</v>
      </c>
      <c r="K24" s="32">
        <f>+K20-K22</f>
        <v>7499659</v>
      </c>
      <c r="L24" s="34">
        <f t="shared" si="5"/>
        <v>0.90320708493398938</v>
      </c>
      <c r="M24" s="32">
        <f>+M20-M22</f>
        <v>6879118.4704499999</v>
      </c>
      <c r="N24" s="34">
        <f>+M24/$M$20</f>
        <v>0.87889161139022909</v>
      </c>
      <c r="O24" s="34">
        <f>IF(K24=0,"",(M24-K24)/ABS(K24)+1)</f>
        <v>0.91725750070103185</v>
      </c>
      <c r="P24" s="32">
        <f>+P20-P22</f>
        <v>6990113.0769600002</v>
      </c>
      <c r="Q24" s="34">
        <f t="shared" si="8"/>
        <v>0.91953407690631306</v>
      </c>
      <c r="R24" s="34">
        <f>IF(P24=0,"",(M24-P24)/ABS(P24))</f>
        <v>-1.5878799854590026E-2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57006</v>
      </c>
      <c r="V25" s="32">
        <v>54634.488549999995</v>
      </c>
      <c r="W25" s="32">
        <v>52571.68677</v>
      </c>
      <c r="X25" s="32">
        <v>1536779</v>
      </c>
      <c r="Y25" s="32">
        <v>1482625.09983</v>
      </c>
      <c r="Z25" s="63">
        <f>+Y25-X25</f>
        <v>-54153.900170000037</v>
      </c>
      <c r="AA25" s="68">
        <f>IF(X25=0,"",(Y25-X25)/ABS(X25)+1)</f>
        <v>0.96476142622328909</v>
      </c>
      <c r="AB25" s="32">
        <v>1453705.91771</v>
      </c>
      <c r="AC25" s="34">
        <f>IF(AB25=0,"",(Y25-AB25)/ABS(AB25))</f>
        <v>1.9893419822873078E-2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218942</v>
      </c>
      <c r="D26" s="34">
        <f t="shared" si="11"/>
        <v>0.21358236415392148</v>
      </c>
      <c r="E26" s="32">
        <v>194599.08395</v>
      </c>
      <c r="F26" s="34">
        <f>+E26/$E$20</f>
        <v>0.20759917979887635</v>
      </c>
      <c r="G26" s="34">
        <f>IF(C26=0,"",(E26-C26)/ABS(C26)+1)</f>
        <v>0.88881568611778461</v>
      </c>
      <c r="H26" s="32">
        <v>210130.02044999998</v>
      </c>
      <c r="I26" s="34">
        <f t="shared" si="12"/>
        <v>0.20673363511220225</v>
      </c>
      <c r="J26" s="34">
        <f>IF(H26=0,"",(E26-H26)/ABS(H26))</f>
        <v>-7.3911078801305957E-2</v>
      </c>
      <c r="K26" s="32">
        <v>1802945</v>
      </c>
      <c r="L26" s="34">
        <f t="shared" si="5"/>
        <v>0.21713423206925964</v>
      </c>
      <c r="M26" s="32">
        <v>1700830.4168499999</v>
      </c>
      <c r="N26" s="34">
        <f>+M26/$M$20</f>
        <v>0.21730191043926383</v>
      </c>
      <c r="O26" s="34">
        <f>IF(K26=0,"",(M26-K26)/ABS(K26)+1)</f>
        <v>0.94336234153010767</v>
      </c>
      <c r="P26" s="32">
        <v>1592405.1286600002</v>
      </c>
      <c r="Q26" s="34">
        <f t="shared" si="8"/>
        <v>0.20947740958148608</v>
      </c>
      <c r="R26" s="34">
        <f>IF(P26=0,"",(M26-P26)/ABS(P26))</f>
        <v>6.8089009661278233E-2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346738</v>
      </c>
      <c r="D27" s="34">
        <f t="shared" si="11"/>
        <v>0.33824995561382665</v>
      </c>
      <c r="E27" s="32">
        <v>346047.43827999994</v>
      </c>
      <c r="F27" s="34">
        <f>+E27/$E$20</f>
        <v>0.36916496676258004</v>
      </c>
      <c r="G27" s="34">
        <f>IF(C27=0,"",(E27-C27)/ABS(C27)+1)</f>
        <v>0.99800840484746389</v>
      </c>
      <c r="H27" s="32">
        <v>320561.07543999999</v>
      </c>
      <c r="I27" s="34">
        <f t="shared" si="12"/>
        <v>0.31537976467744688</v>
      </c>
      <c r="J27" s="34">
        <f>IF(H27=0,"",(E27-H27)/ABS(H27))</f>
        <v>7.9505482083305171E-2</v>
      </c>
      <c r="K27" s="32">
        <v>2712064</v>
      </c>
      <c r="L27" s="34">
        <f t="shared" si="5"/>
        <v>0.32662223970375387</v>
      </c>
      <c r="M27" s="32">
        <v>2753143.3230900001</v>
      </c>
      <c r="N27" s="34">
        <f>+M27/$M$20</f>
        <v>0.3517477685568241</v>
      </c>
      <c r="O27" s="34">
        <f>IF(K27=0,"",(M27-K27)/ABS(K27)+1)</f>
        <v>1.015146885578659</v>
      </c>
      <c r="P27" s="32">
        <v>2418182.4677300001</v>
      </c>
      <c r="Q27" s="34">
        <f t="shared" si="8"/>
        <v>0.3181066112627437</v>
      </c>
      <c r="R27" s="34">
        <f>IF(P27=0,"",(M27-P27)/ABS(P27))</f>
        <v>0.13851760974614744</v>
      </c>
      <c r="S27" s="67"/>
      <c r="T27" s="3" t="s">
        <v>47</v>
      </c>
      <c r="U27" s="32">
        <v>267604</v>
      </c>
      <c r="V27" s="32">
        <v>127675.46445</v>
      </c>
      <c r="W27" s="32">
        <v>139160</v>
      </c>
      <c r="X27" s="32">
        <v>35673</v>
      </c>
      <c r="Y27" s="32">
        <v>-374503</v>
      </c>
      <c r="Z27" s="63">
        <f>+Y27-X27</f>
        <v>-410176</v>
      </c>
      <c r="AA27" s="68">
        <f>IF(X27=0,"",(Y27-X27)/ABS(X27)+1)</f>
        <v>-10.498219942253245</v>
      </c>
      <c r="AB27" s="32">
        <v>644108</v>
      </c>
      <c r="AC27" s="34">
        <f>IF(AB27=0,"",(Y27-AB27)/ABS(AB27))</f>
        <v>-1.5814288908071317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565680</v>
      </c>
      <c r="D28" s="34">
        <f t="shared" si="11"/>
        <v>0.55183231976774816</v>
      </c>
      <c r="E28" s="32">
        <f>SUM(E26:E27)</f>
        <v>540646.52223</v>
      </c>
      <c r="F28" s="34">
        <f>+E28/$E$20</f>
        <v>0.57676414656145647</v>
      </c>
      <c r="G28" s="34">
        <f>IF(C28=0,"",(E28-C28)/ABS(C28)+1)</f>
        <v>0.95574622088459904</v>
      </c>
      <c r="H28" s="32">
        <f>SUM(H26:H27)</f>
        <v>530691.09589</v>
      </c>
      <c r="I28" s="34">
        <f t="shared" si="12"/>
        <v>0.5221133997896491</v>
      </c>
      <c r="J28" s="34">
        <f>IF(H28=0,"",(E28-H28)/ABS(H28))</f>
        <v>1.8759361928438186E-2</v>
      </c>
      <c r="K28" s="32">
        <f>SUM(K26:K27)</f>
        <v>4515009</v>
      </c>
      <c r="L28" s="34">
        <f t="shared" si="5"/>
        <v>0.54375647177301345</v>
      </c>
      <c r="M28" s="32">
        <f>SUM(M26:M27)</f>
        <v>4453973.7399399998</v>
      </c>
      <c r="N28" s="34">
        <f>+M28/$M$20</f>
        <v>0.56904967899608794</v>
      </c>
      <c r="O28" s="34">
        <f>IF(K28=0,"",(M28-K28)/ABS(K28)+1)</f>
        <v>0.98648169692242027</v>
      </c>
      <c r="P28" s="32">
        <f>SUM(P26:P27)</f>
        <v>4010587.5963900005</v>
      </c>
      <c r="Q28" s="34">
        <f t="shared" si="8"/>
        <v>0.52758402084422984</v>
      </c>
      <c r="R28" s="34">
        <f>IF(P28=0,"",(M28-P28)/ABS(P28))</f>
        <v>0.11055391084067052</v>
      </c>
      <c r="S28" s="67"/>
      <c r="T28" s="3" t="s">
        <v>49</v>
      </c>
      <c r="U28" s="32">
        <v>81250</v>
      </c>
      <c r="V28" s="32">
        <v>81446.445999999996</v>
      </c>
      <c r="W28" s="32">
        <v>76356.298999999999</v>
      </c>
      <c r="X28" s="32">
        <v>406250</v>
      </c>
      <c r="Y28" s="32">
        <v>395904.03185000003</v>
      </c>
      <c r="Z28" s="63">
        <f>+Y28-X28</f>
        <v>-10345.968149999972</v>
      </c>
      <c r="AA28" s="68">
        <f>IF(X28=0,"",(Y28-X28)/ABS(X28)+1)</f>
        <v>0.97453300147692312</v>
      </c>
      <c r="AB28" s="32">
        <v>371911.22010000004</v>
      </c>
      <c r="AC28" s="34">
        <f>IF(AB28=0,"",(Y28-AB28)/ABS(AB28))</f>
        <v>6.4512201980754358E-2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57647</v>
      </c>
      <c r="D30" s="34">
        <f t="shared" si="11"/>
        <v>5.623581837372963E-2</v>
      </c>
      <c r="E30" s="32">
        <v>57196.970130000002</v>
      </c>
      <c r="F30" s="34">
        <f>+E30/$E$20</f>
        <v>6.1017985516415532E-2</v>
      </c>
      <c r="G30" s="34">
        <f>IF(C30=0,"",(E30-C30)/ABS(C30)+1)</f>
        <v>0.99219335143199128</v>
      </c>
      <c r="H30" s="32">
        <v>56193.182000000001</v>
      </c>
      <c r="I30" s="34">
        <f t="shared" si="12"/>
        <v>5.528491720746688E-2</v>
      </c>
      <c r="J30" s="34">
        <f>IF(H30=0,"",(E30-H30)/ABS(H30))</f>
        <v>1.7863165855245586E-2</v>
      </c>
      <c r="K30" s="32">
        <v>475801</v>
      </c>
      <c r="L30" s="34">
        <f t="shared" si="5"/>
        <v>5.7302183235088032E-2</v>
      </c>
      <c r="M30" s="32">
        <v>444170.62076999998</v>
      </c>
      <c r="N30" s="34">
        <f>+M30/$M$20</f>
        <v>5.6748235155078951E-2</v>
      </c>
      <c r="O30" s="34">
        <f>IF(K30=0,"",(M30-K30)/ABS(K30)+1)</f>
        <v>0.93352183112267517</v>
      </c>
      <c r="P30" s="32">
        <v>421320.15275999997</v>
      </c>
      <c r="Q30" s="34">
        <f t="shared" si="8"/>
        <v>5.5423744005967009E-2</v>
      </c>
      <c r="R30" s="34">
        <f>IF(P30=0,"",(M30-P30)/ABS(P30))</f>
        <v>5.4235402366372226E-2</v>
      </c>
      <c r="S30" s="67"/>
      <c r="T30" s="20" t="s">
        <v>51</v>
      </c>
      <c r="U30" s="69">
        <f>U21-U23-U25-U27-U28</f>
        <v>1924</v>
      </c>
      <c r="V30" s="69">
        <f>V21-V23-V25-V27-V28</f>
        <v>61691.754260000162</v>
      </c>
      <c r="W30" s="69">
        <f>W21-W23-W25-W27-W28</f>
        <v>119857.92001</v>
      </c>
      <c r="X30" s="69">
        <f>X21-X23-X25-X27-X28</f>
        <v>1924</v>
      </c>
      <c r="Y30" s="69">
        <f>Y21-Y23-Y25-Y27-Y28</f>
        <v>61691.317800001125</v>
      </c>
      <c r="Z30" s="71">
        <f>+Y30-X30</f>
        <v>59767.317800001125</v>
      </c>
      <c r="AA30" s="72">
        <f>IF(U30=0,"",(V30-U30)/ABS(U30)+1)</f>
        <v>32.064321340956425</v>
      </c>
      <c r="AB30" s="69">
        <f>AB21-AB23-AB25-AB27-AB28</f>
        <v>119858.06191000133</v>
      </c>
      <c r="AC30" s="34">
        <f>IF(AB30=0,"",(Y30-AB30)/ABS(AB30))</f>
        <v>-0.48529688519138814</v>
      </c>
      <c r="AD30" s="54"/>
      <c r="AE30" s="54"/>
    </row>
    <row r="31" spans="1:35" x14ac:dyDescent="0.2">
      <c r="B31" s="3" t="s">
        <v>52</v>
      </c>
      <c r="C31" s="32">
        <v>184243</v>
      </c>
      <c r="D31" s="34">
        <f t="shared" si="11"/>
        <v>0.17973278548113636</v>
      </c>
      <c r="E31" s="32">
        <v>193563.47232</v>
      </c>
      <c r="F31" s="34">
        <f>+E31/$E$20</f>
        <v>0.2064943846445815</v>
      </c>
      <c r="G31" s="34">
        <f>IF(C31=0,"",(E31-C31)/ABS(C31)+1)</f>
        <v>1.05058793180745</v>
      </c>
      <c r="H31" s="32">
        <v>207749.72693</v>
      </c>
      <c r="I31" s="34">
        <f t="shared" si="12"/>
        <v>0.20439181488599278</v>
      </c>
      <c r="J31" s="34">
        <f>IF(H31=0,"",(E31-H31)/ABS(H31))</f>
        <v>-6.8285310501418728E-2</v>
      </c>
      <c r="K31" s="32">
        <v>1585479</v>
      </c>
      <c r="L31" s="34">
        <f t="shared" si="5"/>
        <v>0.19094413036833496</v>
      </c>
      <c r="M31" s="32">
        <v>1529249.8004900001</v>
      </c>
      <c r="N31" s="34">
        <f>+M31/$M$20</f>
        <v>0.19538038589454926</v>
      </c>
      <c r="O31" s="34">
        <f>IF(K31=0,"",(M31-K31)/ABS(K31)+1)</f>
        <v>0.96453488219648453</v>
      </c>
      <c r="P31" s="32">
        <v>1451015.31134</v>
      </c>
      <c r="Q31" s="34">
        <f t="shared" si="8"/>
        <v>0.19087788855487617</v>
      </c>
      <c r="R31" s="34">
        <f>IF(P31=0,"",(M31-P31)/ABS(P31))</f>
        <v>5.3917066579918557E-2</v>
      </c>
      <c r="S31" s="67"/>
      <c r="T31" s="54"/>
      <c r="U31" s="58" t="s">
        <v>61</v>
      </c>
      <c r="V31" s="58" t="s">
        <v>61</v>
      </c>
      <c r="W31" s="54" t="s">
        <v>61</v>
      </c>
      <c r="X31" s="58" t="s">
        <v>61</v>
      </c>
      <c r="Y31" s="58" t="s">
        <v>61</v>
      </c>
      <c r="Z31" s="58"/>
      <c r="AA31" s="58"/>
      <c r="AB31" s="73" t="s">
        <v>61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241890</v>
      </c>
      <c r="D32" s="34">
        <f t="shared" si="11"/>
        <v>0.23596860385486598</v>
      </c>
      <c r="E32" s="32">
        <f>SUM(E30:E31)</f>
        <v>250760.44245</v>
      </c>
      <c r="F32" s="34">
        <f>+E32/$E$20</f>
        <v>0.26751237016099705</v>
      </c>
      <c r="G32" s="34">
        <f>IF(C32=0,"",(E32-C32)/ABS(C32)+1)</f>
        <v>1.03667138968126</v>
      </c>
      <c r="H32" s="32">
        <f>SUM(H30:H31)</f>
        <v>263942.90893000003</v>
      </c>
      <c r="I32" s="34">
        <f t="shared" si="12"/>
        <v>0.25967673209345971</v>
      </c>
      <c r="J32" s="34">
        <f>IF(H32=0,"",(E32-H32)/ABS(H32))</f>
        <v>-4.9944385827376543E-2</v>
      </c>
      <c r="K32" s="32">
        <f>SUM(K30:K31)</f>
        <v>2061280</v>
      </c>
      <c r="L32" s="34">
        <f t="shared" si="5"/>
        <v>0.248246313603423</v>
      </c>
      <c r="M32" s="32">
        <f>SUM(M30:M31)</f>
        <v>1973420.42126</v>
      </c>
      <c r="N32" s="34">
        <f>+M32/$M$20</f>
        <v>0.25212862104962824</v>
      </c>
      <c r="O32" s="34">
        <f>IF(K32=0,"",(M32-K32)/ABS(K32)+1)</f>
        <v>0.95737620374718624</v>
      </c>
      <c r="P32" s="32">
        <f>SUM(P30:P31)</f>
        <v>1872335.4641</v>
      </c>
      <c r="Q32" s="34">
        <f t="shared" si="8"/>
        <v>0.24630163256084317</v>
      </c>
      <c r="R32" s="34">
        <f>IF(P32=0,"",(M32-P32)/ABS(P32))</f>
        <v>5.3988699727262723E-2</v>
      </c>
      <c r="S32" s="67"/>
      <c r="T32" s="54" t="s">
        <v>81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807570</v>
      </c>
      <c r="D34" s="34">
        <f t="shared" si="11"/>
        <v>0.78780092362261411</v>
      </c>
      <c r="E34" s="32">
        <f>E28+E32</f>
        <v>791406.96467999998</v>
      </c>
      <c r="F34" s="34">
        <f>+E34/$E$20</f>
        <v>0.84427651672245352</v>
      </c>
      <c r="G34" s="34">
        <f>IF(C34=0,"",(E34-C34)/ABS(C34)+1)</f>
        <v>0.97998559218395931</v>
      </c>
      <c r="H34" s="32">
        <f>H28+H32</f>
        <v>794634.00482000003</v>
      </c>
      <c r="I34" s="34">
        <f t="shared" si="12"/>
        <v>0.78179013188310886</v>
      </c>
      <c r="J34" s="34">
        <f>IF(H34=0,"",(E34-H34)/ABS(H34))</f>
        <v>-4.0610395734713648E-3</v>
      </c>
      <c r="K34" s="32">
        <f>K28+K32</f>
        <v>6576289</v>
      </c>
      <c r="L34" s="34">
        <f t="shared" si="5"/>
        <v>0.79200278537643654</v>
      </c>
      <c r="M34" s="32">
        <f>M28+M32</f>
        <v>6427394.1612</v>
      </c>
      <c r="N34" s="34">
        <f>+M34/$M$20</f>
        <v>0.82117830004571613</v>
      </c>
      <c r="O34" s="34">
        <f>IF(K34=0,"",(M34-K34)/ABS(K34)+1)</f>
        <v>0.9773588358419163</v>
      </c>
      <c r="P34" s="32">
        <f>P28+P32</f>
        <v>5882923.060490001</v>
      </c>
      <c r="Q34" s="34">
        <f t="shared" si="8"/>
        <v>0.77388565340507309</v>
      </c>
      <c r="R34" s="34">
        <f>IF(P34=0,"",(M34-P34)/ABS(P34))</f>
        <v>9.2551117040216541E-2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117300</v>
      </c>
      <c r="D36" s="45">
        <f t="shared" si="11"/>
        <v>0.11442853045671909</v>
      </c>
      <c r="E36" s="69">
        <f>E24-E34</f>
        <v>36421.473299999954</v>
      </c>
      <c r="F36" s="45">
        <f>+E36/$E$20</f>
        <v>3.8854591864828071E-2</v>
      </c>
      <c r="G36" s="45">
        <f>IF(C36=0,"",(E36-C36)/ABS(C36)+1)</f>
        <v>0.31049849360613768</v>
      </c>
      <c r="H36" s="69">
        <f>H24-H34</f>
        <v>170365.12528000004</v>
      </c>
      <c r="I36" s="45">
        <f t="shared" si="12"/>
        <v>0.16761147012718597</v>
      </c>
      <c r="J36" s="45">
        <f>IF(H36=0,"",(E36-H36)/ABS(H36))</f>
        <v>-0.78621520548797641</v>
      </c>
      <c r="K36" s="69">
        <f>K24-K34</f>
        <v>923370</v>
      </c>
      <c r="L36" s="45">
        <f t="shared" si="5"/>
        <v>0.11120429955755293</v>
      </c>
      <c r="M36" s="69">
        <f>+M24-M34</f>
        <v>451724.30924999993</v>
      </c>
      <c r="N36" s="45">
        <f>+M36/$M$20</f>
        <v>5.7713311344512956E-2</v>
      </c>
      <c r="O36" s="45">
        <f>IF(K36=0,"",(M36-K36)/ABS(K36)+1)</f>
        <v>0.48921267666265955</v>
      </c>
      <c r="P36" s="69">
        <f>P24-P34</f>
        <v>1107190.0164699992</v>
      </c>
      <c r="Q36" s="45">
        <f t="shared" si="8"/>
        <v>0.14564842350124005</v>
      </c>
      <c r="R36" s="45">
        <f>IF(P36=0,"",(M36-P36)/ABS(P36))</f>
        <v>-0.59200832510194512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321</v>
      </c>
      <c r="D38" s="34">
        <f t="shared" si="11"/>
        <v>3.1314201429332334E-4</v>
      </c>
      <c r="E38" s="32">
        <v>1168.81575</v>
      </c>
      <c r="F38" s="34">
        <f>+E38/$E$20</f>
        <v>1.2468979098501482E-3</v>
      </c>
      <c r="G38" s="34">
        <f>IF(C38=0,"",(E38-C38)/ABS(C38)+1)</f>
        <v>3.6411705607476637</v>
      </c>
      <c r="H38" s="32">
        <v>1523.9284</v>
      </c>
      <c r="I38" s="34">
        <f t="shared" si="12"/>
        <v>1.4992967549712253E-3</v>
      </c>
      <c r="J38" s="34">
        <f>IF(H38=0,"",(E38-H38)/ABS(H38))</f>
        <v>-0.23302449773887016</v>
      </c>
      <c r="K38" s="32">
        <v>2568</v>
      </c>
      <c r="L38" s="34">
        <f t="shared" si="5"/>
        <v>3.0927216745594497E-4</v>
      </c>
      <c r="M38" s="32">
        <v>15433.029699999999</v>
      </c>
      <c r="N38" s="34">
        <f>+M38/$M$20</f>
        <v>1.9717585036413791E-3</v>
      </c>
      <c r="O38" s="34">
        <f>IF(K38=0,"",(M38-K38)/ABS(K38)+1)</f>
        <v>6.0097467679127723</v>
      </c>
      <c r="P38" s="32">
        <v>6412.4356600000001</v>
      </c>
      <c r="Q38" s="34">
        <f t="shared" si="8"/>
        <v>8.4354187699401165E-4</v>
      </c>
      <c r="R38" s="34">
        <f>IF(P38=0,"",(M38-P38)/ABS(P38))</f>
        <v>1.4067344326383464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32907</v>
      </c>
      <c r="D39" s="34">
        <f t="shared" si="11"/>
        <v>3.2101446306387511E-2</v>
      </c>
      <c r="E39" s="32">
        <v>30531.570390000001</v>
      </c>
      <c r="F39" s="34">
        <f>+E39/$E$20</f>
        <v>3.2571216895163908E-2</v>
      </c>
      <c r="G39" s="34">
        <f>IF(C39=0,"",(E39-C39)/ABS(C39)+1)</f>
        <v>0.9278138508524022</v>
      </c>
      <c r="H39" s="32">
        <v>28886.370010000002</v>
      </c>
      <c r="I39" s="34">
        <f t="shared" si="12"/>
        <v>2.8419472213321258E-2</v>
      </c>
      <c r="J39" s="34">
        <f>IF(H39=0,"",(E39-H39)/ABS(H39))</f>
        <v>5.6954209872353508E-2</v>
      </c>
      <c r="K39" s="32">
        <v>258199</v>
      </c>
      <c r="L39" s="34">
        <f t="shared" si="5"/>
        <v>3.1095702634329259E-2</v>
      </c>
      <c r="M39" s="32">
        <v>249999.57486000002</v>
      </c>
      <c r="N39" s="34">
        <f>+M39/$M$20</f>
        <v>3.1940506641864014E-2</v>
      </c>
      <c r="O39" s="34">
        <f>IF(K39=0,"",(M39-K39)/ABS(K39)+1)</f>
        <v>0.96824377654444838</v>
      </c>
      <c r="P39" s="32">
        <v>221736.40891</v>
      </c>
      <c r="Q39" s="34">
        <f t="shared" si="8"/>
        <v>2.9168939305950568E-2</v>
      </c>
      <c r="R39" s="34">
        <f>IF(P39=0,"",(M39-P39)/ABS(P39))</f>
        <v>0.12746290105866956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84714</v>
      </c>
      <c r="D41" s="34">
        <f t="shared" si="11"/>
        <v>8.2640226164624908E-2</v>
      </c>
      <c r="E41" s="32">
        <f>E36+E38-E39</f>
        <v>7058.718659999955</v>
      </c>
      <c r="F41" s="34">
        <f>+E41/$E$20</f>
        <v>7.530272879514314E-3</v>
      </c>
      <c r="G41" s="34">
        <f>IF(C41=0,"",(E41-C41)/ABS(C41)+1)</f>
        <v>8.3324110064451617E-2</v>
      </c>
      <c r="H41" s="32">
        <f>H36+H38-H39</f>
        <v>143002.68367000003</v>
      </c>
      <c r="I41" s="34">
        <f t="shared" si="12"/>
        <v>0.14069129466883593</v>
      </c>
      <c r="J41" s="34">
        <f>IF(H41=0,"",(E41-H41)/ABS(H41))</f>
        <v>-0.95063925739821076</v>
      </c>
      <c r="K41" s="32">
        <f>K36+K38-K39</f>
        <v>667739</v>
      </c>
      <c r="L41" s="34">
        <f t="shared" si="5"/>
        <v>8.0417869090679606E-2</v>
      </c>
      <c r="M41" s="32">
        <f>M36+M38-M39</f>
        <v>217157.76408999992</v>
      </c>
      <c r="N41" s="34">
        <f>+M41/$M$20</f>
        <v>2.7744563206290328E-2</v>
      </c>
      <c r="O41" s="34">
        <f>IF(K41=0,"",(M41-K41)/ABS(K41)+1)</f>
        <v>0.32521354015565951</v>
      </c>
      <c r="P41" s="32">
        <f>P36+P38-P39</f>
        <v>891866.04321999918</v>
      </c>
      <c r="Q41" s="34">
        <f t="shared" si="8"/>
        <v>0.1173230260722835</v>
      </c>
      <c r="R41" s="34">
        <f>IF(P41=0,"",(M41-P41)/ABS(P41))</f>
        <v>-0.75651302598541359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34072</v>
      </c>
      <c r="D42" s="34">
        <f t="shared" si="11"/>
        <v>3.3237927448604716E-2</v>
      </c>
      <c r="E42" s="32">
        <v>2902.0329999999999</v>
      </c>
      <c r="F42" s="34">
        <f>+E42/$E$20</f>
        <v>3.0959018836083916E-3</v>
      </c>
      <c r="G42" s="34">
        <f>IF(C42=0,"",(E42-C42)/ABS(C42)+1)</f>
        <v>8.517354425921575E-2</v>
      </c>
      <c r="H42" s="32">
        <v>56872.519</v>
      </c>
      <c r="I42" s="34">
        <f t="shared" si="12"/>
        <v>5.5953273909548087E-2</v>
      </c>
      <c r="J42" s="34">
        <f>IF(H42=0,"",(E42-H42)/ABS(H42))</f>
        <v>-0.94897301805815915</v>
      </c>
      <c r="K42" s="32">
        <v>269911</v>
      </c>
      <c r="L42" s="34">
        <f t="shared" si="5"/>
        <v>3.2506214949455436E-2</v>
      </c>
      <c r="M42" s="32">
        <v>134432.15700000001</v>
      </c>
      <c r="N42" s="34">
        <f>+M42/$M$20</f>
        <v>1.7175354021874457E-2</v>
      </c>
      <c r="O42" s="34">
        <f>IF(K42=0,"",(M42-K42)/ABS(K42)+1)</f>
        <v>0.49806105345836227</v>
      </c>
      <c r="P42" s="32">
        <v>315495.97200000001</v>
      </c>
      <c r="Q42" s="34">
        <f t="shared" si="8"/>
        <v>4.1502804630858495E-2</v>
      </c>
      <c r="R42" s="34">
        <f>IF(P42=0,"",(M42-P42)/ABS(P42))</f>
        <v>-0.57390214477920498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50642</v>
      </c>
      <c r="D43" s="45">
        <f t="shared" si="11"/>
        <v>4.9402298716020192E-2</v>
      </c>
      <c r="E43" s="69">
        <f>E41-E42</f>
        <v>4156.6856599999555</v>
      </c>
      <c r="F43" s="45">
        <f>+E43/$E$20</f>
        <v>4.4343709959059228E-3</v>
      </c>
      <c r="G43" s="45">
        <f>IF(C43=0,"",(E43-C43)/ABS(C43)+1)</f>
        <v>8.2079808459380788E-2</v>
      </c>
      <c r="H43" s="69">
        <f>+H41-H42</f>
        <v>86130.164670000027</v>
      </c>
      <c r="I43" s="45">
        <f t="shared" si="12"/>
        <v>8.4738020759287852E-2</v>
      </c>
      <c r="J43" s="45">
        <f>IF(H43=0,"",(E43-H43)/ABS(H43))</f>
        <v>-0.9517394901550934</v>
      </c>
      <c r="K43" s="69">
        <f>+K41-K42</f>
        <v>397828</v>
      </c>
      <c r="L43" s="45">
        <f t="shared" si="5"/>
        <v>4.7911654141224176E-2</v>
      </c>
      <c r="M43" s="69">
        <f>+M41-M42</f>
        <v>82725.607089999918</v>
      </c>
      <c r="N43" s="45">
        <f>+M43/$M$20</f>
        <v>1.0569209184415869E-2</v>
      </c>
      <c r="O43" s="45">
        <f>IF(K43=0,"",(M43-K43)/ABS(K43)+1)</f>
        <v>0.2079431490242013</v>
      </c>
      <c r="P43" s="69">
        <f>P41-P42</f>
        <v>576370.07121999911</v>
      </c>
      <c r="Q43" s="45">
        <f t="shared" si="8"/>
        <v>7.5820221441424987E-2</v>
      </c>
      <c r="R43" s="45">
        <f>IF(P43=0,"",(M43-P43)/ABS(P43))</f>
        <v>-0.85647136931503898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82</v>
      </c>
      <c r="B45" s="3" t="s">
        <v>83</v>
      </c>
      <c r="C45" s="32">
        <v>165514</v>
      </c>
      <c r="D45" s="34">
        <f t="shared" si="11"/>
        <v>0.16146226589951751</v>
      </c>
      <c r="E45" s="32">
        <v>83878.287529999943</v>
      </c>
      <c r="F45" s="34">
        <f>+E45/$E$20</f>
        <v>8.9481735169094592E-2</v>
      </c>
      <c r="G45" s="34">
        <f>IF(C45=0,"",(E45-C45)/ABS(C45)+1)</f>
        <v>0.50677457816257199</v>
      </c>
      <c r="H45" s="32">
        <v>132329.48600000003</v>
      </c>
      <c r="I45" s="34">
        <f t="shared" si="12"/>
        <v>0.13019061062633272</v>
      </c>
      <c r="J45" s="34">
        <f>IF(H45=0,"",(E45-H45)/ABS(H45))</f>
        <v>-0.36614060807279247</v>
      </c>
      <c r="K45" s="32">
        <v>1319663</v>
      </c>
      <c r="L45" s="34">
        <f t="shared" si="5"/>
        <v>0.15893108891020821</v>
      </c>
      <c r="M45" s="32">
        <v>832035.56193999993</v>
      </c>
      <c r="N45" s="34">
        <f>+M45/$M$20</f>
        <v>0.1063027303438176</v>
      </c>
      <c r="O45" s="34">
        <f>IF(K45=0,"",(M45-K45)/ABS(K45)+1)</f>
        <v>0.63049093741356688</v>
      </c>
      <c r="P45" s="32">
        <v>1471385.8263999992</v>
      </c>
      <c r="Q45" s="34">
        <f t="shared" si="8"/>
        <v>0.19355758522867431</v>
      </c>
      <c r="R45" s="34">
        <f>IF(P45=0,"",(M45-P45)/ABS(P45))</f>
        <v>-0.43452251135535314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414259</v>
      </c>
      <c r="D46" s="34">
        <f t="shared" si="11"/>
        <v>0.40411806136803063</v>
      </c>
      <c r="E46" s="32">
        <v>426704.85200000001</v>
      </c>
      <c r="F46" s="34">
        <f>+E46/$E$20</f>
        <v>0.45521065923497084</v>
      </c>
      <c r="G46" s="34">
        <f>IF(C46=0,"",(E46-C46)/ABS(C46)+1)</f>
        <v>1.0300436490215059</v>
      </c>
      <c r="H46" s="32">
        <v>404187.64299999998</v>
      </c>
      <c r="I46" s="34">
        <f t="shared" si="12"/>
        <v>0.39765465460803018</v>
      </c>
      <c r="J46" s="34">
        <f>IF(H46=0,"",(E46-H46)/ABS(H46))</f>
        <v>5.5709790712231234E-2</v>
      </c>
      <c r="K46" s="32">
        <v>3433759</v>
      </c>
      <c r="L46" s="34">
        <f t="shared" si="5"/>
        <v>0.41353819643744477</v>
      </c>
      <c r="M46" s="32">
        <v>3443491.6469999999</v>
      </c>
      <c r="N46" s="34">
        <f>+M46/$M$20</f>
        <v>0.439948219447171</v>
      </c>
      <c r="O46" s="34">
        <f>IF(K46=0,"",(M46-K46)/ABS(K46)+1)</f>
        <v>1.0028344001428171</v>
      </c>
      <c r="P46" s="32">
        <v>3053834.2734499997</v>
      </c>
      <c r="Q46" s="34">
        <f t="shared" si="8"/>
        <v>0.40172521513528242</v>
      </c>
      <c r="R46" s="34">
        <f>IF(P46=0,"",(M46-P46)/ABS(P46))</f>
        <v>0.12759610989295553</v>
      </c>
      <c r="S46" s="67"/>
      <c r="X46" s="73"/>
      <c r="Y46" s="73"/>
      <c r="Z46" s="73"/>
      <c r="AA46" s="73"/>
    </row>
    <row r="47" spans="1:29" x14ac:dyDescent="0.2">
      <c r="B47" s="3" t="s">
        <v>81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84</v>
      </c>
    </row>
    <row r="56" spans="1:27" x14ac:dyDescent="0.2">
      <c r="C56" s="53"/>
    </row>
  </sheetData>
  <conditionalFormatting sqref="D9:D46 AC10:AC11 G10:G46 J10:J46 AC13:AC17 AC19:AC28 AC30">
    <cfRule type="cellIs" dxfId="9" priority="2" operator="lessThan">
      <formula>0</formula>
    </cfRule>
  </conditionalFormatting>
  <conditionalFormatting sqref="R10:R46">
    <cfRule type="cellIs" dxfId="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FCCAE-D115-4341-A431-933F28247443}">
  <sheetPr>
    <tabColor theme="2" tint="-0.249977111117893"/>
  </sheetPr>
  <dimension ref="A1:V48"/>
  <sheetViews>
    <sheetView showGridLines="0" zoomScale="93" zoomScaleNormal="93" workbookViewId="0">
      <selection activeCell="G23" sqref="G23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85</v>
      </c>
      <c r="T3" s="18"/>
    </row>
    <row r="4" spans="1:22" x14ac:dyDescent="0.2">
      <c r="B4" s="3" t="s">
        <v>86</v>
      </c>
    </row>
    <row r="5" spans="1:22" x14ac:dyDescent="0.2">
      <c r="A5" s="78" t="str">
        <f>+Paramet!A3</f>
        <v>202301</v>
      </c>
      <c r="B5" s="3" t="s">
        <v>22</v>
      </c>
    </row>
    <row r="6" spans="1:22" ht="13.5" thickBot="1" x14ac:dyDescent="0.25">
      <c r="A6" s="78" t="str">
        <f>+Paramet!A4</f>
        <v>202308</v>
      </c>
      <c r="B6" s="79" t="str">
        <f>+'COLOMB$ '!B6</f>
        <v>AGOSTO de 2024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202401</v>
      </c>
      <c r="B7" s="3"/>
      <c r="C7" s="54" t="str">
        <f>+'COLOMB$ '!D7:D7</f>
        <v>Ppto 2024</v>
      </c>
      <c r="D7" s="54"/>
      <c r="E7" s="54" t="str">
        <f>+'COLOMB$ '!F7:F7</f>
        <v>Real 2024</v>
      </c>
      <c r="F7" s="54"/>
      <c r="G7" s="51" t="s">
        <v>24</v>
      </c>
      <c r="H7" s="54" t="str">
        <f>+'COLOMB$ '!I7:I7</f>
        <v>Real 2023</v>
      </c>
      <c r="I7" s="54"/>
      <c r="J7" s="51" t="s">
        <v>25</v>
      </c>
      <c r="K7" s="54" t="str">
        <f>+C7</f>
        <v>Ppto 2024</v>
      </c>
      <c r="L7" s="54"/>
      <c r="M7" s="54" t="str">
        <f>+E7</f>
        <v>Real 2024</v>
      </c>
      <c r="N7" s="54"/>
      <c r="O7" s="51" t="s">
        <v>24</v>
      </c>
      <c r="P7" s="2" t="str">
        <f>+H7</f>
        <v>Real 2023</v>
      </c>
      <c r="R7" s="51" t="s">
        <v>25</v>
      </c>
    </row>
    <row r="8" spans="1:22" ht="13.5" thickBot="1" x14ac:dyDescent="0.25">
      <c r="A8" s="78" t="str">
        <f>+Paramet!B4</f>
        <v>202408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87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 t="e">
        <f t="shared" ref="I10:I16" si="3">+H10/$H$20</f>
        <v>#DIV/0!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34.454000000000001</v>
      </c>
      <c r="N10" s="68">
        <f t="shared" ref="N10:N20" si="6">IF($M$20=0,0,M10/$M$20)</f>
        <v>1.0625673086768208E-2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 t="e">
        <f t="shared" si="3"/>
        <v>#DIV/0!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 t="e">
        <f t="shared" si="3"/>
        <v>#DIV/0!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375</v>
      </c>
      <c r="D13" s="68">
        <f t="shared" si="0"/>
        <v>0.10002667377967459</v>
      </c>
      <c r="E13" s="32">
        <v>0</v>
      </c>
      <c r="F13" s="68">
        <f t="shared" si="1"/>
        <v>0</v>
      </c>
      <c r="G13" s="68">
        <f t="shared" si="2"/>
        <v>0</v>
      </c>
      <c r="H13" s="32">
        <v>0</v>
      </c>
      <c r="I13" s="68" t="e">
        <f t="shared" si="3"/>
        <v>#DIV/0!</v>
      </c>
      <c r="J13" s="68" t="str">
        <f t="shared" si="4"/>
        <v/>
      </c>
      <c r="K13" s="32">
        <v>3094</v>
      </c>
      <c r="L13" s="68">
        <f t="shared" si="5"/>
        <v>0.10003556532703935</v>
      </c>
      <c r="M13" s="32">
        <v>2955.9690000000001</v>
      </c>
      <c r="N13" s="68">
        <f t="shared" si="6"/>
        <v>0.91162594324668056</v>
      </c>
      <c r="O13" s="68">
        <f t="shared" si="7"/>
        <v>0.95538752424046547</v>
      </c>
      <c r="P13" s="32">
        <v>1382.5540000000001</v>
      </c>
      <c r="Q13" s="68">
        <f t="shared" si="8"/>
        <v>1</v>
      </c>
      <c r="R13" s="34">
        <f t="shared" si="9"/>
        <v>1.1380495807035385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 t="e">
        <f t="shared" si="3"/>
        <v>#DIV/0!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 t="e">
        <f t="shared" si="3"/>
        <v>#DIV/0!</v>
      </c>
      <c r="J15" s="68" t="str">
        <f t="shared" si="4"/>
        <v/>
      </c>
      <c r="K15" s="32"/>
      <c r="L15" s="68">
        <f t="shared" si="5"/>
        <v>0</v>
      </c>
      <c r="M15" s="32">
        <v>252.101</v>
      </c>
      <c r="N15" s="68">
        <f t="shared" si="6"/>
        <v>7.774838366655111E-2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 t="e">
        <f t="shared" si="3"/>
        <v>#DIV/0!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3374</v>
      </c>
      <c r="D18" s="68">
        <f t="shared" si="0"/>
        <v>0.89997332622032544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27835</v>
      </c>
      <c r="L18" s="68">
        <f t="shared" si="5"/>
        <v>0.89996443467296061</v>
      </c>
      <c r="M18" s="32">
        <v>18226.591</v>
      </c>
      <c r="N18" s="68">
        <f t="shared" si="6"/>
        <v>5.6211121336341687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3749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0</v>
      </c>
      <c r="I20" s="72">
        <f>+H22/$H$22</f>
        <v>1</v>
      </c>
      <c r="J20" s="68" t="str">
        <f t="shared" si="4"/>
        <v/>
      </c>
      <c r="K20" s="69">
        <f>SUM(K10:K19)</f>
        <v>30929</v>
      </c>
      <c r="L20" s="72">
        <f t="shared" si="5"/>
        <v>1</v>
      </c>
      <c r="M20" s="69">
        <f>SUM(M10:M17)</f>
        <v>3242.5240000000003</v>
      </c>
      <c r="N20" s="68">
        <f t="shared" si="6"/>
        <v>1</v>
      </c>
      <c r="O20" s="72">
        <f>IF(K20=0,"",(M20-K20)/ABS(K20)+1)</f>
        <v>0.10483766044812315</v>
      </c>
      <c r="P20" s="69">
        <f>SUM(P10:P17)</f>
        <v>1382.5540000000001</v>
      </c>
      <c r="Q20" s="72">
        <f>+P20/$P$20</f>
        <v>1</v>
      </c>
      <c r="R20" s="34">
        <f t="shared" si="9"/>
        <v>1.3453145410595175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2306</v>
      </c>
      <c r="D22" s="68">
        <f>+C22/$C$20</f>
        <v>0.61509735929581222</v>
      </c>
      <c r="E22" s="32">
        <v>1036.8558</v>
      </c>
      <c r="F22" s="68">
        <f>IF($E$20=0,0,E22/$E$20)</f>
        <v>0</v>
      </c>
      <c r="G22" s="68">
        <f>IF(C22=0,"",(E22-C22)/ABS(C22)+1)</f>
        <v>0.44963391153512577</v>
      </c>
      <c r="H22" s="32">
        <v>700.73159999999996</v>
      </c>
      <c r="I22" s="68" t="e">
        <f>+H22/$H$20</f>
        <v>#DIV/0!</v>
      </c>
      <c r="J22" s="68">
        <f t="shared" si="4"/>
        <v>0.47967609852331494</v>
      </c>
      <c r="K22" s="32">
        <v>19024</v>
      </c>
      <c r="L22" s="68">
        <f>+K22/$K$20</f>
        <v>0.61508616508778169</v>
      </c>
      <c r="M22" s="32">
        <v>6783.7480500000001</v>
      </c>
      <c r="N22" s="68">
        <f>IF($M$20=0,0,M22/$M$20)</f>
        <v>2.0921196111424307</v>
      </c>
      <c r="O22" s="68">
        <f>IF(K22=0,"",(M22-K22)/ABS(K22)+1)</f>
        <v>0.35658894291421361</v>
      </c>
      <c r="P22" s="63">
        <v>455.73419999999999</v>
      </c>
      <c r="Q22" s="68"/>
      <c r="R22" s="34">
        <f t="shared" si="9"/>
        <v>13.885317033481359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1443</v>
      </c>
      <c r="D24" s="68">
        <f>+C24/$C$20</f>
        <v>0.38490264070418778</v>
      </c>
      <c r="E24" s="32">
        <f>+E20-E22</f>
        <v>-1036.8558</v>
      </c>
      <c r="F24" s="68">
        <f>IF($E$20=0,0,E24/$E$20)</f>
        <v>0</v>
      </c>
      <c r="G24" s="68">
        <f>IF(C24=0,"",(E24-C24)/ABS(C24)+1)</f>
        <v>-0.71854178794178813</v>
      </c>
      <c r="H24" s="32">
        <f>+H20-H22</f>
        <v>-700.73159999999996</v>
      </c>
      <c r="I24" s="68" t="e">
        <f>+H24/$H$20</f>
        <v>#DIV/0!</v>
      </c>
      <c r="J24" s="68" t="str">
        <f t="shared" si="4"/>
        <v/>
      </c>
      <c r="K24" s="32">
        <f>+K20-K22</f>
        <v>11905</v>
      </c>
      <c r="L24" s="68">
        <f>+K24/$K$20</f>
        <v>0.38491383491221831</v>
      </c>
      <c r="M24" s="32">
        <f>+M20-M22</f>
        <v>-3541.2240499999998</v>
      </c>
      <c r="N24" s="68">
        <f>IF($M$20=0,0,M24/$M$20)</f>
        <v>-1.0921196111424309</v>
      </c>
      <c r="O24" s="68">
        <f>IF(K24=0,"",(M24-K24)/ABS(K24)+1)</f>
        <v>-0.2974568710625789</v>
      </c>
      <c r="P24" s="32">
        <f>+P20-P22</f>
        <v>926.8198000000001</v>
      </c>
      <c r="Q24" s="68">
        <f>+P24/$P$20</f>
        <v>0.67036788436473371</v>
      </c>
      <c r="R24" s="34">
        <f t="shared" si="9"/>
        <v>-4.8208334025664961</v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11</v>
      </c>
      <c r="D26" s="68">
        <f>+C26/$C$20</f>
        <v>2.9341157642037877E-3</v>
      </c>
      <c r="E26" s="32">
        <v>289.49400000000003</v>
      </c>
      <c r="F26" s="68">
        <f>IF($E$20=0,0,E26/$E$20)</f>
        <v>0</v>
      </c>
      <c r="G26" s="68">
        <f>IF(C26=0,"",(E26-C26)/ABS(C26)+1)</f>
        <v>26.317636363636367</v>
      </c>
      <c r="H26" s="32">
        <v>289.47399999999999</v>
      </c>
      <c r="I26" s="68" t="e">
        <f>+H26/$H$20</f>
        <v>#DIV/0!</v>
      </c>
      <c r="J26" s="68">
        <f t="shared" si="4"/>
        <v>6.909083371922402E-5</v>
      </c>
      <c r="K26" s="32">
        <v>96</v>
      </c>
      <c r="L26" s="68">
        <f>+K26/$K$20</f>
        <v>3.1038830870703869E-3</v>
      </c>
      <c r="M26" s="32">
        <v>2471.1442900000002</v>
      </c>
      <c r="N26" s="68">
        <f>IF($M$20=0,0,M26/$M$20)</f>
        <v>0.76210516560555908</v>
      </c>
      <c r="O26" s="68">
        <f>IF(K26=0,"",(M26-K26)/ABS(K26)+1)</f>
        <v>25.741086354166669</v>
      </c>
      <c r="P26" s="32">
        <v>2323.5869700000003</v>
      </c>
      <c r="Q26" s="68">
        <f>+P26/$P$20</f>
        <v>1.6806482567769505</v>
      </c>
      <c r="R26" s="34">
        <f t="shared" si="9"/>
        <v>6.3504108907961335E-2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 t="e">
        <f>+H27/$H$20</f>
        <v>#DIV/0!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11</v>
      </c>
      <c r="D28" s="68">
        <f>+C28/$C$20</f>
        <v>2.9341157642037877E-3</v>
      </c>
      <c r="E28" s="32">
        <f>SUM(E26:E27)</f>
        <v>289.49400000000003</v>
      </c>
      <c r="F28" s="68">
        <f>IF($E$20=0,0,E28/$E$20)</f>
        <v>0</v>
      </c>
      <c r="G28" s="68">
        <f>IF(C28=0,"",(E28-C28)/ABS(C28)+1)</f>
        <v>26.317636363636367</v>
      </c>
      <c r="H28" s="32">
        <f>SUM(H26:H27)</f>
        <v>289.47399999999999</v>
      </c>
      <c r="I28" s="68" t="e">
        <f>+H28/$H$20</f>
        <v>#DIV/0!</v>
      </c>
      <c r="J28" s="68">
        <f t="shared" si="4"/>
        <v>6.909083371922402E-5</v>
      </c>
      <c r="K28" s="32">
        <f>SUM(K26:K27)</f>
        <v>96</v>
      </c>
      <c r="L28" s="68">
        <f>+K28/$K$20</f>
        <v>3.1038830870703869E-3</v>
      </c>
      <c r="M28" s="32">
        <f>SUM(M26:M27)</f>
        <v>2471.1442900000002</v>
      </c>
      <c r="N28" s="68">
        <f>IF($M$20=0,0,M28/$M$20)</f>
        <v>0.76210516560555908</v>
      </c>
      <c r="O28" s="68">
        <f>IF(K28=0,"",(M28-K28)/ABS(K28)+1)</f>
        <v>25.741086354166669</v>
      </c>
      <c r="P28" s="32">
        <f>SUM(P26:P27)</f>
        <v>2323.5869700000003</v>
      </c>
      <c r="Q28" s="68">
        <f>+P28/$P$20</f>
        <v>1.6806482567769505</v>
      </c>
      <c r="R28" s="34">
        <f t="shared" si="9"/>
        <v>6.3504108907961335E-2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4.2030000000000003</v>
      </c>
      <c r="F30" s="68">
        <f>IF($E$20=0,0,E30/$E$20)</f>
        <v>0</v>
      </c>
      <c r="G30" s="68" t="str">
        <f>IF(C30=0,"",(E30-C30)/ABS(C30)+1)</f>
        <v/>
      </c>
      <c r="H30" s="32">
        <v>4.2060000000000004</v>
      </c>
      <c r="I30" s="68"/>
      <c r="J30" s="68">
        <f t="shared" si="4"/>
        <v>-7.1326676176892848E-4</v>
      </c>
      <c r="K30" s="32">
        <v>0</v>
      </c>
      <c r="L30" s="68">
        <f>+K30/$K$20</f>
        <v>0</v>
      </c>
      <c r="M30" s="32">
        <v>33.634500000000003</v>
      </c>
      <c r="N30" s="68">
        <f>IF($M$20=0,0,M30/$M$20)</f>
        <v>1.0372937871855382E-2</v>
      </c>
      <c r="O30" s="68" t="str">
        <f>IF(K30=0,"",(M30-K30)/ABS(K30)+1)</f>
        <v/>
      </c>
      <c r="P30" s="32">
        <v>3529.9651100000001</v>
      </c>
      <c r="Q30" s="68">
        <f>+P30/$P$20</f>
        <v>2.5532204239400413</v>
      </c>
      <c r="R30" s="34">
        <f t="shared" si="9"/>
        <v>-0.99047171885503416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11.344327237851108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4.2030000000000003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4.2060000000000004</v>
      </c>
      <c r="I32" s="68" t="e">
        <f>+H32/$H$20</f>
        <v>#DIV/0!</v>
      </c>
      <c r="J32" s="68">
        <f>IF(H32&lt;=0,"",(E32-H32)/ABS(H32))</f>
        <v>-7.1326676176892848E-4</v>
      </c>
      <c r="K32" s="32">
        <f>SUM(K30:K31)</f>
        <v>0</v>
      </c>
      <c r="L32" s="68">
        <f>+K32/$K$20</f>
        <v>0</v>
      </c>
      <c r="M32" s="32">
        <f>SUM(M30:M31)</f>
        <v>33.634500000000003</v>
      </c>
      <c r="N32" s="68">
        <f>IF($M$20=0,0,M32/$M$20)</f>
        <v>1.0372937871855382E-2</v>
      </c>
      <c r="O32" s="68" t="str">
        <f>IF(K32=0,"",(M32-K32)/ABS(K32)+1)</f>
        <v/>
      </c>
      <c r="P32" s="32">
        <f>+P30+P31</f>
        <v>3529.9651100000001</v>
      </c>
      <c r="Q32" s="68">
        <f>+P32/$P$20</f>
        <v>2.5532204239400413</v>
      </c>
      <c r="R32" s="34">
        <f>IF(P32&lt;=0,"",(M32-P32)/ABS(P32))</f>
        <v>-0.99047171885503416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11</v>
      </c>
      <c r="D34" s="68">
        <f>+C34/$C$20</f>
        <v>2.9341157642037877E-3</v>
      </c>
      <c r="E34" s="32">
        <f>E28+E32</f>
        <v>293.697</v>
      </c>
      <c r="F34" s="68">
        <f>IF($E$20=0,0,E34/$E$20)</f>
        <v>0</v>
      </c>
      <c r="G34" s="68">
        <f>IF(C34=0,"",(E34-C34)/ABS(C34)+1)</f>
        <v>26.699727272727273</v>
      </c>
      <c r="H34" s="32">
        <f>+H32+H28</f>
        <v>293.68</v>
      </c>
      <c r="I34" s="68" t="e">
        <f>+H34/$H$20</f>
        <v>#DIV/0!</v>
      </c>
      <c r="J34" s="68">
        <f>IF(H34&lt;=0,"",(E34-H34)/ABS(H34))</f>
        <v>5.7886134568223597E-5</v>
      </c>
      <c r="K34" s="32">
        <f>K28+K32</f>
        <v>96</v>
      </c>
      <c r="L34" s="68">
        <f>+K34/$K$20</f>
        <v>3.1038830870703869E-3</v>
      </c>
      <c r="M34" s="32">
        <f>M28+M32</f>
        <v>2504.7787900000003</v>
      </c>
      <c r="N34" s="68">
        <f>IF($M$20=0,0,M34/$M$20)</f>
        <v>0.77247810347741452</v>
      </c>
      <c r="O34" s="68">
        <f>IF(K34=0,"",(M34-K34)/ABS(K34)+1)</f>
        <v>26.091445729166669</v>
      </c>
      <c r="P34" s="32">
        <f>P28+P32</f>
        <v>5853.5520800000004</v>
      </c>
      <c r="Q34" s="68">
        <f>+P34/$P$20</f>
        <v>4.2338686807169923</v>
      </c>
      <c r="R34" s="34">
        <f>IF(P34&lt;=0,"",(M34-P34)/ABS(P34))</f>
        <v>-0.57209250797338085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1432</v>
      </c>
      <c r="D36" s="72">
        <f>+C36/$C$20</f>
        <v>0.38196852493998401</v>
      </c>
      <c r="E36" s="69">
        <f>E24-E34</f>
        <v>-1330.5527999999999</v>
      </c>
      <c r="F36" s="72">
        <f>IF($E$20=0,0,E36/$E$20)</f>
        <v>0</v>
      </c>
      <c r="G36" s="72">
        <f>IF(C36=0,"",(E36-C36)/ABS(C36)+1)</f>
        <v>-0.92915698324022333</v>
      </c>
      <c r="H36" s="69">
        <f>+H24-H34</f>
        <v>-994.41159999999991</v>
      </c>
      <c r="I36" s="72" t="e">
        <f>+H36/$H$20</f>
        <v>#DIV/0!</v>
      </c>
      <c r="J36" s="72" t="str">
        <f t="shared" si="4"/>
        <v/>
      </c>
      <c r="K36" s="69">
        <f>K24-K34</f>
        <v>11809</v>
      </c>
      <c r="L36" s="72">
        <f>+K36/$K$20</f>
        <v>0.38180995182514793</v>
      </c>
      <c r="M36" s="69">
        <f>M24-M34</f>
        <v>-6046.0028400000001</v>
      </c>
      <c r="N36" s="72">
        <f>IF($M$20=0,0,M36/$M$20)</f>
        <v>-1.8645977146198454</v>
      </c>
      <c r="O36" s="72">
        <f>IF(K36=0,"",(M36-K36)/ABS(K36)+1)</f>
        <v>-0.51198262681006024</v>
      </c>
      <c r="P36" s="69">
        <f>P24-P34</f>
        <v>-4926.7322800000002</v>
      </c>
      <c r="Q36" s="72">
        <f>+P36/$P$20</f>
        <v>-3.5635007963522582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0</v>
      </c>
      <c r="I38" s="68" t="e">
        <f>+H38/$H$20</f>
        <v>#DIV/0!</v>
      </c>
      <c r="J38" s="68" t="str">
        <f t="shared" si="4"/>
        <v/>
      </c>
      <c r="K38" s="32"/>
      <c r="L38" s="68">
        <f>+K38/$K$20</f>
        <v>0</v>
      </c>
      <c r="M38" s="32">
        <v>62.902000000000001</v>
      </c>
      <c r="N38" s="68">
        <f>IF($M$20=0,0,M38/$M$20)</f>
        <v>1.9399085403839722E-2</v>
      </c>
      <c r="O38" s="68" t="str">
        <f>IF(K38=0,"",(M38-K38)/ABS(K38)+1)</f>
        <v/>
      </c>
      <c r="P38" s="32">
        <v>30</v>
      </c>
      <c r="Q38" s="68">
        <f>+P38/$P$20</f>
        <v>2.1698971613405334E-2</v>
      </c>
      <c r="R38" s="34">
        <f t="shared" si="9"/>
        <v>1.0967333333333333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0</v>
      </c>
      <c r="I39" s="68"/>
      <c r="J39" s="68" t="str">
        <f t="shared" si="4"/>
        <v/>
      </c>
      <c r="K39" s="32">
        <v>0</v>
      </c>
      <c r="L39" s="68">
        <f>+K39/$K$20</f>
        <v>0</v>
      </c>
      <c r="M39" s="32">
        <v>3010.2809999999999</v>
      </c>
      <c r="N39" s="68">
        <f>IF($M$20=0,0,M39/$M$20)</f>
        <v>0.92837585781940235</v>
      </c>
      <c r="O39" s="68" t="str">
        <f>IF(K39=0,"",(M39-K39)/ABS(K39)+1)</f>
        <v/>
      </c>
      <c r="P39" s="32">
        <v>15684.145</v>
      </c>
      <c r="Q39" s="68">
        <f>+P39/$P$20</f>
        <v>11.344327237851108</v>
      </c>
      <c r="R39" s="34">
        <f t="shared" si="9"/>
        <v>-0.80806853035342385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1432</v>
      </c>
      <c r="D41" s="68">
        <f>+C41/$C$20</f>
        <v>0.38196852493998401</v>
      </c>
      <c r="E41" s="32">
        <f>+E36-E39</f>
        <v>-1330.5527999999999</v>
      </c>
      <c r="F41" s="68">
        <f>IF($E$20=0,0,E41/$E$20)</f>
        <v>0</v>
      </c>
      <c r="G41" s="68">
        <f>IF(C41=0,"",(E41-C41)/ABS(C41)+1)</f>
        <v>-0.92915698324022333</v>
      </c>
      <c r="H41" s="32">
        <f>+H36+H38-H39</f>
        <v>-994.41159999999991</v>
      </c>
      <c r="I41" s="68" t="e">
        <f>+H41/$H$20</f>
        <v>#DIV/0!</v>
      </c>
      <c r="J41" s="68" t="str">
        <f t="shared" si="4"/>
        <v/>
      </c>
      <c r="K41" s="32">
        <f>K36+K38-K39</f>
        <v>11809</v>
      </c>
      <c r="L41" s="68">
        <f>+K41/$K$20</f>
        <v>0.38180995182514793</v>
      </c>
      <c r="M41" s="32">
        <f>M36+M38-M39</f>
        <v>-8993.38184</v>
      </c>
      <c r="N41" s="68">
        <f>IF($M$20=0,0,M41/$M$20)</f>
        <v>-2.773574487035408</v>
      </c>
      <c r="O41" s="68">
        <f>IF(K41=0,"",(M41-K41)/ABS(K41)+1)</f>
        <v>-0.76157014480481</v>
      </c>
      <c r="P41" s="32">
        <f>+P36-P39</f>
        <v>-20610.877280000001</v>
      </c>
      <c r="Q41" s="68">
        <f>+P41/$P$20</f>
        <v>-14.907828034203366</v>
      </c>
      <c r="R41" s="34" t="str">
        <f t="shared" si="9"/>
        <v/>
      </c>
    </row>
    <row r="42" spans="1:21" x14ac:dyDescent="0.2">
      <c r="B42" s="3" t="s">
        <v>44</v>
      </c>
      <c r="C42" s="32">
        <v>535</v>
      </c>
      <c r="D42" s="68">
        <f>+C42/$C$20</f>
        <v>0.14270472125900241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 t="e">
        <f>+I41*33%</f>
        <v>#DIV/0!</v>
      </c>
      <c r="J42" s="68" t="str">
        <f t="shared" si="4"/>
        <v/>
      </c>
      <c r="K42" s="32">
        <v>4414</v>
      </c>
      <c r="L42" s="68">
        <f>+K42/$K$20</f>
        <v>0.14271395777425716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1432</v>
      </c>
      <c r="D43" s="72">
        <f>+C43/$C$20</f>
        <v>0.38196852493998401</v>
      </c>
      <c r="E43" s="69">
        <f>E41-E42</f>
        <v>-1330.5527999999999</v>
      </c>
      <c r="F43" s="72">
        <f>IF($E$20=0,0,E43/$E$20)</f>
        <v>0</v>
      </c>
      <c r="G43" s="72">
        <f>IF(C43=0,"",(E43-C43)/ABS(C43)+1)</f>
        <v>-0.92915698324022333</v>
      </c>
      <c r="H43" s="69">
        <f>+H41-H42</f>
        <v>-994.41159999999991</v>
      </c>
      <c r="I43" s="72" t="e">
        <f>+H43/$H$20</f>
        <v>#DIV/0!</v>
      </c>
      <c r="J43" s="68" t="str">
        <f t="shared" si="4"/>
        <v/>
      </c>
      <c r="K43" s="69">
        <f>K41-K42</f>
        <v>7395</v>
      </c>
      <c r="L43" s="72">
        <f>+K43/$K$20</f>
        <v>0.23909599405089074</v>
      </c>
      <c r="M43" s="69">
        <f>+M41-M42</f>
        <v>-8993.38184</v>
      </c>
      <c r="N43" s="72">
        <f>IF($M$20=0,0,M43/$M$20)</f>
        <v>-2.773574487035408</v>
      </c>
      <c r="O43" s="72">
        <f>IF(K43=0,"",(M43-K43)/ABS(K43)+1)</f>
        <v>-1.2161435889114269</v>
      </c>
      <c r="P43" s="69">
        <f>P41-P42</f>
        <v>-20610.877280000001</v>
      </c>
      <c r="Q43" s="72">
        <f>+P43/$P$20</f>
        <v>-14.907828034203366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1432</v>
      </c>
      <c r="D45" s="68">
        <f>+C45/$C$20</f>
        <v>0.38196852493998401</v>
      </c>
      <c r="E45" s="32">
        <v>-1036.8557999999998</v>
      </c>
      <c r="F45" s="68">
        <f>IF($E$20=0,0,E45/$E$20)</f>
        <v>0</v>
      </c>
      <c r="G45" s="68">
        <f>IF(C45=0,"",(E45-C45)/ABS(C45)+1)</f>
        <v>-0.72406131284916198</v>
      </c>
      <c r="H45" s="32">
        <v>-700.73159999999984</v>
      </c>
      <c r="I45" s="68" t="e">
        <f>+H45/$H$20</f>
        <v>#DIV/0!</v>
      </c>
      <c r="J45" s="68" t="str">
        <f t="shared" si="4"/>
        <v/>
      </c>
      <c r="K45" s="32">
        <v>11809</v>
      </c>
      <c r="L45" s="68">
        <f>+K45/$K$20</f>
        <v>0.38180995182514793</v>
      </c>
      <c r="M45" s="32">
        <v>-3696.48605</v>
      </c>
      <c r="N45" s="68">
        <f>IF($M$20=0,0,M45/$M$20)</f>
        <v>-1.1400026800110037</v>
      </c>
      <c r="O45" s="68">
        <f>IF(K45=0,"",(M45-K45)/ABS(K45)+1)</f>
        <v>-0.3130227834702346</v>
      </c>
      <c r="P45" s="32">
        <v>925.31179999999949</v>
      </c>
      <c r="Q45" s="68">
        <f>+P45/$P$20</f>
        <v>0.66927714939163274</v>
      </c>
      <c r="R45" s="34">
        <f t="shared" si="9"/>
        <v>-4.9948545452462634</v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 t="e">
        <f>+H46/$H$20</f>
        <v>#DIV/0!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EA4DC-9FF4-4EB4-BB47-0909BF63E821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89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90</v>
      </c>
      <c r="V5" s="19" t="s">
        <v>90</v>
      </c>
      <c r="AI5" s="83">
        <f>+Paramet!G3-Paramet!G4</f>
        <v>74.980000000000473</v>
      </c>
      <c r="AJ5" s="84">
        <f>+AI5/Paramet!G4</f>
        <v>1.8353474505119653E-2</v>
      </c>
    </row>
    <row r="6" spans="1:36" ht="13.5" thickBot="1" x14ac:dyDescent="0.25">
      <c r="B6" s="42" t="str">
        <f>+'COLOMB$ '!B6</f>
        <v>AGOSTO de 2024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AGOSTO de 2024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2024</v>
      </c>
      <c r="D7" s="22"/>
      <c r="E7" s="22" t="str">
        <f>+'COLOMB$ '!F7:F7</f>
        <v>Real 2024</v>
      </c>
      <c r="F7" s="22"/>
      <c r="G7" s="22" t="s">
        <v>24</v>
      </c>
      <c r="H7" s="22" t="str">
        <f>+'COLOMB$ '!I7:I7</f>
        <v>Real 2023</v>
      </c>
      <c r="I7" s="22"/>
      <c r="J7" s="22" t="s">
        <v>25</v>
      </c>
      <c r="K7" s="22" t="str">
        <f>+C7</f>
        <v>Ppto 2024</v>
      </c>
      <c r="L7" s="22"/>
      <c r="M7" s="22" t="str">
        <f>+E7</f>
        <v>Real 2024</v>
      </c>
      <c r="N7" s="22"/>
      <c r="O7" s="22" t="s">
        <v>24</v>
      </c>
      <c r="P7" s="22" t="str">
        <f>+H7</f>
        <v>Real 2023</v>
      </c>
      <c r="Q7" s="22"/>
      <c r="R7" s="22" t="s">
        <v>25</v>
      </c>
      <c r="T7" s="10"/>
      <c r="W7" s="15" t="str">
        <f>+C7</f>
        <v>Ppto 2024</v>
      </c>
      <c r="X7" s="15" t="str">
        <f>+M7</f>
        <v>Real 2024</v>
      </c>
      <c r="Y7" s="15" t="str">
        <f>+H7</f>
        <v>Real 2023</v>
      </c>
      <c r="Z7" s="15" t="str">
        <f>+W7</f>
        <v>Ppto 2024</v>
      </c>
      <c r="AA7" s="15" t="str">
        <f>+X7</f>
        <v>Real 2024</v>
      </c>
      <c r="AB7" s="15" t="s">
        <v>26</v>
      </c>
      <c r="AC7" s="15" t="s">
        <v>24</v>
      </c>
      <c r="AD7" s="15" t="str">
        <f>+Y7</f>
        <v>Real 2023</v>
      </c>
      <c r="AE7" s="15" t="s">
        <v>25</v>
      </c>
      <c r="AI7" s="13" t="s">
        <v>91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92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93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95316.480101618421</v>
      </c>
      <c r="D10" s="33">
        <f t="shared" ref="D10:D15" si="0">+C10/$C$20</f>
        <v>0.43490324777408296</v>
      </c>
      <c r="E10" s="35">
        <f>+'COL. CONS.$'!E10/Paramet!$G$3*1000</f>
        <v>85151.31540678459</v>
      </c>
      <c r="F10" s="33">
        <f t="shared" ref="F10:F18" si="1">+E10/$E$20</f>
        <v>0.40171043940480422</v>
      </c>
      <c r="G10" s="33">
        <f t="shared" ref="G10:G18" si="2">IF(C10=0,"",(E10-C10)/ABS(C10)+1)</f>
        <v>0.8933535451162633</v>
      </c>
      <c r="H10" s="35">
        <f>+'COL. CONS.$'!H10/Paramet!$G$4*1000</f>
        <v>111051.05242416156</v>
      </c>
      <c r="I10" s="33">
        <f t="shared" ref="I10:I18" si="3">+H10/$H$20</f>
        <v>0.43905850671855273</v>
      </c>
      <c r="J10" s="34">
        <f t="shared" ref="J10:J18" si="4">IF(H10=0,"",(E10-H10)/ABS(H10))</f>
        <v>-0.23322369713753316</v>
      </c>
      <c r="K10" s="35">
        <f>+'COL. CONS.$'!K10/Paramet!$G$5*1000</f>
        <v>768903.63263130444</v>
      </c>
      <c r="L10" s="33">
        <f t="shared" ref="L10:L18" si="5">+K10/$K$20</f>
        <v>0.43246845434520303</v>
      </c>
      <c r="M10" s="35">
        <f>+'COL. CONS.$'!M10/Paramet!$G$3*1000</f>
        <v>751282.21959421283</v>
      </c>
      <c r="N10" s="33">
        <f t="shared" ref="N10:N18" si="6">+M10/$M$20</f>
        <v>0.41465090759074913</v>
      </c>
      <c r="O10" s="33">
        <f t="shared" ref="O10:O18" si="7">IF(K10=0,"",(M10-K10)/ABS(K10)+1)</f>
        <v>0.97708241671743901</v>
      </c>
      <c r="P10" s="35">
        <f>+'COL. CONS.$'!P10/Paramet!$G$4*1000</f>
        <v>780243.19626566279</v>
      </c>
      <c r="Q10" s="33">
        <f t="shared" ref="Q10:Q18" si="8">+P10/$P$20</f>
        <v>0.52775523183483086</v>
      </c>
      <c r="R10" s="34">
        <f t="shared" ref="R10:R18" si="9">IF(P10=0,"",(M10-P10)/ABS(P10))</f>
        <v>-3.7117884282824448E-2</v>
      </c>
      <c r="T10" s="37"/>
      <c r="U10" s="36" t="s">
        <v>94</v>
      </c>
      <c r="V10" s="19" t="s">
        <v>31</v>
      </c>
      <c r="W10" s="35">
        <f>+'COL. CONS.$'!U10/Paramet!G5*1000</f>
        <v>872.14907057716084</v>
      </c>
      <c r="X10" s="35">
        <f>'COLOMB$ '!V10/Paramet!$G$3*1000</f>
        <v>-15893.767531746431</v>
      </c>
      <c r="Y10" s="35">
        <f>'COLOMB$ '!W10/Paramet!$G$4*1000</f>
        <v>5538.3530828598914</v>
      </c>
      <c r="Z10" s="35">
        <f>'COLOMB$ '!X10/Paramet!$G$5*1000</f>
        <v>10377.553219239451</v>
      </c>
      <c r="AA10" s="35">
        <f>+'COL. CONS.$'!Y10/Paramet!G3*1000</f>
        <v>10997.017049210275</v>
      </c>
      <c r="AB10" s="36">
        <f>+AA10-Z10</f>
        <v>619.46382997082401</v>
      </c>
      <c r="AC10" s="37">
        <f>IF(Z10=0,"",(AA10-Z10)/ABS(Z10)+1)</f>
        <v>1.0596926671329778</v>
      </c>
      <c r="AD10" s="35">
        <f>'COLOMB$ '!AB10/Paramet!$G$4*1000</f>
        <v>7859.3406163027221</v>
      </c>
      <c r="AE10" s="34">
        <f>IF(Y10=0,"",(AA10-AD10)/ABS(AD10))</f>
        <v>0.39922896666407792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9416.4880405566328</v>
      </c>
      <c r="D11" s="33">
        <f t="shared" si="0"/>
        <v>4.2964881068812723E-2</v>
      </c>
      <c r="E11" s="35">
        <f>+'COL. CONS.$'!E11/Paramet!$G$3*1000</f>
        <v>11336.166776033515</v>
      </c>
      <c r="F11" s="33">
        <f t="shared" si="1"/>
        <v>5.3479579440574666E-2</v>
      </c>
      <c r="G11" s="33">
        <f t="shared" si="2"/>
        <v>1.2038635558404431</v>
      </c>
      <c r="H11" s="35">
        <f>+'COL. CONS.$'!H11/Paramet!$G$4*1000</f>
        <v>4557.9512548557886</v>
      </c>
      <c r="I11" s="33">
        <f t="shared" si="3"/>
        <v>1.8020606090334811E-2</v>
      </c>
      <c r="J11" s="34">
        <f t="shared" si="4"/>
        <v>1.4871189142175645</v>
      </c>
      <c r="K11" s="35">
        <f>+'COL. CONS.$'!K11/Paramet!$G$5*1000</f>
        <v>83570.027105803383</v>
      </c>
      <c r="L11" s="33">
        <f t="shared" si="5"/>
        <v>4.7003810254286585E-2</v>
      </c>
      <c r="M11" s="35">
        <f>+'COL. CONS.$'!M11/Paramet!$G$3*1000</f>
        <v>110074.7961089438</v>
      </c>
      <c r="N11" s="33">
        <f t="shared" si="6"/>
        <v>6.0752953975262418E-2</v>
      </c>
      <c r="O11" s="33">
        <f t="shared" si="7"/>
        <v>1.3171564006983534</v>
      </c>
      <c r="P11" s="35">
        <f>+'COL. CONS.$'!P11/Paramet!$G$4*1000</f>
        <v>69689.875481295268</v>
      </c>
      <c r="Q11" s="33">
        <f t="shared" si="8"/>
        <v>4.713811868812328E-2</v>
      </c>
      <c r="R11" s="34">
        <f t="shared" si="9"/>
        <v>0.5794948024908988</v>
      </c>
      <c r="T11" s="37">
        <f>+E22/C22</f>
        <v>1.1429682512620705</v>
      </c>
      <c r="U11" s="36" t="s">
        <v>95</v>
      </c>
      <c r="V11" s="19" t="s">
        <v>32</v>
      </c>
      <c r="W11" s="35">
        <f>'COLOMB$ '!U11/Paramet!$G$5*1000</f>
        <v>288667.27909904392</v>
      </c>
      <c r="X11" s="35">
        <f>'COLOMB$ '!V11/Paramet!$G$3*1000</f>
        <v>301509.50985142932</v>
      </c>
      <c r="Y11" s="35">
        <f>'COLOMB$ '!W11/Paramet!$G$4*1000</f>
        <v>290045.05891323346</v>
      </c>
      <c r="Z11" s="35">
        <f>'COLOMB$ '!X11/Paramet!$G$5*1000</f>
        <v>2154556.6103002056</v>
      </c>
      <c r="AA11" s="35">
        <f>'COLOMB$ '!Y11/Paramet!$G$3*1000</f>
        <v>2151147.069194363</v>
      </c>
      <c r="AB11" s="36">
        <f>+AA11-Z11</f>
        <v>-3409.5411058426835</v>
      </c>
      <c r="AC11" s="37">
        <f>IF(Z11=0,"",(AA11-Z11)/ABS(Z11)+1)</f>
        <v>0.99841752076063217</v>
      </c>
      <c r="AD11" s="35">
        <f>'COLOMB$ '!AB11/Paramet!$G$4*1000</f>
        <v>2195574.5174490195</v>
      </c>
      <c r="AE11" s="34">
        <f>IF(AD11=0,"",(AA11-AD11)/ABS(AD11))</f>
        <v>-2.0234999040832192E-2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16108.559309539203</v>
      </c>
      <c r="D12" s="33">
        <f t="shared" si="0"/>
        <v>7.349898730220826E-2</v>
      </c>
      <c r="E12" s="35">
        <f>+'COL. CONS.$'!E12/Paramet!$G$3*1000</f>
        <v>14570.731267621883</v>
      </c>
      <c r="F12" s="33">
        <f t="shared" si="1"/>
        <v>6.8738983443811144E-2</v>
      </c>
      <c r="G12" s="33">
        <f t="shared" si="2"/>
        <v>0.90453348357437235</v>
      </c>
      <c r="H12" s="35">
        <f>+'COL. CONS.$'!H12/Paramet!$G$4*1000</f>
        <v>19546.559029503125</v>
      </c>
      <c r="I12" s="33">
        <f t="shared" si="3"/>
        <v>7.728051946955225E-2</v>
      </c>
      <c r="J12" s="34">
        <f t="shared" si="4"/>
        <v>-0.25456284936754564</v>
      </c>
      <c r="K12" s="35">
        <f>+'COL. CONS.$'!K12/Paramet!$G$5*1000</f>
        <v>135896.92989917548</v>
      </c>
      <c r="L12" s="33">
        <f t="shared" si="5"/>
        <v>7.6434981874947211E-2</v>
      </c>
      <c r="M12" s="35">
        <f>+'COL. CONS.$'!M12/Paramet!$G$3*1000</f>
        <v>129557.25558912675</v>
      </c>
      <c r="N12" s="33">
        <f t="shared" si="6"/>
        <v>7.1505796641925315E-2</v>
      </c>
      <c r="O12" s="33">
        <f t="shared" si="7"/>
        <v>0.95334939269965668</v>
      </c>
      <c r="P12" s="35">
        <f>+'COL. CONS.$'!P12/Paramet!$G$4*1000</f>
        <v>171596.49565640965</v>
      </c>
      <c r="Q12" s="33">
        <f t="shared" si="8"/>
        <v>0.116067591208265</v>
      </c>
      <c r="R12" s="34">
        <f t="shared" si="9"/>
        <v>-0.24498891953748708</v>
      </c>
      <c r="T12" s="37">
        <f>+E24/C24</f>
        <v>0.94630118045201017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21138.670568087739</v>
      </c>
      <c r="D13" s="33">
        <f t="shared" si="0"/>
        <v>9.6450020750731433E-2</v>
      </c>
      <c r="E13" s="35">
        <f>+'COL. CONS.$'!E13/Paramet!$G$3*1000</f>
        <v>12887.189416173314</v>
      </c>
      <c r="F13" s="33">
        <f t="shared" si="1"/>
        <v>6.0796694664466022E-2</v>
      </c>
      <c r="G13" s="33">
        <f t="shared" si="2"/>
        <v>0.60964994816791473</v>
      </c>
      <c r="H13" s="35">
        <f>+'COL. CONS.$'!H13/Paramet!$G$4*1000</f>
        <v>13114.667848129771</v>
      </c>
      <c r="I13" s="33">
        <f t="shared" si="3"/>
        <v>5.1850985252408749E-2</v>
      </c>
      <c r="J13" s="34">
        <f t="shared" si="4"/>
        <v>-1.7345344509727457E-2</v>
      </c>
      <c r="K13" s="35">
        <f>+'COL. CONS.$'!K13/Paramet!$G$5*1000</f>
        <v>187552.65217243377</v>
      </c>
      <c r="L13" s="33">
        <f t="shared" si="5"/>
        <v>0.10548864922875077</v>
      </c>
      <c r="M13" s="35">
        <f>+'COL. CONS.$'!M13/Paramet!$G$3*1000</f>
        <v>195172.54783898313</v>
      </c>
      <c r="N13" s="33">
        <f t="shared" si="6"/>
        <v>0.10772047040051719</v>
      </c>
      <c r="O13" s="33">
        <f t="shared" si="7"/>
        <v>1.040628034732048</v>
      </c>
      <c r="P13" s="35">
        <f>+'COL. CONS.$'!P13/Paramet!$G$4*1000</f>
        <v>157816.88676312563</v>
      </c>
      <c r="Q13" s="33">
        <f t="shared" si="8"/>
        <v>0.10674708611334804</v>
      </c>
      <c r="R13" s="34">
        <f t="shared" si="9"/>
        <v>0.23670255979593785</v>
      </c>
      <c r="T13" s="37">
        <f>+E26/C26</f>
        <v>0.94322524451178458</v>
      </c>
      <c r="U13" s="36" t="s">
        <v>96</v>
      </c>
      <c r="V13" s="19" t="s">
        <v>33</v>
      </c>
      <c r="W13" s="35">
        <f>'COLOMB$ '!U13/Paramet!$G$5*1000</f>
        <v>34493.779274834698</v>
      </c>
      <c r="X13" s="35">
        <f>'COLOMB$ '!V13/Paramet!$G$3*1000</f>
        <v>47432.265384069935</v>
      </c>
      <c r="Y13" s="35">
        <f>'COLOMB$ '!W13/Paramet!$G$4*1000</f>
        <v>34849.993513375906</v>
      </c>
      <c r="Z13" s="35">
        <f>'COLOMB$ '!X13/Paramet!$G$5*1000</f>
        <v>298590.0445714675</v>
      </c>
      <c r="AA13" s="35">
        <f>'COLOMB$ '!Y13/Paramet!$G$3*1000</f>
        <v>352009.06687242055</v>
      </c>
      <c r="AB13" s="36">
        <f>+Z13-AA13</f>
        <v>-53419.022300953045</v>
      </c>
      <c r="AC13" s="37">
        <f>IF(Z13=0,"",(AA13-Z13)/ABS(Z13)+1)</f>
        <v>1.1789042309753472</v>
      </c>
      <c r="AD13" s="35">
        <f>'COLOMB$ '!AB13/Paramet!$G$4*1000</f>
        <v>265625.00801648828</v>
      </c>
      <c r="AE13" s="34">
        <f>IF(AD13=0,"",(AA13-AD13)/ABS(AD13))</f>
        <v>0.32521056470168691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2751.6359883411023</v>
      </c>
      <c r="X14" s="35">
        <f>'COLOMB$ '!V14/Paramet!$G$3*1000</f>
        <v>3082.9998245323063</v>
      </c>
      <c r="Y14" s="35">
        <f>'COLOMB$ '!W14/Paramet!$G$4*1000</f>
        <v>2935.3800060215453</v>
      </c>
      <c r="Z14" s="35">
        <f>'COLOMB$ '!X14/Paramet!$G$5*1000</f>
        <v>21917.820648044188</v>
      </c>
      <c r="AA14" s="35">
        <f>'COLOMB$ '!Y14/Paramet!$G$3*1000</f>
        <v>24066.650321730831</v>
      </c>
      <c r="AB14" s="36">
        <f>+Z14-AA14</f>
        <v>-2148.8296736866432</v>
      </c>
      <c r="AC14" s="37">
        <f>IF(Z14=0,"",(AA14-Z14)/ABS(Z14)+1)</f>
        <v>1.0980402982665338</v>
      </c>
      <c r="AD14" s="35">
        <f>'COLOMB$ '!AB14/Paramet!$G$4*1000</f>
        <v>19169.414465906062</v>
      </c>
      <c r="AE14" s="34">
        <f>IF(AD14=0,"",(AA14-AD14)/ABS(AD14))</f>
        <v>0.25547133244652792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34282.603518083764</v>
      </c>
      <c r="D15" s="33">
        <f t="shared" si="0"/>
        <v>0.15642222201523232</v>
      </c>
      <c r="E15" s="35">
        <f>+'COL. CONS.$'!E15/Paramet!$G$3*1000</f>
        <v>33334.938261812218</v>
      </c>
      <c r="F15" s="33">
        <f t="shared" si="1"/>
        <v>0.15726113722040816</v>
      </c>
      <c r="G15" s="33">
        <f t="shared" si="2"/>
        <v>0.97235725531254757</v>
      </c>
      <c r="H15" s="35">
        <f>+'COL. CONS.$'!H15/Paramet!$G$4*1000</f>
        <v>34731.087574320802</v>
      </c>
      <c r="I15" s="33">
        <f t="shared" si="3"/>
        <v>0.13731503767158199</v>
      </c>
      <c r="J15" s="34">
        <f t="shared" si="4"/>
        <v>-4.0198836547256797E-2</v>
      </c>
      <c r="K15" s="35">
        <f>+'COL. CONS.$'!K15/Paramet!$G$5*1000</f>
        <v>260800.4717997573</v>
      </c>
      <c r="L15" s="33">
        <f t="shared" si="5"/>
        <v>0.14668675259832401</v>
      </c>
      <c r="M15" s="35">
        <f>+'COL. CONS.$'!M15/Paramet!$G$3*1000</f>
        <v>260692.77818239504</v>
      </c>
      <c r="N15" s="33">
        <f t="shared" si="6"/>
        <v>0.1438826771836417</v>
      </c>
      <c r="O15" s="33">
        <f t="shared" si="7"/>
        <v>0.99958706509762396</v>
      </c>
      <c r="P15" s="35">
        <f>+'COL. CONS.$'!P15/Paramet!$G$4*1000</f>
        <v>265834.87478367722</v>
      </c>
      <c r="Q15" s="33">
        <f t="shared" si="8"/>
        <v>0.17981027792708099</v>
      </c>
      <c r="R15" s="34">
        <f t="shared" si="9"/>
        <v>-1.9343197936187124E-2</v>
      </c>
      <c r="T15" s="37"/>
      <c r="U15" s="89"/>
      <c r="V15" s="19" t="s">
        <v>35</v>
      </c>
      <c r="W15" s="35">
        <f>'COLOMB$ '!U15/Paramet!$G$5*1000</f>
        <v>88119.265534800914</v>
      </c>
      <c r="X15" s="35">
        <f>'COLOMB$ '!V15/Paramet!$G$3*1000</f>
        <v>102388.19919669446</v>
      </c>
      <c r="Y15" s="35">
        <f>'COLOMB$ '!W15/Paramet!$G$4*1000</f>
        <v>97819.327692010193</v>
      </c>
      <c r="Z15" s="35">
        <f>'COLOMB$ '!X15/Paramet!$G$5*1000</f>
        <v>813418.84703934321</v>
      </c>
      <c r="AA15" s="35">
        <f>'COLOMB$ '!Y15/Paramet!$G$3*1000</f>
        <v>871029.71533371299</v>
      </c>
      <c r="AB15" s="36">
        <f>+Z15-AA15</f>
        <v>-57610.868294369779</v>
      </c>
      <c r="AC15" s="37">
        <f>IF(Z15=0,"",(AA15-Z15)/ABS(Z15)+1)</f>
        <v>1.0708255881998063</v>
      </c>
      <c r="AD15" s="35">
        <f>'COLOMB$ '!AB15/Paramet!$G$4*1000</f>
        <v>766822.10372234322</v>
      </c>
      <c r="AE15" s="34">
        <f>IF(AD15=0,"",(AA15-AD15)/ABS(AD15))</f>
        <v>0.13589541968798288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67814.18348020369</v>
      </c>
      <c r="X16" s="35">
        <f>'COLOMB$ '!V16/Paramet!$G$3*1000</f>
        <v>54485.378173741847</v>
      </c>
      <c r="Y16" s="35">
        <f>'COLOMB$ '!W16/Paramet!$G$4*1000</f>
        <v>61960.194341705566</v>
      </c>
      <c r="Z16" s="35">
        <f>'COLOMB$ '!X16/Paramet!$G$5*1000</f>
        <v>555609.7671622833</v>
      </c>
      <c r="AA16" s="35">
        <f>'COLOMB$ '!Y16/Paramet!$G$3*1000</f>
        <v>486291.34146493883</v>
      </c>
      <c r="AB16" s="36">
        <f>+Z16-AA16</f>
        <v>69318.425697344472</v>
      </c>
      <c r="AC16" s="37">
        <f>IF(Z16=0,"",(AA16-Z16)/ABS(Z16)+1)</f>
        <v>0.87523900803367649</v>
      </c>
      <c r="AD16" s="35">
        <f>'COLOMB$ '!AB16/Paramet!$G$4*1000</f>
        <v>494893.87126131792</v>
      </c>
      <c r="AE16" s="34">
        <f>IF(AD16=0,"",(AA16-AD16)/ABS(AD16))</f>
        <v>-1.738257492349651E-2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3650.7774488789087</v>
      </c>
      <c r="D17" s="33"/>
      <c r="E17" s="35">
        <f>+'COL. CONS.$'!E17/Paramet!$G$3*1000</f>
        <v>5077.1307907343435</v>
      </c>
      <c r="F17" s="33">
        <f t="shared" si="1"/>
        <v>2.3951907626068806E-2</v>
      </c>
      <c r="G17" s="33">
        <f t="shared" si="2"/>
        <v>1.3906985188301313</v>
      </c>
      <c r="H17" s="35">
        <f>+'COL. CONS.$'!H17/Paramet!$G$4*1000</f>
        <v>11782.339492770476</v>
      </c>
      <c r="I17" s="33">
        <f t="shared" si="3"/>
        <v>4.65834070944951E-2</v>
      </c>
      <c r="J17" s="34">
        <f t="shared" si="4"/>
        <v>-0.56908975557446639</v>
      </c>
      <c r="K17" s="35">
        <f>+'COL. CONS.$'!K17/Paramet!$G$5*1000</f>
        <v>30974.788200469531</v>
      </c>
      <c r="L17" s="33">
        <f t="shared" si="5"/>
        <v>1.7421713473878723E-2</v>
      </c>
      <c r="M17" s="35">
        <f>+'COL. CONS.$'!M17/Paramet!$G$3*1000</f>
        <v>30287.576166199153</v>
      </c>
      <c r="N17" s="33">
        <f t="shared" si="6"/>
        <v>1.6716449050027754E-2</v>
      </c>
      <c r="O17" s="33">
        <f t="shared" si="7"/>
        <v>0.97781382620527613</v>
      </c>
      <c r="P17" s="35">
        <f>+'COL. CONS.$'!P17/Paramet!$G$4*1000</f>
        <v>33237.356835310733</v>
      </c>
      <c r="Q17" s="33">
        <f t="shared" si="8"/>
        <v>2.2481694228351678E-2</v>
      </c>
      <c r="R17" s="34">
        <f t="shared" si="9"/>
        <v>-8.8748954488998041E-2</v>
      </c>
      <c r="V17" s="19" t="s">
        <v>37</v>
      </c>
      <c r="W17" s="35">
        <f>'COLOMB$ '!U17/Paramet!$G$5*1000</f>
        <v>193178.86427818041</v>
      </c>
      <c r="X17" s="35">
        <f>'COLOMB$ '!V17/Paramet!$G$3*1000</f>
        <v>207388.84257903855</v>
      </c>
      <c r="Y17" s="35">
        <f>'COLOMB$ '!W17/Paramet!$G$4*1000</f>
        <v>197564.89555311319</v>
      </c>
      <c r="Z17" s="35">
        <f>'COLOMB$ '!X17/Paramet!$G$5*1000</f>
        <v>1689536.4794211383</v>
      </c>
      <c r="AA17" s="35">
        <f>'COLOMB$ '!Y17/Paramet!$G$3*1000</f>
        <v>1733396.7739928029</v>
      </c>
      <c r="AB17" s="36">
        <f>+AA17-Z17</f>
        <v>43860.29457166465</v>
      </c>
      <c r="AC17" s="37">
        <f>IF(Z17=0,"",(AA17-Z17)/ABS(Z17)+1)</f>
        <v>1.0259599571278224</v>
      </c>
      <c r="AD17" s="35">
        <f>'COLOMB$ '!AB17/Paramet!$G$4*1000</f>
        <v>1546510.3974660556</v>
      </c>
      <c r="AE17" s="34">
        <f>IF(AD17=0,"",(AA17-AD17)/ABS(AD17))</f>
        <v>0.12084391856204726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39253.512980164</v>
      </c>
      <c r="D18" s="33"/>
      <c r="E18" s="35">
        <f>+'COL. CONS.$'!E18/Paramet!$G$3*1000</f>
        <v>49614.403974703804</v>
      </c>
      <c r="F18" s="33">
        <f t="shared" si="1"/>
        <v>0.23406125819986709</v>
      </c>
      <c r="G18" s="33">
        <f t="shared" si="2"/>
        <v>1.2639481210197792</v>
      </c>
      <c r="H18" s="35">
        <f>+'COL. CONS.$'!H18/Paramet!$G$4*1000</f>
        <v>44183.531562933713</v>
      </c>
      <c r="I18" s="33">
        <f t="shared" si="3"/>
        <v>0.1746868216563881</v>
      </c>
      <c r="J18" s="41">
        <f t="shared" si="4"/>
        <v>0.12291621379414902</v>
      </c>
      <c r="K18" s="35">
        <f>+'COL. CONS.$'!K18/Paramet!$G$5*1000</f>
        <v>310243.04492304899</v>
      </c>
      <c r="L18" s="33">
        <f t="shared" si="5"/>
        <v>0.17449563822460981</v>
      </c>
      <c r="M18" s="35">
        <f>+'COL. CONS.$'!M18/Paramet!$G$3*1000</f>
        <v>334775.52562188875</v>
      </c>
      <c r="N18" s="33">
        <f t="shared" si="6"/>
        <v>0.1847707451578767</v>
      </c>
      <c r="O18" s="33">
        <f t="shared" si="7"/>
        <v>1.0790750384264849</v>
      </c>
      <c r="P18" s="35">
        <f>+'COL. CONS.$'!P18/Paramet!$G$4*1000</f>
        <v>269545.34223673481</v>
      </c>
      <c r="Q18" s="33">
        <f t="shared" si="8"/>
        <v>0.18232003209126499</v>
      </c>
      <c r="R18" s="41">
        <f t="shared" si="9"/>
        <v>0.24200078118160889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13962.775100175506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1.0575821883539378</v>
      </c>
      <c r="U19" s="36" t="s">
        <v>97</v>
      </c>
      <c r="V19" s="19" t="s">
        <v>38</v>
      </c>
      <c r="W19" s="35">
        <f>+W11-W17</f>
        <v>95488.414820863516</v>
      </c>
      <c r="X19" s="35">
        <f>+X11-X17</f>
        <v>94120.667272390769</v>
      </c>
      <c r="Y19" s="35">
        <f>+Y11-Y17</f>
        <v>92480.163360120263</v>
      </c>
      <c r="Z19" s="35">
        <f>+Z11-Z17</f>
        <v>465020.13087906735</v>
      </c>
      <c r="AA19" s="35">
        <f>+AA11-AA17</f>
        <v>417750.29520156002</v>
      </c>
      <c r="AB19" s="36">
        <f>+AA19-Z19</f>
        <v>-47269.835677507333</v>
      </c>
      <c r="AC19" s="37">
        <f>IF(Z19=0,"",(AA19-Z19)/ABS(Z19)+1)</f>
        <v>0.89834884010688065</v>
      </c>
      <c r="AD19" s="35">
        <f>+AD11-AD17</f>
        <v>649064.11998296389</v>
      </c>
      <c r="AE19" s="34">
        <f>IF(AD19=0,"",(AA19-AD19)/ABS(AD19))</f>
        <v>-0.35638054494134602</v>
      </c>
      <c r="AF19" s="83"/>
    </row>
    <row r="20" spans="2:33" x14ac:dyDescent="0.2">
      <c r="B20" s="42" t="s">
        <v>39</v>
      </c>
      <c r="C20" s="43">
        <f>SUM(C10:C19)</f>
        <v>219167.09196692871</v>
      </c>
      <c r="D20" s="44">
        <f>+C20/$C$20</f>
        <v>1</v>
      </c>
      <c r="E20" s="43">
        <f>SUM(E10:E19)</f>
        <v>211971.87589386365</v>
      </c>
      <c r="F20" s="44">
        <f>+E20/$E$20</f>
        <v>1</v>
      </c>
      <c r="G20" s="44">
        <f>IF(C20=0,"",(E20-C20)/ABS(C20)+1)</f>
        <v>0.96717018048425452</v>
      </c>
      <c r="H20" s="43">
        <f>+'COL. CONS.$'!H20/Paramet!$G$4*1000</f>
        <v>252929.96428685077</v>
      </c>
      <c r="I20" s="44">
        <f>+H20/$H$20</f>
        <v>1</v>
      </c>
      <c r="J20" s="45">
        <f>IF(H20=0,"",(E20-H20)/ABS(H20))</f>
        <v>-0.1619345043141511</v>
      </c>
      <c r="K20" s="43">
        <f>SUM(K10:K19)</f>
        <v>1777941.5467319926</v>
      </c>
      <c r="L20" s="44">
        <f>+K20/$K$20</f>
        <v>1</v>
      </c>
      <c r="M20" s="43">
        <f>SUM(M10:M19)</f>
        <v>1811842.6991017491</v>
      </c>
      <c r="N20" s="44">
        <f>+M20/$M$20</f>
        <v>1</v>
      </c>
      <c r="O20" s="44">
        <f>IF(K20=0,"",(M20-K20)/ABS(K20)+1)</f>
        <v>1.0190676416961344</v>
      </c>
      <c r="P20" s="43">
        <f>SUM(P10:P17)</f>
        <v>1478418.6857854815</v>
      </c>
      <c r="Q20" s="44">
        <f>+P20/$P$20</f>
        <v>1</v>
      </c>
      <c r="R20" s="45">
        <f>IF(P20=0,"",(M20-P20)/ABS(P20))</f>
        <v>0.22552746155201631</v>
      </c>
      <c r="T20" s="37">
        <f>+E28/C28</f>
        <v>1.0133198685979741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1.0514972802967184</v>
      </c>
      <c r="U21" s="36"/>
      <c r="V21" s="19" t="s">
        <v>40</v>
      </c>
      <c r="W21" s="35">
        <f>+'COL. CONS.$'!U21/Paramet!G5*1000</f>
        <v>96360.563891440703</v>
      </c>
      <c r="X21" s="35">
        <f>+X10+X19</f>
        <v>78226.899740644338</v>
      </c>
      <c r="Y21" s="35">
        <f>'COLOMB$ '!W21/Paramet!$G$4*1000</f>
        <v>98018.516442980123</v>
      </c>
      <c r="Z21" s="35">
        <f>'COLOMB$ '!X21/Paramet!$G$5*1000</f>
        <v>475397.68409830681</v>
      </c>
      <c r="AA21" s="35">
        <f>+'COL. CONS.$'!Y21/Paramet!G3*1000</f>
        <v>428747.31225076999</v>
      </c>
      <c r="AB21" s="36">
        <f>+AA21-Z21</f>
        <v>-46650.371847536822</v>
      </c>
      <c r="AC21" s="37">
        <f>IF(Z21=0,"",(AA21-Z21)/ABS(Z21)+1)</f>
        <v>0.90187084748631197</v>
      </c>
      <c r="AD21" s="35">
        <f>'COLOMB$ '!AB21/Paramet!$G$4*1000</f>
        <v>656923.46059926634</v>
      </c>
      <c r="AE21" s="34">
        <f>IF(AD21=0,"",(AA21-AD21)/ABS(AD21))</f>
        <v>-0.34734053818133831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23256.55245936965</v>
      </c>
      <c r="D22" s="33">
        <f>+C22/$C$20</f>
        <v>0.10611334142663606</v>
      </c>
      <c r="E22" s="35">
        <f>+'COL. CONS.$'!E22/Paramet!$G$3*1000</f>
        <v>26581.501094870331</v>
      </c>
      <c r="F22" s="33">
        <f>+E22/$E$20</f>
        <v>0.12540107494345121</v>
      </c>
      <c r="G22" s="33">
        <f>IF(C22=0,"",(E22-C22)/ABS(C22)+1)</f>
        <v>1.1429682512620705</v>
      </c>
      <c r="H22" s="35">
        <f>+'COL. CONS.$'!H22/Paramet!$G$4*1000</f>
        <v>12794.658081476895</v>
      </c>
      <c r="I22" s="33">
        <f>+H22/$H$20</f>
        <v>5.0585774277682363E-2</v>
      </c>
      <c r="J22" s="34">
        <f>IF(H22=0,"",(E22-H22)/ABS(H22))</f>
        <v>1.0775468109892634</v>
      </c>
      <c r="K22" s="35">
        <f>+'COL. CONS.$'!K22/Paramet!$G$5*1000</f>
        <v>186617.44524967964</v>
      </c>
      <c r="L22" s="33">
        <f>+K22/$K$20</f>
        <v>0.1049626437903419</v>
      </c>
      <c r="M22" s="35">
        <f>+'COL. CONS.$'!M22/Paramet!$G$3*1000</f>
        <v>229478.99726222325</v>
      </c>
      <c r="N22" s="33">
        <f>+M22/$M$20</f>
        <v>0.12665503322997701</v>
      </c>
      <c r="O22" s="33">
        <f>IF(K22=0,"",(M22-K22)/ABS(K22)+1)</f>
        <v>1.2296760195982652</v>
      </c>
      <c r="P22" s="35">
        <f>+'COL. CONS.$'!P22/Paramet!$G$4*1000</f>
        <v>149873.20359432412</v>
      </c>
      <c r="Q22" s="33">
        <f>+P22/$P$20</f>
        <v>0.10137399170837504</v>
      </c>
      <c r="R22" s="34">
        <f>IF(P22=0,"",(M22-P22)/ABS(P22))</f>
        <v>0.53115428081043492</v>
      </c>
      <c r="T22" s="37">
        <f>+E32/C32</f>
        <v>1.1133003275147557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1.0985714827382944</v>
      </c>
      <c r="U23" s="89">
        <v>2101</v>
      </c>
      <c r="V23" s="19" t="s">
        <v>42</v>
      </c>
      <c r="W23" s="35">
        <f>'COLOMB$ '!U23/Paramet!$G$5*1000</f>
        <v>3864.2214736937613</v>
      </c>
      <c r="X23" s="35">
        <f>'COLOMB$ '!V23/Paramet!$G$3*1000</f>
        <v>0</v>
      </c>
      <c r="Y23" s="35">
        <f>'COLOMB$ '!W23/Paramet!$G$4*1000</f>
        <v>3057.7897011991686</v>
      </c>
      <c r="Z23" s="35">
        <f>'COLOMB$ '!X23/Paramet!$G$5*1000</f>
        <v>26138.61386138614</v>
      </c>
      <c r="AA23" s="35">
        <f>'COLOMB$ '!Y23/Paramet!$G$3*1000</f>
        <v>52400.970396436795</v>
      </c>
      <c r="AB23" s="36">
        <f>+AA23-Z23</f>
        <v>26262.356535050654</v>
      </c>
      <c r="AC23" s="37">
        <f>IF(Z23=0,"",(AA23-Z23)/ABS(Z23)+1)</f>
        <v>2.0047340947121652</v>
      </c>
      <c r="AD23" s="35">
        <f>'COLOMB$ '!AB23/Paramet!$G$4*1000</f>
        <v>23049.771149454267</v>
      </c>
      <c r="AE23" s="34">
        <f>IF(AD23=0,"",(AA23-AD23)/ABS(AD23))</f>
        <v>1.2733835427983178</v>
      </c>
      <c r="AF23" s="83"/>
    </row>
    <row r="24" spans="2:33" x14ac:dyDescent="0.2">
      <c r="B24" s="19" t="s">
        <v>43</v>
      </c>
      <c r="C24" s="35">
        <f>C20-C22</f>
        <v>195910.53950755906</v>
      </c>
      <c r="D24" s="33">
        <f>+C24/$C$20</f>
        <v>0.89388665857336391</v>
      </c>
      <c r="E24" s="35">
        <f>E20-E22</f>
        <v>185390.37479899332</v>
      </c>
      <c r="F24" s="33">
        <f>+E24/$E$20</f>
        <v>0.87459892505654879</v>
      </c>
      <c r="G24" s="33">
        <f>IF(C24=0,"",(E24-C24)/ABS(C24)+1)</f>
        <v>0.94630118045201017</v>
      </c>
      <c r="H24" s="35">
        <f>+'COL. CONS.$'!H24/Paramet!$G$4*1000</f>
        <v>240135.30620537387</v>
      </c>
      <c r="I24" s="33">
        <f>+H24/$H$20</f>
        <v>0.9494142257223176</v>
      </c>
      <c r="J24" s="34">
        <f>IF(H24=0,"",(E24-H24)/ABS(H24))</f>
        <v>-0.22797535385971263</v>
      </c>
      <c r="K24" s="35">
        <f>K20-K22</f>
        <v>1591324.1014823129</v>
      </c>
      <c r="L24" s="33">
        <f>+K24/$K$20</f>
        <v>0.89503735620965807</v>
      </c>
      <c r="M24" s="35">
        <f>M20-M22</f>
        <v>1582363.701839526</v>
      </c>
      <c r="N24" s="33">
        <f>+M24/$M$20</f>
        <v>0.87334496677002305</v>
      </c>
      <c r="O24" s="33">
        <f>IF(K24=0,"",(M24-K24)/ABS(K24)+1)</f>
        <v>0.99436921766317721</v>
      </c>
      <c r="P24" s="35">
        <f>P20-P22</f>
        <v>1328545.4821911573</v>
      </c>
      <c r="Q24" s="33">
        <f>+P24/$P$20</f>
        <v>0.89862600829162487</v>
      </c>
      <c r="R24" s="34">
        <f>IF(P24=0,"",(M24-P24)/ABS(P24))</f>
        <v>0.19104970288992193</v>
      </c>
      <c r="T24" s="37">
        <f>+E34/C34</f>
        <v>1.0388547845313629</v>
      </c>
      <c r="U24" s="36" t="s">
        <v>98</v>
      </c>
      <c r="AE24" s="34"/>
      <c r="AF24" s="83"/>
    </row>
    <row r="25" spans="2:33" x14ac:dyDescent="0.2">
      <c r="J25" s="34"/>
      <c r="R25" s="34"/>
      <c r="T25" s="37">
        <f>+E36/C36</f>
        <v>-0.38556860101640417</v>
      </c>
      <c r="U25" s="89" t="s">
        <v>99</v>
      </c>
      <c r="V25" s="19" t="s">
        <v>44</v>
      </c>
      <c r="W25" s="35">
        <f>'COLOMB$ '!U25/Paramet!$G$5*1000</f>
        <v>12930.488925181178</v>
      </c>
      <c r="X25" s="35">
        <f>'COLOMB$ '!V25/Paramet!$G$3*1000</f>
        <v>13132.311907045387</v>
      </c>
      <c r="Y25" s="35">
        <f>'COLOMB$ '!W25/Paramet!$G$4*1000</f>
        <v>12868.406412701055</v>
      </c>
      <c r="Z25" s="35">
        <f>'COLOMB$ '!X25/Paramet!$G$5*1000</f>
        <v>348582.67270025978</v>
      </c>
      <c r="AA25" s="35">
        <f>'COLOMB$ '!Y25/Paramet!$G$3*1000</f>
        <v>356373.70768764825</v>
      </c>
      <c r="AB25" s="36">
        <f>+AA25-Z25</f>
        <v>7791.0349873884697</v>
      </c>
      <c r="AC25" s="37">
        <f>IF(Z25=0,"",(AA25-Z25)/ABS(Z25)+1)</f>
        <v>1.0223506089015728</v>
      </c>
      <c r="AD25" s="35">
        <f>'COLOMB$ '!AB25/Paramet!$G$4*1000</f>
        <v>355835.61614606407</v>
      </c>
      <c r="AE25" s="34">
        <f>IF(AD25=0,"",(AA25-AD25)/ABS(AD25))</f>
        <v>1.5121913523217891E-3</v>
      </c>
    </row>
    <row r="26" spans="2:33" x14ac:dyDescent="0.2">
      <c r="B26" s="19" t="s">
        <v>45</v>
      </c>
      <c r="C26" s="35">
        <f>+'COL. CONS.$'!C26/Paramet!$G$5*1000</f>
        <v>49664.409739943068</v>
      </c>
      <c r="D26" s="33">
        <f>+C26/$C$20</f>
        <v>0.22660523208218319</v>
      </c>
      <c r="E26" s="35">
        <f>+'COL. CONS.$'!E26/Paramet!$G$3*1000</f>
        <v>46844.725020491256</v>
      </c>
      <c r="F26" s="33">
        <f>+E26/$E$20</f>
        <v>0.22099500144984735</v>
      </c>
      <c r="G26" s="33">
        <f>IF(C26=0,"",(E26-C26)/ABS(C26)+1)</f>
        <v>0.94322524451178458</v>
      </c>
      <c r="H26" s="35">
        <f>+'COL. CONS.$'!H26/Paramet!$G$4*1000</f>
        <v>51587.1240144615</v>
      </c>
      <c r="I26" s="33">
        <f>+H26/$H$20</f>
        <v>0.20395813584173028</v>
      </c>
      <c r="J26" s="34">
        <f>IF(H26=0,"",(E26-H26)/ABS(H26))</f>
        <v>-9.1929896937863798E-2</v>
      </c>
      <c r="K26" s="35">
        <f>+'COL. CONS.$'!K26/Paramet!$G$5*1000</f>
        <v>408978.03182380093</v>
      </c>
      <c r="L26" s="33">
        <f>+K26/$K$20</f>
        <v>0.23002895262531958</v>
      </c>
      <c r="M26" s="35">
        <f>+'COL. CONS.$'!M26/Paramet!$G$3*1000</f>
        <v>409416.98122014949</v>
      </c>
      <c r="N26" s="33">
        <f>+M26/$M$20</f>
        <v>0.22596717773740774</v>
      </c>
      <c r="O26" s="33">
        <f>IF(K26=0,"",(M26-K26)/ABS(K26)+1)</f>
        <v>1.0010732835560656</v>
      </c>
      <c r="P26" s="35">
        <f>+'COL. CONS.$'!P26/Paramet!$G$4*1000</f>
        <v>390435.93700631283</v>
      </c>
      <c r="Q26" s="33">
        <f>+P26/$P$20</f>
        <v>0.26409023422135308</v>
      </c>
      <c r="R26" s="34">
        <f>IF(P26=0,"",(M26-P26)/ABS(P26))</f>
        <v>4.8615002910271973E-2</v>
      </c>
      <c r="T26" s="37">
        <f>+E38/C38</f>
        <v>3.858521743004772</v>
      </c>
      <c r="U26" s="89" t="s">
        <v>100</v>
      </c>
      <c r="AE26" s="34"/>
    </row>
    <row r="27" spans="2:33" x14ac:dyDescent="0.2">
      <c r="B27" s="19" t="s">
        <v>46</v>
      </c>
      <c r="C27" s="35">
        <f>+'COL. CONS.$'!C27/Paramet!$G$5*1000</f>
        <v>78649.473194742153</v>
      </c>
      <c r="D27" s="33">
        <f>+C27/$C$20</f>
        <v>0.35885621554266001</v>
      </c>
      <c r="E27" s="35">
        <f>+'COL. CONS.$'!E27/Paramet!$G$3*1000</f>
        <v>83178.281974179787</v>
      </c>
      <c r="F27" s="33">
        <f>+E27/$E$20</f>
        <v>0.39240244312329409</v>
      </c>
      <c r="G27" s="33">
        <f>IF(C27=0,"",(E27-C27)/ABS(C27)+1)</f>
        <v>1.0575821883539378</v>
      </c>
      <c r="H27" s="35">
        <f>+'COL. CONS.$'!H27/Paramet!$G$4*1000</f>
        <v>78466.384708212063</v>
      </c>
      <c r="I27" s="33">
        <f>+H27/$H$20</f>
        <v>0.3102296911694592</v>
      </c>
      <c r="J27" s="34">
        <f>IF(H27=0,"",(E27-H27)/ABS(H27))</f>
        <v>6.0049883571029243E-2</v>
      </c>
      <c r="K27" s="35">
        <f>+'COL. CONS.$'!K27/Paramet!$G$5*1000</f>
        <v>615168.81585065729</v>
      </c>
      <c r="L27" s="33">
        <f>+K27/$K$20</f>
        <v>0.34600058532936012</v>
      </c>
      <c r="M27" s="35">
        <f>+'COL. CONS.$'!M27/Paramet!$G$3*1000</f>
        <v>661763.98467662267</v>
      </c>
      <c r="N27" s="33">
        <f>+M27/$M$20</f>
        <v>0.36524361910926545</v>
      </c>
      <c r="O27" s="33">
        <f>IF(K27=0,"",(M27-K27)/ABS(K27)+1)</f>
        <v>1.0757437107105852</v>
      </c>
      <c r="P27" s="35">
        <f>+'COL. CONS.$'!P27/Paramet!$G$4*1000</f>
        <v>591918.51520685002</v>
      </c>
      <c r="Q27" s="33">
        <f>+P27/$P$20</f>
        <v>0.40037272316560629</v>
      </c>
      <c r="R27" s="34">
        <f>IF(P27=0,"",(M27-P27)/ABS(P27))</f>
        <v>0.11799845363067359</v>
      </c>
      <c r="T27" s="37">
        <f>+E39/C39</f>
        <v>0.98319753421270095</v>
      </c>
      <c r="U27" s="36"/>
      <c r="V27" s="19" t="s">
        <v>47</v>
      </c>
      <c r="W27" s="35">
        <f>'COLOMB$ '!U27/Paramet!$G$5*1000</f>
        <v>60699.760697719263</v>
      </c>
      <c r="X27" s="35">
        <f>'COLOMB$ '!V27/Paramet!$G$3*1000</f>
        <v>30688.930500371363</v>
      </c>
      <c r="Y27" s="35">
        <f>'COLOMB$ '!W27/Paramet!$G$4*1000</f>
        <v>34063.343720091158</v>
      </c>
      <c r="Z27" s="35">
        <f>'COLOMB$ '!X27/Paramet!$G$5*1000</f>
        <v>8091.5926644210822</v>
      </c>
      <c r="AA27" s="35">
        <f>'COLOMB$ '!Y27/Paramet!$G$3*1000</f>
        <v>-90018.051539428547</v>
      </c>
      <c r="AB27" s="36">
        <f>+AA27-Z27</f>
        <v>-98109.644203849632</v>
      </c>
      <c r="AC27" s="37">
        <f>IF(Z27=0,"",(AA27-Z27)/ABS(Z27)+1)</f>
        <v>-11.124886690754959</v>
      </c>
      <c r="AD27" s="35">
        <f>'COLOMB$ '!AB27/Paramet!$G$4*1000</f>
        <v>157663.64039135148</v>
      </c>
      <c r="AE27" s="34">
        <f>IF(AD27=0,"",(AA27-AD27)/ABS(AD27))</f>
        <v>-1.5709499749973197</v>
      </c>
    </row>
    <row r="28" spans="2:33" x14ac:dyDescent="0.2">
      <c r="B28" s="19" t="s">
        <v>48</v>
      </c>
      <c r="C28" s="35">
        <f>SUM(C26:C27)</f>
        <v>128313.88293468521</v>
      </c>
      <c r="D28" s="33">
        <f>+C28/$C$20</f>
        <v>0.5854614476248432</v>
      </c>
      <c r="E28" s="35">
        <f>SUM(E26:E27)</f>
        <v>130023.00699467104</v>
      </c>
      <c r="F28" s="33">
        <f>+E28/$E$20</f>
        <v>0.61339744457314149</v>
      </c>
      <c r="G28" s="33">
        <f>IF(C28=0,"",(E28-C28)/ABS(C28)+1)</f>
        <v>1.0133198685979741</v>
      </c>
      <c r="H28" s="35">
        <f>+'COL. CONS.$'!H28/Paramet!$G$4*1000</f>
        <v>130053.50872267356</v>
      </c>
      <c r="I28" s="33">
        <f>+H28/$H$20</f>
        <v>0.51418782701118948</v>
      </c>
      <c r="J28" s="34">
        <f>IF(H28=0,"",(E28-H28)/ABS(H28))</f>
        <v>-2.3453214220896075E-4</v>
      </c>
      <c r="K28" s="35">
        <f>SUM(K26:K27)</f>
        <v>1024146.8476744583</v>
      </c>
      <c r="L28" s="33">
        <f>+K28/$K$20</f>
        <v>0.5760295379546797</v>
      </c>
      <c r="M28" s="35">
        <f>SUM(M26:M27)</f>
        <v>1071180.9658967722</v>
      </c>
      <c r="N28" s="33">
        <f>+M28/$M$20</f>
        <v>0.59121079684667321</v>
      </c>
      <c r="O28" s="33">
        <f>IF(K28=0,"",(M28-K28)/ABS(K28)+1)</f>
        <v>1.045925170134649</v>
      </c>
      <c r="P28" s="35">
        <f>SUM(P26:P27)</f>
        <v>982354.45221316279</v>
      </c>
      <c r="Q28" s="33">
        <f>+P28/$P$20</f>
        <v>0.66446295738695937</v>
      </c>
      <c r="R28" s="34">
        <f>IF(P28=0,"",(M28-P28)/ABS(P28))</f>
        <v>9.0422060472664115E-2</v>
      </c>
      <c r="T28" s="37">
        <f>+E41/C41</f>
        <v>-2.241591130614129</v>
      </c>
      <c r="U28" s="17"/>
      <c r="V28" s="19" t="s">
        <v>49</v>
      </c>
      <c r="W28" s="35">
        <f>'COLOMB$ '!U28/Paramet!$G$5*1000</f>
        <v>18429.678019348328</v>
      </c>
      <c r="X28" s="35">
        <f>'COLOMB$ '!V28/Paramet!$G$3*1000</f>
        <v>19577.013732149764</v>
      </c>
      <c r="Y28" s="35">
        <f>'COLOMB$ '!W28/Paramet!$G$4*1000</f>
        <v>18690.362590047804</v>
      </c>
      <c r="Z28" s="35">
        <f>'COLOMB$ '!X28/Paramet!$G$5*1000</f>
        <v>92148.390096741641</v>
      </c>
      <c r="AA28" s="35">
        <f>'COLOMB$ '!Y28/Paramet!$G$3*1000</f>
        <v>95162.147015486829</v>
      </c>
      <c r="AB28" s="36">
        <f>+AA28-Z28</f>
        <v>3013.7569187451882</v>
      </c>
      <c r="AC28" s="37">
        <f>IF(Z28=0,"",(AA28-Z28)/ABS(Z28)+1)</f>
        <v>1.0327054755441871</v>
      </c>
      <c r="AD28" s="35">
        <f>'COLOMB$ '!AB28/Paramet!$G$4*1000</f>
        <v>91035.7841594192</v>
      </c>
      <c r="AE28" s="34">
        <f>IF(AD28=0,"",(AA28-AD28)/ABS(AD28))</f>
        <v>4.5326822789175561E-2</v>
      </c>
    </row>
    <row r="29" spans="2:33" x14ac:dyDescent="0.2">
      <c r="J29" s="34"/>
      <c r="R29" s="34"/>
      <c r="T29" s="24">
        <f>+E42/C42</f>
        <v>8.8862458169674266E-2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13075.884908078438</v>
      </c>
      <c r="D30" s="33">
        <f>+C30/$C$20</f>
        <v>5.9661716504645364E-2</v>
      </c>
      <c r="E30" s="35">
        <f>+'COL. CONS.$'!E30/Paramet!$G$3*1000</f>
        <v>13749.257418317384</v>
      </c>
      <c r="F30" s="33">
        <f>+E30/$E$20</f>
        <v>6.4863592683407537E-2</v>
      </c>
      <c r="G30" s="33">
        <f>IF(C30=0,"",(E30-C30)/ABS(C30)+1)</f>
        <v>1.0514972802967184</v>
      </c>
      <c r="H30" s="35">
        <f>+'COL. CONS.$'!H30/Paramet!$G$4*1000</f>
        <v>13755.899278638444</v>
      </c>
      <c r="I30" s="33">
        <f>+H30/$H$20</f>
        <v>5.4386198635752468E-2</v>
      </c>
      <c r="J30" s="34">
        <f>IF(H30=0,"",(E30-H30)/ABS(H30))</f>
        <v>-4.8283723125063898E-4</v>
      </c>
      <c r="K30" s="35">
        <f>+'COL. CONS.$'!K30/Paramet!$G$5*1000</f>
        <v>107924.42130811019</v>
      </c>
      <c r="L30" s="33">
        <f>+K30/$K$20</f>
        <v>6.0701895125002528E-2</v>
      </c>
      <c r="M30" s="35">
        <f>+'COL. CONS.$'!M30/Paramet!$G$3*1000</f>
        <v>106771.91249450159</v>
      </c>
      <c r="N30" s="33">
        <f>+M30/$M$20</f>
        <v>5.8930012272828944E-2</v>
      </c>
      <c r="O30" s="33">
        <f>IF(K30=0,"",(M30-K30)/ABS(K30)+1)</f>
        <v>0.98932114900743051</v>
      </c>
      <c r="P30" s="35">
        <f>+'COL. CONS.$'!P30/Paramet!$G$4*1000</f>
        <v>103994.07584454623</v>
      </c>
      <c r="Q30" s="33">
        <f>+P30/$P$20</f>
        <v>7.0341424147581266E-2</v>
      </c>
      <c r="R30" s="34">
        <f>IF(P30=0,"",(M30-P30)/ABS(P30))</f>
        <v>2.6711489355487599E-2</v>
      </c>
      <c r="T30" s="37">
        <f>+E43/C43</f>
        <v>5.0418918773370214</v>
      </c>
      <c r="U30" s="17"/>
      <c r="V30" s="42" t="s">
        <v>51</v>
      </c>
      <c r="W30" s="43">
        <f>+W21-W23-W25-W27-W28</f>
        <v>436.41477549816773</v>
      </c>
      <c r="X30" s="43">
        <f>+X21-X23-X25-X27-X28</f>
        <v>14828.643601077823</v>
      </c>
      <c r="Y30" s="43">
        <f>+Y21-Y23-Y25-Y27-Y28</f>
        <v>29338.614018940938</v>
      </c>
      <c r="Z30" s="43">
        <f>'COLOMB$ '!X30/Paramet!$G$5*1000</f>
        <v>436.41477549816841</v>
      </c>
      <c r="AA30" s="43">
        <f>+'COL. CONS.$'!Y30/Paramet!G3*1000</f>
        <v>14828.538690626689</v>
      </c>
      <c r="AB30" s="47">
        <f>+AA30-Z30</f>
        <v>14392.123915128521</v>
      </c>
      <c r="AC30" s="48">
        <f>IF(W30=0,"",(X30-W30)/ABS(W30)+1)</f>
        <v>33.97832620160699</v>
      </c>
      <c r="AD30" s="43">
        <f>+AD21-AD23-AD25-AD27-AD28</f>
        <v>29338.6487529773</v>
      </c>
      <c r="AE30" s="34">
        <f>IF(AD30=0,"",(AA30-AD30)/ABS(AD30))</f>
        <v>-0.49457322266343706</v>
      </c>
    </row>
    <row r="31" spans="2:33" x14ac:dyDescent="0.2">
      <c r="J31" s="34"/>
      <c r="R31" s="34"/>
      <c r="T31" s="37">
        <f>+E45/C45</f>
        <v>0.52702125663577892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41791.25129007746</v>
      </c>
      <c r="D32" s="33">
        <f>+C32/$C$20</f>
        <v>0.1906821453668946</v>
      </c>
      <c r="E32" s="35">
        <f>+'COL. CONS.$'!E31/Paramet!$G$3*1000</f>
        <v>46526.213748494694</v>
      </c>
      <c r="F32" s="33">
        <f>+E32/$E$20</f>
        <v>0.21949239045179189</v>
      </c>
      <c r="G32" s="33">
        <f>IF(C32=0,"",(E32-C32)/ABS(C32)+1)</f>
        <v>1.1133003275147557</v>
      </c>
      <c r="H32" s="35">
        <f>+'COL. CONS.$'!H31/Paramet!$G$4*1000</f>
        <v>50852.618253604975</v>
      </c>
      <c r="I32" s="33">
        <f>+H32/$H$20</f>
        <v>0.20105414713114986</v>
      </c>
      <c r="J32" s="34">
        <f>IF(H32=0,"",(E32-H32)/ABS(H32))</f>
        <v>-8.5077320572448184E-2</v>
      </c>
      <c r="K32" s="35">
        <f>+'COL. CONS.$'!K31/Paramet!$G$5*1000</f>
        <v>359629.13817154913</v>
      </c>
      <c r="L32" s="33">
        <f>+K32/$K$20</f>
        <v>0.20227275684770288</v>
      </c>
      <c r="M32" s="35">
        <f>+'COL. CONS.$'!M31/Paramet!$G$3*1000</f>
        <v>367580.73328429851</v>
      </c>
      <c r="N32" s="33">
        <f>+M32/$M$20</f>
        <v>0.20287673619047211</v>
      </c>
      <c r="O32" s="33">
        <f>IF(K32=0,"",(M32-K32)/ABS(K32)+1)</f>
        <v>1.0221105418575853</v>
      </c>
      <c r="P32" s="35">
        <f>+'COL. CONS.$'!P31/Paramet!$G$4*1000</f>
        <v>355177.01418000506</v>
      </c>
      <c r="Q32" s="33">
        <f>+P32/$P$20</f>
        <v>0.24024115603713442</v>
      </c>
      <c r="R32" s="34">
        <f>IF(P32=0,"",(M32-P32)/ABS(P32))</f>
        <v>3.4922640286646454E-2</v>
      </c>
      <c r="T32" s="37">
        <f>+E46/C46</f>
        <v>1.0915297016949848</v>
      </c>
      <c r="U32" s="17"/>
    </row>
    <row r="33" spans="2:27" x14ac:dyDescent="0.2">
      <c r="B33" s="19" t="s">
        <v>53</v>
      </c>
      <c r="C33" s="35">
        <f>SUM(C30:C32)</f>
        <v>54867.136198155902</v>
      </c>
      <c r="D33" s="33">
        <f>+C33/$C$20</f>
        <v>0.25034386187154001</v>
      </c>
      <c r="E33" s="35">
        <f>SUM(E30:E32)</f>
        <v>60275.47116681208</v>
      </c>
      <c r="F33" s="33">
        <f>+E33/$E$20</f>
        <v>0.28435598313519944</v>
      </c>
      <c r="G33" s="33">
        <f>IF(C33=0,"",(E33-C33)/ABS(C33)+1)</f>
        <v>1.0985714827382944</v>
      </c>
      <c r="H33" s="35">
        <f>SUM(H30:H32)</f>
        <v>64608.517532243422</v>
      </c>
      <c r="I33" s="33">
        <f>+H33/$H$20</f>
        <v>0.25544034576690233</v>
      </c>
      <c r="J33" s="34">
        <f>IF(H33=0,"",(E33-H33)/ABS(H33))</f>
        <v>-6.7066178437988455E-2</v>
      </c>
      <c r="K33" s="35">
        <f>SUM(K30:K32)</f>
        <v>467553.55947965931</v>
      </c>
      <c r="L33" s="33">
        <f>+K33/$K$20</f>
        <v>0.26297465197270542</v>
      </c>
      <c r="M33" s="35">
        <f>SUM(M30:M32)</f>
        <v>474352.64577880013</v>
      </c>
      <c r="N33" s="33">
        <f>+M33/$M$20</f>
        <v>0.2618067484633011</v>
      </c>
      <c r="O33" s="33">
        <f>IF(K33=0,"",(M33-K33)/ABS(K33)+1)</f>
        <v>1.0145418341092463</v>
      </c>
      <c r="P33" s="35">
        <f>SUM(P30:P32)</f>
        <v>459171.09002455126</v>
      </c>
      <c r="Q33" s="33">
        <f>+P33/$P$20</f>
        <v>0.31058258018471568</v>
      </c>
      <c r="R33" s="34">
        <f>IF(P33=0,"",(M33-P33)/ABS(P33))</f>
        <v>3.3062960809307769E-2</v>
      </c>
    </row>
    <row r="34" spans="2:27" x14ac:dyDescent="0.2">
      <c r="B34" s="19" t="s">
        <v>54</v>
      </c>
      <c r="C34" s="35">
        <f>+C28+C33</f>
        <v>183181.01913284112</v>
      </c>
      <c r="D34" s="33">
        <f>+C34/$C$20</f>
        <v>0.8358053094963831</v>
      </c>
      <c r="E34" s="35">
        <f>+E28+E33</f>
        <v>190298.47816148313</v>
      </c>
      <c r="F34" s="33">
        <f>+E34/$E$20</f>
        <v>0.89775342770834088</v>
      </c>
      <c r="G34" s="33">
        <f>IF(C34=0,"",(E34-C34)/ABS(C34)+1)</f>
        <v>1.0388547845313629</v>
      </c>
      <c r="H34" s="35">
        <f>+H28+H33</f>
        <v>194662.02625491697</v>
      </c>
      <c r="I34" s="33">
        <f>+H34/$H$20</f>
        <v>0.76962817277809181</v>
      </c>
      <c r="J34" s="34">
        <f>IF(H34=0,"",(E34-H34)/ABS(H34))</f>
        <v>-2.241602112843322E-2</v>
      </c>
      <c r="K34" s="35">
        <f>+K28+K33</f>
        <v>1491700.4071541177</v>
      </c>
      <c r="L34" s="33">
        <f>+K34/$K$20</f>
        <v>0.83900418992738512</v>
      </c>
      <c r="M34" s="35">
        <f>+M28+M33</f>
        <v>1545533.6116755723</v>
      </c>
      <c r="N34" s="33">
        <f>+M34/$M$20</f>
        <v>0.85301754530997431</v>
      </c>
      <c r="O34" s="33">
        <f>IF(K34=0,"",(M34-K34)/ABS(K34)+1)</f>
        <v>1.0360884828235437</v>
      </c>
      <c r="P34" s="35">
        <f>+P28+P33</f>
        <v>1441525.5422377139</v>
      </c>
      <c r="Q34" s="33">
        <f>+P34/$P$20</f>
        <v>0.97504553757167489</v>
      </c>
      <c r="R34" s="34">
        <f>IF(P34=0,"",(M34-P34)/ABS(P34))</f>
        <v>7.2151388504989131E-2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12729.520374717948</v>
      </c>
      <c r="D36" s="33">
        <f>+C36/$C$20</f>
        <v>5.8081349076980829E-2</v>
      </c>
      <c r="E36" s="35">
        <f>E24-E34</f>
        <v>-4908.1033624898118</v>
      </c>
      <c r="F36" s="33">
        <f>+E36/$E$20</f>
        <v>-2.31545026517921E-2</v>
      </c>
      <c r="G36" s="33">
        <f>IF(C36=0,"",(E36-C36)/ABS(C36)+1)</f>
        <v>-0.38556860101640411</v>
      </c>
      <c r="H36" s="35">
        <f>H24-H34</f>
        <v>45473.279950456897</v>
      </c>
      <c r="I36" s="33">
        <f>+H36/$H$20</f>
        <v>0.17978605294422581</v>
      </c>
      <c r="J36" s="34">
        <f>IF(H36=0,"",(E36-H36)/ABS(H36))</f>
        <v>-1.1079337881023139</v>
      </c>
      <c r="K36" s="35">
        <f>K24-K34</f>
        <v>99623.694328195183</v>
      </c>
      <c r="L36" s="33">
        <f>+K36/$K$20</f>
        <v>5.6033166282272881E-2</v>
      </c>
      <c r="M36" s="35">
        <f>M24-M34</f>
        <v>36830.090163953602</v>
      </c>
      <c r="N36" s="33">
        <f>+M36/$M$20</f>
        <v>2.0327421460048782E-2</v>
      </c>
      <c r="O36" s="33">
        <f>IF(K36=0,"",(M36-K36)/ABS(K36)+1)</f>
        <v>0.36969207388176595</v>
      </c>
      <c r="P36" s="35">
        <f>P24-P34</f>
        <v>-112980.06004655664</v>
      </c>
      <c r="Q36" s="33">
        <f>+P36/$P$20</f>
        <v>-7.6419529280049997E-2</v>
      </c>
      <c r="R36" s="34">
        <f>IF(P36=0,"",(M36-P36)/ABS(P36))</f>
        <v>1.32598752513299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72.811404851825401</v>
      </c>
      <c r="D38" s="33">
        <f>+C38/$C$20</f>
        <v>3.3221869304545182E-4</v>
      </c>
      <c r="E38" s="35">
        <f>+'COL. CONS.$'!E38/Paramet!$G$3*1000</f>
        <v>280.94438875949146</v>
      </c>
      <c r="F38" s="33">
        <f>+E38/$E$20</f>
        <v>1.3253852077063422E-3</v>
      </c>
      <c r="G38" s="33">
        <f>IF(C38=0,"",(E38-C38)/ABS(C38)+1)</f>
        <v>3.858521743004772</v>
      </c>
      <c r="H38" s="35">
        <f>+'COL. CONS.$'!H38/Paramet!$G$4*1000</f>
        <v>373.02455370802363</v>
      </c>
      <c r="I38" s="33">
        <f>+H38/$H$20</f>
        <v>1.4748136100038041E-3</v>
      </c>
      <c r="J38" s="34">
        <f>IF(H38=0,"",(E38-H38)/ABS(H38))</f>
        <v>-0.24684746361389873</v>
      </c>
      <c r="K38" s="35">
        <f>+'COL. CONS.$'!K38/Paramet!$G$5*1000</f>
        <v>582.49123881460321</v>
      </c>
      <c r="L38" s="33">
        <f>+K38/$K$20</f>
        <v>3.2762114136163334E-4</v>
      </c>
      <c r="M38" s="35">
        <f>+'COL. CONS.$'!M38/Paramet!$G$3*1000</f>
        <v>3724.7060195033537</v>
      </c>
      <c r="N38" s="33">
        <f>+M38/$M$20</f>
        <v>2.0557557349487007E-3</v>
      </c>
      <c r="O38" s="33">
        <f>IF(K38=0,"",(M38-K38)/ABS(K38)+1)</f>
        <v>6.3944412744873276</v>
      </c>
      <c r="P38" s="35">
        <f>+'COL. CONS.$'!P38/Paramet!$G$4*1000</f>
        <v>1569.6248919915895</v>
      </c>
      <c r="Q38" s="33">
        <f>+P38/$P$20</f>
        <v>1.061691729875323E-3</v>
      </c>
      <c r="R38" s="34">
        <f>IF(P38=0,"",(M38-P38)/ABS(P38))</f>
        <v>1.3729911767500891</v>
      </c>
    </row>
    <row r="39" spans="2:27" x14ac:dyDescent="0.2">
      <c r="B39" s="19" t="s">
        <v>57</v>
      </c>
      <c r="C39" s="35">
        <f>+'COL. CONS.$'!C39/Paramet!$G$5*1000</f>
        <v>7464.189717940867</v>
      </c>
      <c r="D39" s="33">
        <f>+C39/$C$20</f>
        <v>3.4057073308556646E-2</v>
      </c>
      <c r="E39" s="35">
        <f>+'COL. CONS.$'!E39/Paramet!$G$3*1000</f>
        <v>7338.7729255752565</v>
      </c>
      <c r="F39" s="33">
        <f>+E39/$E$20</f>
        <v>3.4621446333993153E-2</v>
      </c>
      <c r="G39" s="33">
        <f>IF(C39=0,"",(E39-C39)/ABS(C39)+1)</f>
        <v>0.98319753421270095</v>
      </c>
      <c r="H39" s="35">
        <f>+'COL. CONS.$'!H39/Paramet!$G$4*1000</f>
        <v>7070.7556084820571</v>
      </c>
      <c r="I39" s="33">
        <f>+H39/$H$20</f>
        <v>2.7955389265239574E-2</v>
      </c>
      <c r="J39" s="34">
        <f>IF(H39=0,"",(E39-H39)/ABS(H39))</f>
        <v>3.7905046070562332E-2</v>
      </c>
      <c r="K39" s="35">
        <f>+'COL. CONS.$'!K39/Paramet!$G$5*1000</f>
        <v>58566.454583602688</v>
      </c>
      <c r="L39" s="33">
        <f>+K39/$K$20</f>
        <v>3.2940596214342817E-2</v>
      </c>
      <c r="M39" s="35">
        <f>+'COL. CONS.$'!M39/Paramet!$G$3*1000</f>
        <v>60815.144991599183</v>
      </c>
      <c r="N39" s="33">
        <f>+M39/$M$20</f>
        <v>3.3565355878713586E-2</v>
      </c>
      <c r="O39" s="33">
        <f>IF(K39=0,"",(M39-K39)/ABS(K39)+1)</f>
        <v>1.0383955358743209</v>
      </c>
      <c r="P39" s="35">
        <f>+'COL. CONS.$'!P39/Paramet!$G$4*1000</f>
        <v>58115.391880215306</v>
      </c>
      <c r="Q39" s="33">
        <f>+P39/$P$20</f>
        <v>3.9309156762543686E-2</v>
      </c>
      <c r="R39" s="34">
        <f>IF(P39=0,"",(M39-P39)/ABS(P39))</f>
        <v>4.645504442176835E-2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5338.142061628906</v>
      </c>
      <c r="D41" s="33">
        <f>+C41/$C$20</f>
        <v>2.435649446146964E-2</v>
      </c>
      <c r="E41" s="35">
        <f>E36+E38-E39</f>
        <v>-11965.931899305577</v>
      </c>
      <c r="F41" s="33">
        <f>+E41/$E$20</f>
        <v>-5.6450563778078909E-2</v>
      </c>
      <c r="G41" s="33">
        <f>IF(C41=0,"",(E41-C41)/ABS(C41)+1)</f>
        <v>-2.241591130614129</v>
      </c>
      <c r="H41" s="35">
        <f>+H36+H38-H39</f>
        <v>38775.548895682863</v>
      </c>
      <c r="I41" s="33">
        <f>+H41/$H$20</f>
        <v>0.15330547728899005</v>
      </c>
      <c r="J41" s="34">
        <f>IF(H41=0,"",(E41-H41)/ABS(H41))</f>
        <v>-1.308594777897208</v>
      </c>
      <c r="K41" s="35">
        <f>K36+K38-K39</f>
        <v>41639.730983407098</v>
      </c>
      <c r="L41" s="33">
        <f>+K41/$K$20</f>
        <v>2.3420191209291698E-2</v>
      </c>
      <c r="M41" s="35">
        <f>M36+M38-M39</f>
        <v>-20260.348808142226</v>
      </c>
      <c r="N41" s="33">
        <f>+M41/$M$20</f>
        <v>-1.1182178683716102E-2</v>
      </c>
      <c r="O41" s="33">
        <f>IF(K41=0,"",(M41-K41)/ABS(K41)+1)</f>
        <v>-0.48656291310373057</v>
      </c>
      <c r="P41" s="35">
        <f>P36+P38-P39</f>
        <v>-169525.82703478035</v>
      </c>
      <c r="Q41" s="33">
        <f>+P41/$P$20</f>
        <v>-0.11466699431271836</v>
      </c>
      <c r="R41" s="34">
        <f>IF(P41=0,"",(M41-P41)/ABS(P41))</f>
        <v>0.88048812878532323</v>
      </c>
    </row>
    <row r="42" spans="2:27" x14ac:dyDescent="0.2">
      <c r="B42" s="19" t="s">
        <v>44</v>
      </c>
      <c r="C42" s="35">
        <f>+'COL. CONS.$'!C42/Paramet!$G$5*1000</f>
        <v>7849.7952888072314</v>
      </c>
      <c r="D42" s="33">
        <f>+C42/$C$20</f>
        <v>3.581648694773816E-2</v>
      </c>
      <c r="E42" s="35">
        <f>+'COL. CONS.$'!E42/Paramet!$G$3*1000</f>
        <v>697.55210549213871</v>
      </c>
      <c r="F42" s="33">
        <f>+E42/$E$20</f>
        <v>3.2907766775692911E-3</v>
      </c>
      <c r="G42" s="33">
        <f>IF(C42=0,"",(E42-C42)/ABS(C42)+1)</f>
        <v>8.8862458169674197E-2</v>
      </c>
      <c r="H42" s="35">
        <f>+'COL. CONS.$'!H42/Paramet!$G$4*1000</f>
        <v>13921.156675225748</v>
      </c>
      <c r="I42" s="33">
        <f>+H42/$H$20</f>
        <v>5.5039570793745912E-2</v>
      </c>
      <c r="J42" s="34">
        <f>IF(H42=0,"",(E42-H42)/ABS(H42))</f>
        <v>-0.94989266181210996</v>
      </c>
      <c r="K42" s="35">
        <f>+'COL. CONS.$'!K42/Paramet!$G$5*1000</f>
        <v>62224.263663479753</v>
      </c>
      <c r="L42" s="33">
        <f>+K42/$K$20</f>
        <v>3.499792430063476E-2</v>
      </c>
      <c r="M42" s="35">
        <f>+'COL. CONS.$'!M42/Paramet!$G$3*1000</f>
        <v>32313.014414791203</v>
      </c>
      <c r="N42" s="33">
        <f>+M42/$M$20</f>
        <v>1.78343376225822E-2</v>
      </c>
      <c r="O42" s="33">
        <f>IF(K42=0,"",(M42-K42)/ABS(K42)+1)</f>
        <v>0.51929926546894833</v>
      </c>
      <c r="P42" s="35">
        <f>+'COL. CONS.$'!P42/Paramet!$G$4*1000</f>
        <v>77226.55746292221</v>
      </c>
      <c r="Q42" s="33">
        <f>+P42/$P$20</f>
        <v>5.2235918150541953E-2</v>
      </c>
      <c r="R42" s="34">
        <f>IF(P42=0,"",(M42-P42)/ABS(P42))</f>
        <v>-0.5815815766447282</v>
      </c>
    </row>
    <row r="43" spans="2:27" x14ac:dyDescent="0.2">
      <c r="B43" s="42" t="s">
        <v>59</v>
      </c>
      <c r="C43" s="43">
        <f>C41-C42</f>
        <v>-2511.6532271783253</v>
      </c>
      <c r="D43" s="44">
        <f>+C43/$C$20</f>
        <v>-1.1459992486268522E-2</v>
      </c>
      <c r="E43" s="43">
        <f>E41-E42</f>
        <v>-12663.484004797716</v>
      </c>
      <c r="F43" s="44">
        <f>+E43/$E$20</f>
        <v>-5.9741340455648204E-2</v>
      </c>
      <c r="G43" s="44">
        <f>IF(C43=0,"",(E43-C43)/ABS(C43)+1)</f>
        <v>-3.0418918773370214</v>
      </c>
      <c r="H43" s="43">
        <f>H41-H42</f>
        <v>24854.392220457114</v>
      </c>
      <c r="I43" s="44">
        <f>+H43/$H$20</f>
        <v>9.8265906495244124E-2</v>
      </c>
      <c r="J43" s="45">
        <f>IF(H43=0,"",(E43-H43)/ABS(H43))</f>
        <v>-1.5095068868501511</v>
      </c>
      <c r="K43" s="43">
        <f>K41-K42</f>
        <v>-20584.532680072654</v>
      </c>
      <c r="L43" s="44">
        <f>+K43/$K$20</f>
        <v>-1.157773309134306E-2</v>
      </c>
      <c r="M43" s="43">
        <f>M41-M42</f>
        <v>-52573.363222933433</v>
      </c>
      <c r="N43" s="44">
        <f>+M43/$M$20</f>
        <v>-2.9016516306298302E-2</v>
      </c>
      <c r="O43" s="44">
        <f>IF(K43=0,"",(M43-K43)/ABS(K43)+1)</f>
        <v>-0.55402267518214421</v>
      </c>
      <c r="P43" s="43">
        <f>P41-P42</f>
        <v>-246752.38449770256</v>
      </c>
      <c r="Q43" s="44">
        <f>+P43/$P$20</f>
        <v>-0.16690291246326031</v>
      </c>
      <c r="R43" s="45">
        <f>IF(P43=0,"",(M43-P43)/ABS(P43))</f>
        <v>0.78693878346929236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37782.767967518404</v>
      </c>
      <c r="D45" s="33">
        <f>+C45/$C$20</f>
        <v>0.17239252311300296</v>
      </c>
      <c r="E45" s="35">
        <f>+'COL. CONS.$'!E45/Paramet!$G$3*1000</f>
        <v>19912.321853419606</v>
      </c>
      <c r="F45" s="33">
        <f>+E45/$E$20</f>
        <v>9.3938508443402638E-2</v>
      </c>
      <c r="G45" s="33">
        <f>IF(C45=0,"",(E45-C45)/ABS(C45)+1)</f>
        <v>0.52702125663577903</v>
      </c>
      <c r="H45" s="35">
        <f>+'COL. CONS.$'!H45/Paramet!$G$4*1000</f>
        <v>56853.756271831204</v>
      </c>
      <c r="I45" s="33">
        <f>+H45/$H$20</f>
        <v>0.22478062823490819</v>
      </c>
      <c r="J45" s="34">
        <f>IF(H45=0,"",(E45-H45)/ABS(H45))</f>
        <v>-0.64976242276386975</v>
      </c>
      <c r="K45" s="35">
        <f>+'COL. CONS.$'!K45/Paramet!$G$5*1000</f>
        <v>302013.54156034166</v>
      </c>
      <c r="L45" s="33">
        <f>+K45/$K$20</f>
        <v>0.16986696897626818</v>
      </c>
      <c r="M45" s="35">
        <f>+'COL. CONS.$'!M45/Paramet!$G$3*1000</f>
        <v>236622.54588960909</v>
      </c>
      <c r="N45" s="33">
        <f>+M45/$M$20</f>
        <v>0.13059773125278404</v>
      </c>
      <c r="O45" s="33">
        <f>IF(K45=0,"",(M45-K45)/ABS(K45)+1)</f>
        <v>0.78348323279515064</v>
      </c>
      <c r="P45" s="35">
        <f>+'COL. CONS.$'!P45/Paramet!$G$4*1000</f>
        <v>358842.04292431701</v>
      </c>
      <c r="Q45" s="33">
        <f>+P45/$P$20</f>
        <v>0.24272017553245737</v>
      </c>
      <c r="R45" s="34">
        <f>IF(P45=0,"",(M45-P45)/ABS(P45))</f>
        <v>-0.34059414008097461</v>
      </c>
    </row>
    <row r="46" spans="2:27" x14ac:dyDescent="0.2">
      <c r="B46" s="19" t="s">
        <v>35</v>
      </c>
      <c r="C46" s="35">
        <f>+'COL. CONS.$'!C46/Paramet!$G$5*1000</f>
        <v>93965.045989135004</v>
      </c>
      <c r="D46" s="33">
        <f>+C46/$C$20</f>
        <v>0.42873702044335144</v>
      </c>
      <c r="E46" s="35">
        <f>+'COL. CONS.$'!E46/Paramet!$G$3*1000</f>
        <v>102565.63861827605</v>
      </c>
      <c r="F46" s="33">
        <f>+E46/$E$20</f>
        <v>0.48386437203410726</v>
      </c>
      <c r="G46" s="33">
        <f>IF(C46=0,"",(E46-C46)/ABS(C46)+1)</f>
        <v>1.0915297016949848</v>
      </c>
      <c r="H46" s="35">
        <f>+'COL. CONS.$'!H46/Paramet!$G$4*1000</f>
        <v>98936.351041409143</v>
      </c>
      <c r="I46" s="33">
        <f>+H46/$H$20</f>
        <v>0.39116105250860789</v>
      </c>
      <c r="J46" s="34">
        <f>IF(H46=0,"",(E46-H46)/ABS(H46))</f>
        <v>3.6683054697943022E-2</v>
      </c>
      <c r="K46" s="35">
        <f>+'COL. CONS.$'!K46/Paramet!$G$5*1000</f>
        <v>778868.58788971684</v>
      </c>
      <c r="L46" s="33">
        <f>+K46/$K$20</f>
        <v>0.43807322536634763</v>
      </c>
      <c r="M46" s="35">
        <f>+'COL. CONS.$'!M46/Paramet!$G$3*1000</f>
        <v>827700.73552211234</v>
      </c>
      <c r="N46" s="33">
        <f>+M46/$M$20</f>
        <v>0.45682814293561941</v>
      </c>
      <c r="O46" s="33">
        <f>IF(K46=0,"",(M46-K46)/ABS(K46)+1)</f>
        <v>1.0626962601800418</v>
      </c>
      <c r="P46" s="35">
        <f>+'COL. CONS.$'!P46/Paramet!$G$4*1000</f>
        <v>747512.26301180071</v>
      </c>
      <c r="Q46" s="33">
        <f>+P46/$P$20</f>
        <v>0.50561608169518546</v>
      </c>
      <c r="R46" s="34">
        <f>IF(P46=0,"",(M46-P46)/ABS(P46))</f>
        <v>0.1072737886429105</v>
      </c>
    </row>
    <row r="48" spans="2:27" x14ac:dyDescent="0.2">
      <c r="P48" s="24"/>
    </row>
  </sheetData>
  <conditionalFormatting sqref="J10:J46">
    <cfRule type="cellIs" dxfId="7" priority="2" operator="lessThan">
      <formula>0</formula>
    </cfRule>
  </conditionalFormatting>
  <conditionalFormatting sqref="R10:R46">
    <cfRule type="cellIs" dxfId="6" priority="3" operator="lessThan">
      <formula>0</formula>
    </cfRule>
  </conditionalFormatting>
  <conditionalFormatting sqref="AE10:AE11 AE13:AE17 AE19:AE28 AE3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0361-4AA1-40EF-9294-0B86F1F20A00}">
  <sheetPr>
    <tabColor theme="0" tint="-0.249977111117893"/>
  </sheetPr>
  <dimension ref="A1:AI68"/>
  <sheetViews>
    <sheetView showGridLines="0" topLeftCell="Q17" zoomScaleNormal="100" workbookViewId="0">
      <selection activeCell="V31" sqref="V31:AF33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101</v>
      </c>
      <c r="T3" s="18"/>
      <c r="U3" s="90" t="str">
        <f>+B3</f>
        <v>MUSICAR S.A. EL SALVADOR</v>
      </c>
    </row>
    <row r="4" spans="1:34" x14ac:dyDescent="0.2">
      <c r="B4" s="3" t="s">
        <v>102</v>
      </c>
      <c r="U4" s="3" t="s">
        <v>21</v>
      </c>
    </row>
    <row r="5" spans="1:34" x14ac:dyDescent="0.2">
      <c r="B5" s="3" t="s">
        <v>90</v>
      </c>
      <c r="U5" s="3" t="s">
        <v>90</v>
      </c>
    </row>
    <row r="6" spans="1:34" ht="13.5" thickBot="1" x14ac:dyDescent="0.25">
      <c r="B6" s="79" t="str">
        <f>+'COL. CONS.$'!B6</f>
        <v>AGOSTO de 2024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AGOSTO de 2024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S7" s="61"/>
      <c r="T7" s="63"/>
      <c r="V7" s="54" t="str">
        <f>+C7</f>
        <v>Ppto 2024</v>
      </c>
      <c r="W7" s="54" t="str">
        <f>+M7</f>
        <v>Real 2024</v>
      </c>
      <c r="X7" s="54" t="str">
        <f>+H7</f>
        <v>Real 2023</v>
      </c>
      <c r="Y7" s="54" t="str">
        <f>+V7</f>
        <v>Ppto 2024</v>
      </c>
      <c r="Z7" s="54" t="str">
        <f>+W7</f>
        <v>Real 2024</v>
      </c>
      <c r="AA7" s="54" t="s">
        <v>26</v>
      </c>
      <c r="AB7" s="54" t="s">
        <v>24</v>
      </c>
      <c r="AC7" s="54" t="str">
        <f>+X7</f>
        <v>Real 2023</v>
      </c>
      <c r="AD7" s="54" t="s">
        <v>25</v>
      </c>
      <c r="AF7" s="2" t="s">
        <v>103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104</v>
      </c>
      <c r="AG8" s="2" t="s">
        <v>105</v>
      </c>
      <c r="AH8" s="2" t="s">
        <v>106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6427</v>
      </c>
      <c r="D10" s="34">
        <f>+C10/$C$20</f>
        <v>0.77555206950645594</v>
      </c>
      <c r="E10" s="32">
        <v>5323.56</v>
      </c>
      <c r="F10" s="34">
        <f>+E10/$E$20</f>
        <v>0.82428209995633617</v>
      </c>
      <c r="G10" s="34">
        <f>IF(C10=0,"",(E10-C10)/ABS(C10)+1)</f>
        <v>0.82831180955344652</v>
      </c>
      <c r="H10" s="32">
        <v>6052.96</v>
      </c>
      <c r="I10" s="34">
        <f>+H10/$H$20</f>
        <v>0.80283733848312744</v>
      </c>
      <c r="J10" s="34">
        <f>IF(H10=0,"",(E10-H10)/ABS(H10))</f>
        <v>-0.12050302661838169</v>
      </c>
      <c r="K10" s="32">
        <v>51109</v>
      </c>
      <c r="L10" s="34">
        <f>+K10/$K$20</f>
        <v>0.75871027121713697</v>
      </c>
      <c r="M10" s="32">
        <v>47872.21</v>
      </c>
      <c r="N10" s="34">
        <f>+M10/$M$20</f>
        <v>0.78207115620459944</v>
      </c>
      <c r="O10" s="34">
        <f>IF(K10=0,"",(M10-K10)/ABS(K10)+1)</f>
        <v>0.93666888414956273</v>
      </c>
      <c r="P10" s="32">
        <v>50731.47</v>
      </c>
      <c r="Q10" s="34">
        <f>+P10/$P$20</f>
        <v>0.78158089220273552</v>
      </c>
      <c r="R10" s="34">
        <f t="shared" ref="R10:R17" si="0">IF(P10=0,"",(M10-P10)/ABS(P10))</f>
        <v>-5.6360677110282864E-2</v>
      </c>
      <c r="S10" s="34"/>
      <c r="T10" s="63"/>
      <c r="U10" s="3" t="s">
        <v>31</v>
      </c>
      <c r="V10" s="32">
        <v>14642</v>
      </c>
      <c r="W10" s="32">
        <v>22005</v>
      </c>
      <c r="X10" s="32">
        <v>16349</v>
      </c>
      <c r="Y10" s="32">
        <v>15168</v>
      </c>
      <c r="Z10" s="32">
        <v>15168</v>
      </c>
      <c r="AA10" s="63">
        <f>+Z10-Y10</f>
        <v>0</v>
      </c>
      <c r="AB10" s="68">
        <f>IF(Y10=0,"",(Z10-Y10)/ABS(Y10)+1)</f>
        <v>1</v>
      </c>
      <c r="AC10" s="32">
        <v>11259</v>
      </c>
      <c r="AD10" s="34">
        <f>IF(X10=0,"",(Z10-AC10)/ABS(AC10))</f>
        <v>0.34718891553423925</v>
      </c>
      <c r="AF10" s="67">
        <v>15168</v>
      </c>
      <c r="AG10" s="67"/>
      <c r="AH10" s="67">
        <v>15168</v>
      </c>
    </row>
    <row r="11" spans="1:34" x14ac:dyDescent="0.2">
      <c r="A11" s="94"/>
      <c r="B11" s="3" t="str">
        <f>+'COLOMB$ '!B11</f>
        <v>Instalaciones</v>
      </c>
      <c r="C11" s="32">
        <v>460</v>
      </c>
      <c r="D11" s="34">
        <f>+C11/$C$20</f>
        <v>5.550862797152166E-2</v>
      </c>
      <c r="E11" s="32">
        <v>140</v>
      </c>
      <c r="F11" s="34">
        <f>+E11/$E$20</f>
        <v>2.1677128461759995E-2</v>
      </c>
      <c r="G11" s="34">
        <f>IF(C11=0,"",(E11-C11)/ABS(C11)+1)</f>
        <v>0.30434782608695654</v>
      </c>
      <c r="H11" s="32">
        <v>421.24</v>
      </c>
      <c r="I11" s="34">
        <f>+H11/$H$20</f>
        <v>5.5871375403543491E-2</v>
      </c>
      <c r="J11" s="34">
        <f>IF(H11=0,"",(E11-H11)/ABS(H11))</f>
        <v>-0.6676478966859748</v>
      </c>
      <c r="K11" s="32">
        <v>3796</v>
      </c>
      <c r="L11" s="34">
        <f>+K11/$K$20</f>
        <v>5.6351409527485415E-2</v>
      </c>
      <c r="M11" s="32">
        <v>1410</v>
      </c>
      <c r="N11" s="34">
        <f>+M11/$M$20</f>
        <v>2.3034665210745132E-2</v>
      </c>
      <c r="O11" s="34">
        <f>IF(K11=0,"",(M11-K11)/ABS(K11)+1)</f>
        <v>0.37144362486828242</v>
      </c>
      <c r="P11" s="32">
        <v>2736.24</v>
      </c>
      <c r="Q11" s="34">
        <f>+P11/$P$20</f>
        <v>4.2155153408344227E-2</v>
      </c>
      <c r="R11" s="34">
        <f t="shared" si="0"/>
        <v>-0.48469432505920529</v>
      </c>
      <c r="S11" s="34"/>
      <c r="T11" s="63"/>
      <c r="U11" s="3" t="s">
        <v>32</v>
      </c>
      <c r="V11" s="32">
        <v>9323</v>
      </c>
      <c r="W11" s="32">
        <v>9291</v>
      </c>
      <c r="X11" s="32">
        <v>8673</v>
      </c>
      <c r="Y11" s="32">
        <f>+AF11+V11</f>
        <v>77156.314092111104</v>
      </c>
      <c r="Z11" s="32">
        <f>+W11+AH11</f>
        <v>70810.5</v>
      </c>
      <c r="AA11" s="63">
        <f>+Z11-Y11</f>
        <v>-6345.8140921111044</v>
      </c>
      <c r="AB11" s="68">
        <f>IF(Y11=0,"",(Z11-Y11)/ABS(Y11)+1)</f>
        <v>0.91775379414139313</v>
      </c>
      <c r="AC11" s="32">
        <v>70371</v>
      </c>
      <c r="AD11" s="34">
        <f>IF(AC11=0,"",(Z11-AC11)/ABS(AC11))</f>
        <v>6.2454704352645262E-3</v>
      </c>
      <c r="AF11" s="32">
        <v>67833.314092111104</v>
      </c>
      <c r="AG11" s="32"/>
      <c r="AH11" s="32">
        <v>61519.5</v>
      </c>
    </row>
    <row r="12" spans="1:34" x14ac:dyDescent="0.2">
      <c r="A12" s="94"/>
      <c r="B12" s="3" t="str">
        <f>+'COLOMB$ '!B12</f>
        <v>Voice Experience (Publihold)</v>
      </c>
      <c r="C12" s="32">
        <v>1022</v>
      </c>
      <c r="D12" s="34">
        <f>+C12/$C$20</f>
        <v>0.12332569084107639</v>
      </c>
      <c r="E12" s="32">
        <v>994.86</v>
      </c>
      <c r="F12" s="34">
        <f>+E12/$E$20</f>
        <v>0.15404077158190393</v>
      </c>
      <c r="G12" s="34">
        <f>IF(C12=0,"",(E12-C12)/ABS(C12)+1)</f>
        <v>0.97344422700587085</v>
      </c>
      <c r="H12" s="32">
        <v>1065.26</v>
      </c>
      <c r="I12" s="34">
        <f>+H12/$H$20</f>
        <v>0.14129128611332906</v>
      </c>
      <c r="J12" s="34">
        <f>IF(H12=0,"",(E12-H12)/ABS(H12))</f>
        <v>-6.6087152432270035E-2</v>
      </c>
      <c r="K12" s="32">
        <v>8061</v>
      </c>
      <c r="L12" s="34">
        <f>+K12/$K$20</f>
        <v>0.11966509805085879</v>
      </c>
      <c r="M12" s="32">
        <v>8606.8799999999992</v>
      </c>
      <c r="N12" s="34">
        <f>+M12/$M$20</f>
        <v>0.14060751724046672</v>
      </c>
      <c r="O12" s="34">
        <f>IF(K12=0,"",(M12-K12)/ABS(K12)+1)</f>
        <v>1.0677186453293634</v>
      </c>
      <c r="P12" s="32">
        <v>9035.08</v>
      </c>
      <c r="Q12" s="34">
        <f>+P12/$P$20</f>
        <v>0.13919655565910255</v>
      </c>
      <c r="R12" s="34">
        <f t="shared" si="0"/>
        <v>-4.7393050199887633E-2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220</v>
      </c>
      <c r="D13" s="34">
        <f>+C13/$C$20</f>
        <v>2.65476046820321E-2</v>
      </c>
      <c r="E13" s="32">
        <v>0</v>
      </c>
      <c r="F13" s="34"/>
      <c r="G13" s="34">
        <f>IF(C13=0,"",(E13-C13)/ABS(C13)+1)</f>
        <v>0</v>
      </c>
      <c r="H13" s="32">
        <v>0</v>
      </c>
      <c r="I13" s="34"/>
      <c r="J13" s="34" t="str">
        <f>IF(H13=0,"",(E13-H13)/ABS(H13))</f>
        <v/>
      </c>
      <c r="K13" s="32">
        <v>1816</v>
      </c>
      <c r="L13" s="34">
        <f>+K13/$K$20</f>
        <v>2.6958419310303877E-2</v>
      </c>
      <c r="M13" s="32">
        <v>1667</v>
      </c>
      <c r="N13" s="34">
        <f>+M13/$M$20</f>
        <v>2.7233182203058252E-2</v>
      </c>
      <c r="O13" s="34">
        <f>IF(K13=0,"",(M13-K13)/ABS(K13)+1)</f>
        <v>0.91795154185022021</v>
      </c>
      <c r="P13" s="32">
        <v>750</v>
      </c>
      <c r="Q13" s="34"/>
      <c r="R13" s="34">
        <f t="shared" si="0"/>
        <v>1.2226666666666666</v>
      </c>
      <c r="S13" s="34"/>
      <c r="T13" s="63"/>
      <c r="U13" s="3" t="s">
        <v>33</v>
      </c>
      <c r="V13" s="32">
        <v>2320</v>
      </c>
      <c r="W13" s="32">
        <v>0</v>
      </c>
      <c r="X13" s="32">
        <v>0</v>
      </c>
      <c r="Y13" s="32">
        <f>+AF13+V13</f>
        <v>9149</v>
      </c>
      <c r="Z13" s="32">
        <f t="shared" ref="Z13:Z16" si="1">+W13+AH13</f>
        <v>362</v>
      </c>
      <c r="AA13" s="63">
        <f>+Y13-Z13</f>
        <v>8787</v>
      </c>
      <c r="AB13" s="68">
        <f>IF(Y13=0,"",(Z13-Y13)/ABS(Y13)+1)</f>
        <v>3.9567165810471039E-2</v>
      </c>
      <c r="AC13" s="32">
        <v>150</v>
      </c>
      <c r="AD13" s="34">
        <f>IF(AC13=0,"",(Z13-AC13)/ABS(AC13))</f>
        <v>1.4133333333333333</v>
      </c>
      <c r="AF13" s="32">
        <v>6829</v>
      </c>
      <c r="AG13" s="32"/>
      <c r="AH13" s="32">
        <v>362</v>
      </c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>
        <v>0</v>
      </c>
    </row>
    <row r="15" spans="1:34" x14ac:dyDescent="0.2">
      <c r="A15" s="94"/>
      <c r="B15" s="3" t="str">
        <f>+'COLOMB$ '!B15</f>
        <v>Voice Experience (Audicóm)</v>
      </c>
      <c r="C15" s="32">
        <v>158</v>
      </c>
      <c r="D15" s="34">
        <f>+C15/$C$20</f>
        <v>1.9066006998913962E-2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2581</v>
      </c>
      <c r="L15" s="34"/>
      <c r="M15" s="32">
        <v>1656</v>
      </c>
      <c r="N15" s="34"/>
      <c r="O15" s="34">
        <f>IF(K15=0,"",(M15-K15)/ABS(K15)+1)</f>
        <v>0.64161177838047267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>
        <v>5731</v>
      </c>
      <c r="W15" s="32">
        <v>4179</v>
      </c>
      <c r="X15" s="32">
        <v>5489</v>
      </c>
      <c r="Y15" s="32">
        <f t="shared" si="2"/>
        <v>46066.356798699999</v>
      </c>
      <c r="Z15" s="32">
        <f t="shared" si="1"/>
        <v>37958.300000000003</v>
      </c>
      <c r="AA15" s="63">
        <f>+Y15-Z15</f>
        <v>8108.0567986999959</v>
      </c>
      <c r="AB15" s="68">
        <f>IF(Y15=0,"",(Z15-Y15)/ABS(Y15)+1)</f>
        <v>0.82399179439931736</v>
      </c>
      <c r="AC15" s="32">
        <v>40731</v>
      </c>
      <c r="AD15" s="34">
        <f>IF(AC15=0,"",(Z15-AC15)/ABS(AC15))</f>
        <v>-6.8073457563035455E-2</v>
      </c>
      <c r="AF15" s="32">
        <v>40335.356798699999</v>
      </c>
      <c r="AG15" s="32"/>
      <c r="AH15" s="32">
        <v>33779.300000000003</v>
      </c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>
        <v>1420</v>
      </c>
      <c r="W16" s="32">
        <v>1356</v>
      </c>
      <c r="X16" s="32">
        <v>1217</v>
      </c>
      <c r="Y16" s="32">
        <f t="shared" si="2"/>
        <v>13153.438066666666</v>
      </c>
      <c r="Z16" s="32">
        <f t="shared" si="1"/>
        <v>13205.400000000001</v>
      </c>
      <c r="AA16" s="63">
        <f>+Y16-Z16</f>
        <v>-51.961933333335764</v>
      </c>
      <c r="AB16" s="68">
        <f>IF(Y16=0,"",(Z16-Y16)/ABS(Y16)+1)</f>
        <v>1.0039504449764367</v>
      </c>
      <c r="AC16" s="32">
        <v>13312</v>
      </c>
      <c r="AD16" s="34">
        <f>IF(AC16=0,"",(Z16-AC16)/ABS(AC16))</f>
        <v>-8.00781249999989E-3</v>
      </c>
      <c r="AF16" s="32">
        <v>11733.438066666666</v>
      </c>
      <c r="AG16" s="32"/>
      <c r="AH16" s="32">
        <v>11849.400000000001</v>
      </c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9471</v>
      </c>
      <c r="W17" s="32">
        <f>SUM(W13:W16)</f>
        <v>5535</v>
      </c>
      <c r="X17" s="32">
        <v>6706</v>
      </c>
      <c r="Y17" s="32">
        <f>SUM(Y13:Y16)</f>
        <v>68368.794865366668</v>
      </c>
      <c r="Z17" s="32">
        <f>SUM(Z13:Z16)</f>
        <v>51525.700000000004</v>
      </c>
      <c r="AA17" s="63">
        <f>+Z17-Y17</f>
        <v>-16843.094865366664</v>
      </c>
      <c r="AB17" s="68">
        <f>IF(Y17=0,"",(Z17-Y17)/ABS(Y17)+1)</f>
        <v>0.75364353140150486</v>
      </c>
      <c r="AC17" s="32">
        <v>54193</v>
      </c>
      <c r="AD17" s="34">
        <f>IF(AC17=0,"",(Z17-AC17)/ABS(AC17))</f>
        <v>-4.9218533758972484E-2</v>
      </c>
      <c r="AF17" s="32">
        <v>58897.794865366668</v>
      </c>
      <c r="AG17" s="32"/>
      <c r="AH17" s="32">
        <v>45990.700000000004</v>
      </c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-148</v>
      </c>
      <c r="W19" s="32">
        <f>W11-W17</f>
        <v>3756</v>
      </c>
      <c r="X19" s="32">
        <v>1968</v>
      </c>
      <c r="Y19" s="32">
        <f>Y11-Y17</f>
        <v>8787.5192267444363</v>
      </c>
      <c r="Z19" s="32">
        <f>Z11-Z17</f>
        <v>19284.799999999996</v>
      </c>
      <c r="AA19" s="63">
        <f>+Z19-Y19</f>
        <v>10497.280773255559</v>
      </c>
      <c r="AB19" s="68">
        <f>IF(Y19=0,"",(Z19-Y19)/ABS(Y19)+1)</f>
        <v>2.1945670333565288</v>
      </c>
      <c r="AC19" s="32">
        <v>16178</v>
      </c>
      <c r="AD19" s="34">
        <f>IF(AC19=0,"",(Z19-AC19)/ABS(AC19))</f>
        <v>0.19203857089875112</v>
      </c>
      <c r="AF19" s="32">
        <v>8935.5192267444363</v>
      </c>
      <c r="AG19" s="32"/>
      <c r="AH19" s="32">
        <v>15528.799999999996</v>
      </c>
      <c r="AI19" s="55"/>
    </row>
    <row r="20" spans="1:35" x14ac:dyDescent="0.2">
      <c r="B20" s="20" t="s">
        <v>39</v>
      </c>
      <c r="C20" s="69">
        <f>SUM(C10:C19)</f>
        <v>8287</v>
      </c>
      <c r="D20" s="45">
        <f>+C20/$C$20</f>
        <v>1</v>
      </c>
      <c r="E20" s="69">
        <f>SUM(E10:E19)</f>
        <v>6458.42</v>
      </c>
      <c r="F20" s="45">
        <f>+E20/$E$20</f>
        <v>1</v>
      </c>
      <c r="G20" s="45">
        <f>IF(C20=0,"",(E20-C20)/ABS(C20)+1)</f>
        <v>0.77934355013877155</v>
      </c>
      <c r="H20" s="69">
        <f>SUM(H10:H19)</f>
        <v>7539.46</v>
      </c>
      <c r="I20" s="45">
        <f>+H20/$H$20</f>
        <v>1</v>
      </c>
      <c r="J20" s="45">
        <f>IF(H20=0,"",(E20-H20)/ABS(H20))</f>
        <v>-0.14338427420531444</v>
      </c>
      <c r="K20" s="69">
        <f>SUM(K10:K19)</f>
        <v>67363</v>
      </c>
      <c r="L20" s="45">
        <f>+K20/$K$20</f>
        <v>1</v>
      </c>
      <c r="M20" s="69">
        <f>SUM(M10:M19)</f>
        <v>61212.09</v>
      </c>
      <c r="N20" s="45">
        <f>+M20/$M$20</f>
        <v>1</v>
      </c>
      <c r="O20" s="45">
        <f>IF(K20=0,"",(M20-K20)/ABS(K20)+1)</f>
        <v>0.90869008209254332</v>
      </c>
      <c r="P20" s="69">
        <f>SUM(P10:P19)</f>
        <v>64908.79</v>
      </c>
      <c r="Q20" s="45">
        <f>+P20/$P$20</f>
        <v>1</v>
      </c>
      <c r="R20" s="45">
        <f>IF(P20=0,"",(M20-P20)/ABS(P20))</f>
        <v>-5.6952224806532434E-2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14494</v>
      </c>
      <c r="W21" s="32">
        <f>+W10+W19</f>
        <v>25761</v>
      </c>
      <c r="X21" s="32">
        <v>18317</v>
      </c>
      <c r="Y21" s="32">
        <f>+Y10+Y19</f>
        <v>23955.519226744436</v>
      </c>
      <c r="Z21" s="32">
        <f>+Z10+Z19</f>
        <v>34452.799999999996</v>
      </c>
      <c r="AA21" s="63">
        <f>+Z21-Y21</f>
        <v>10497.280773255559</v>
      </c>
      <c r="AB21" s="68">
        <f>IF(Y21=0,"",(Z21-Y21)/ABS(Y21)+1)</f>
        <v>1.4381988415235925</v>
      </c>
      <c r="AC21" s="32">
        <v>27437</v>
      </c>
      <c r="AD21" s="34">
        <f>IF(AC21=0,"",(Z21-AC21)/ABS(AC21))</f>
        <v>0.25570579873892901</v>
      </c>
      <c r="AF21" s="32">
        <v>24103.519226744436</v>
      </c>
      <c r="AG21" s="32"/>
      <c r="AH21" s="32">
        <v>30696.799999999996</v>
      </c>
    </row>
    <row r="22" spans="1:35" x14ac:dyDescent="0.2">
      <c r="A22" s="94"/>
      <c r="B22" s="3" t="s">
        <v>41</v>
      </c>
      <c r="C22" s="32">
        <v>106</v>
      </c>
      <c r="D22" s="34">
        <f>+C22/$C$20</f>
        <v>1.2791118619524557E-2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873</v>
      </c>
      <c r="L22" s="34">
        <f>+K22/$K$20</f>
        <v>1.2959636595757315E-2</v>
      </c>
      <c r="M22" s="32">
        <v>621.66</v>
      </c>
      <c r="N22" s="34">
        <f>+M22/$M$20</f>
        <v>1.0155836861639587E-2</v>
      </c>
      <c r="O22" s="34">
        <f>IF(K22=0,"",(M22-K22)/ABS(K22)+1)</f>
        <v>0.71209621993127148</v>
      </c>
      <c r="P22" s="32">
        <v>263.47000000000003</v>
      </c>
      <c r="Q22" s="34">
        <f>+P22/$P$20</f>
        <v>4.0590804419555508E-3</v>
      </c>
      <c r="R22" s="34">
        <f>IF(P22=0,"",(M22-P22)/ABS(P22))</f>
        <v>1.3595096215887954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6145</v>
      </c>
      <c r="X23" s="32">
        <v>0</v>
      </c>
      <c r="Y23" s="32">
        <f>+AF23+V23</f>
        <v>0</v>
      </c>
      <c r="Z23" s="32">
        <f>+W23+AH23</f>
        <v>6730</v>
      </c>
      <c r="AA23" s="63">
        <f>+Z23-Y23</f>
        <v>6730</v>
      </c>
      <c r="AB23" s="68" t="str">
        <f>IF(Y23=0,"",(Z23-Y23)/ABS(Y23)+1)</f>
        <v/>
      </c>
      <c r="AC23" s="32">
        <v>80</v>
      </c>
      <c r="AD23" s="34">
        <f>IF(AC23=0,"",(Z23-AC23)/ABS(AC23))</f>
        <v>83.125</v>
      </c>
      <c r="AF23" s="32">
        <v>0</v>
      </c>
      <c r="AG23" s="32"/>
      <c r="AH23" s="32">
        <v>585</v>
      </c>
    </row>
    <row r="24" spans="1:35" x14ac:dyDescent="0.2">
      <c r="B24" s="3" t="s">
        <v>43</v>
      </c>
      <c r="C24" s="32">
        <f>+C20-C22</f>
        <v>8181</v>
      </c>
      <c r="D24" s="34">
        <f>+C24/$C$20</f>
        <v>0.98720888138047547</v>
      </c>
      <c r="E24" s="32">
        <f>+E20-E22</f>
        <v>6458.42</v>
      </c>
      <c r="F24" s="34">
        <f>+E24/$E$20</f>
        <v>1</v>
      </c>
      <c r="G24" s="34">
        <f>IF(C24=0,"",(E24-C24)/ABS(C24)+1)</f>
        <v>0.78944138858330282</v>
      </c>
      <c r="H24" s="32">
        <f>+H20-H22</f>
        <v>7539.46</v>
      </c>
      <c r="I24" s="34">
        <f>+H24/$H$20</f>
        <v>1</v>
      </c>
      <c r="J24" s="34">
        <f>IF(H24=0,"",(E24-H24)/ABS(H24))</f>
        <v>-0.14338427420531444</v>
      </c>
      <c r="K24" s="32">
        <f>+K20-K22</f>
        <v>66490</v>
      </c>
      <c r="L24" s="34">
        <f>+K24/$K$20</f>
        <v>0.98704036340424273</v>
      </c>
      <c r="M24" s="32">
        <f>+M20-M22</f>
        <v>60590.429999999993</v>
      </c>
      <c r="N24" s="34">
        <f>+M24/$M$20</f>
        <v>0.98984416313836032</v>
      </c>
      <c r="O24" s="34">
        <f>IF(K24=0,"",(M24-K24)/ABS(K24)+1)</f>
        <v>0.91127131899533753</v>
      </c>
      <c r="P24" s="32">
        <f>+P20-P22</f>
        <v>64645.32</v>
      </c>
      <c r="Q24" s="34">
        <f>+P24/$P$20</f>
        <v>0.99594091955804442</v>
      </c>
      <c r="R24" s="34">
        <f>IF(P24=0,"",(M24-P24)/ABS(P24))</f>
        <v>-6.2725190315401122E-2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>
        <v>1228</v>
      </c>
      <c r="W25" s="32">
        <v>1137</v>
      </c>
      <c r="X25" s="32">
        <v>1255</v>
      </c>
      <c r="Y25" s="32">
        <f>+AF25+V25</f>
        <v>10688.403834799999</v>
      </c>
      <c r="Z25" s="32">
        <f t="shared" ref="Z25" si="3">+W25+AH25</f>
        <v>9244.7000000000007</v>
      </c>
      <c r="AA25" s="63">
        <f>+Z25-Y25</f>
        <v>-1443.7038347999987</v>
      </c>
      <c r="AB25" s="68">
        <f>IF(Y25=0,"",(Z25-Y25)/ABS(Y25)+1)</f>
        <v>0.86492802320029361</v>
      </c>
      <c r="AC25" s="32">
        <v>10295</v>
      </c>
      <c r="AD25" s="34">
        <f>IF(AC25=0,"",(Z25-AC25)/ABS(AC25))</f>
        <v>-0.10202039825157837</v>
      </c>
      <c r="AF25" s="32">
        <v>9460.4038347999995</v>
      </c>
      <c r="AG25" s="32"/>
      <c r="AH25" s="32">
        <v>8107.7</v>
      </c>
    </row>
    <row r="26" spans="1:35" x14ac:dyDescent="0.2">
      <c r="B26" s="3" t="s">
        <v>45</v>
      </c>
      <c r="C26" s="32">
        <v>554</v>
      </c>
      <c r="D26" s="34">
        <f>+C26/$C$20</f>
        <v>6.6851695426571739E-2</v>
      </c>
      <c r="E26" s="32">
        <v>409.6</v>
      </c>
      <c r="F26" s="34">
        <f>+E26/$E$20</f>
        <v>6.3421084413834969E-2</v>
      </c>
      <c r="G26" s="34">
        <f>IF(C26=0,"",(E26-C26)/ABS(C26)+1)</f>
        <v>0.73935018050541523</v>
      </c>
      <c r="H26" s="32">
        <v>739.11</v>
      </c>
      <c r="I26" s="34">
        <f>+H26/$H$20</f>
        <v>9.8032219814151153E-2</v>
      </c>
      <c r="J26" s="34">
        <f>IF(H26=0,"",(E26-H26)/ABS(H26))</f>
        <v>-0.44581997266983264</v>
      </c>
      <c r="K26" s="32">
        <v>5473</v>
      </c>
      <c r="L26" s="34">
        <f>+K26/$K$20</f>
        <v>8.1246381544764934E-2</v>
      </c>
      <c r="M26" s="32">
        <v>4190.55</v>
      </c>
      <c r="N26" s="34">
        <f>+M26/$M$20</f>
        <v>6.8459515105594337E-2</v>
      </c>
      <c r="O26" s="34">
        <f>IF(K26=0,"",(M26-K26)/ABS(K26)+1)</f>
        <v>0.76567695961995252</v>
      </c>
      <c r="P26" s="32">
        <v>5237.46</v>
      </c>
      <c r="Q26" s="34">
        <f>+P26/$P$20</f>
        <v>8.0689533728790813E-2</v>
      </c>
      <c r="R26" s="34">
        <f>IF(P26=0,"",(M26-P26)/ABS(P26))</f>
        <v>-0.19988887743295411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1090</v>
      </c>
      <c r="D27" s="34">
        <f>+C27/$C$20</f>
        <v>0.13153131410643176</v>
      </c>
      <c r="E27" s="32">
        <v>1143.0999999999999</v>
      </c>
      <c r="F27" s="34">
        <f>+E27/$E$20</f>
        <v>0.17699375389027036</v>
      </c>
      <c r="G27" s="34">
        <f>IF(C27=0,"",(E27-C27)/ABS(C27)+1)</f>
        <v>1.0487155963302752</v>
      </c>
      <c r="H27" s="32">
        <v>1023.2</v>
      </c>
      <c r="I27" s="34">
        <f>+H27/$H$20</f>
        <v>0.13571263724457722</v>
      </c>
      <c r="J27" s="34">
        <f>IF(H27=0,"",(E27-H27)/ABS(H27))</f>
        <v>0.11718139171227508</v>
      </c>
      <c r="K27" s="32">
        <v>9249</v>
      </c>
      <c r="L27" s="34">
        <f>+K27/$K$20</f>
        <v>0.1373008921811677</v>
      </c>
      <c r="M27" s="32">
        <v>9433.7900000000009</v>
      </c>
      <c r="N27" s="34">
        <f>+M27/$M$20</f>
        <v>0.15411644987125911</v>
      </c>
      <c r="O27" s="34">
        <f>IF(K27=0,"",(M27-K27)/ABS(K27)+1)</f>
        <v>1.0199794572386205</v>
      </c>
      <c r="P27" s="32">
        <v>9150.08</v>
      </c>
      <c r="Q27" s="34">
        <f>+P27/$P$20</f>
        <v>0.14096827255599742</v>
      </c>
      <c r="R27" s="34">
        <f>IF(P27=0,"",(M27-P27)/ABS(P27))</f>
        <v>3.1006286283835872E-2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>
        <v>0</v>
      </c>
      <c r="AG27" s="32"/>
      <c r="AH27" s="2">
        <v>0</v>
      </c>
    </row>
    <row r="28" spans="1:35" x14ac:dyDescent="0.2">
      <c r="B28" s="3" t="s">
        <v>48</v>
      </c>
      <c r="C28" s="32">
        <f>SUM(C26:C27)</f>
        <v>1644</v>
      </c>
      <c r="D28" s="34">
        <f>+C28/$C$20</f>
        <v>0.1983830095330035</v>
      </c>
      <c r="E28" s="32">
        <f>SUM(E26:E27)</f>
        <v>1552.6999999999998</v>
      </c>
      <c r="F28" s="34">
        <f>+E28/$E$20</f>
        <v>0.24041483830410532</v>
      </c>
      <c r="G28" s="34">
        <f>IF(C28=0,"",(E28-C28)/ABS(C28)+1)</f>
        <v>0.94446472019464711</v>
      </c>
      <c r="H28" s="32">
        <f>SUM(H26:H27)</f>
        <v>1762.31</v>
      </c>
      <c r="I28" s="34">
        <f>+H28/$H$20</f>
        <v>0.23374485705872833</v>
      </c>
      <c r="J28" s="34">
        <f>IF(H28=0,"",(E28-H28)/ABS(H28))</f>
        <v>-0.11894048152708668</v>
      </c>
      <c r="K28" s="32">
        <f>SUM(K26:K27)</f>
        <v>14722</v>
      </c>
      <c r="L28" s="34">
        <f>+K28/$K$20</f>
        <v>0.21854727372593263</v>
      </c>
      <c r="M28" s="32">
        <f>SUM(M26:M27)</f>
        <v>13624.34</v>
      </c>
      <c r="N28" s="34">
        <f>+M28/$M$20</f>
        <v>0.22257596497685345</v>
      </c>
      <c r="O28" s="34">
        <f>IF(K28=0,"",(M28-K28)/ABS(K28)+1)</f>
        <v>0.9254408368428203</v>
      </c>
      <c r="P28" s="32">
        <f>SUM(P26:P27)</f>
        <v>14387.54</v>
      </c>
      <c r="Q28" s="34">
        <f>+P28/$P$20</f>
        <v>0.22165780628478826</v>
      </c>
      <c r="R28" s="34">
        <f>IF(P28=0,"",(M28-P28)/ABS(P28))</f>
        <v>-5.3045899437985974E-2</v>
      </c>
      <c r="S28" s="34"/>
      <c r="T28" s="63"/>
      <c r="U28" s="3" t="s">
        <v>49</v>
      </c>
      <c r="V28" s="32"/>
      <c r="W28" s="32"/>
      <c r="X28" s="32"/>
      <c r="Y28" s="32">
        <f t="shared" si="4"/>
        <v>0</v>
      </c>
      <c r="Z28" s="32">
        <f t="shared" si="5"/>
        <v>0</v>
      </c>
      <c r="AA28" s="63">
        <f>+Z28-Y28</f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>
        <v>0</v>
      </c>
      <c r="AG28" s="32"/>
      <c r="AH28" s="2">
        <v>0</v>
      </c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6118</v>
      </c>
      <c r="D30" s="34">
        <f>+C30/$C$20</f>
        <v>0.73826475202123809</v>
      </c>
      <c r="E30" s="32">
        <v>5365.25</v>
      </c>
      <c r="F30" s="34">
        <f>+E30/$E$20</f>
        <v>0.83073723913898445</v>
      </c>
      <c r="G30" s="34">
        <f>IF(C30=0,"",(E30-C30)/ABS(C30)+1)</f>
        <v>0.87696142530238641</v>
      </c>
      <c r="H30" s="32">
        <v>6053.19</v>
      </c>
      <c r="I30" s="34">
        <f>+H30/$H$20</f>
        <v>0.8028678446466988</v>
      </c>
      <c r="J30" s="34">
        <f>IF(H30=0,"",(E30-H30)/ABS(H30))</f>
        <v>-0.11364916680295838</v>
      </c>
      <c r="K30" s="32">
        <v>50604</v>
      </c>
      <c r="L30" s="34">
        <f>+K30/$K$20</f>
        <v>0.75121357421730028</v>
      </c>
      <c r="M30" s="32">
        <v>44951.69</v>
      </c>
      <c r="N30" s="34">
        <f>+M30/$M$20</f>
        <v>0.73435966652992901</v>
      </c>
      <c r="O30" s="34">
        <f>IF(K30=0,"",(M30-K30)/ABS(K30)+1)</f>
        <v>0.88830309856928313</v>
      </c>
      <c r="P30" s="32">
        <v>48056.56</v>
      </c>
      <c r="Q30" s="34">
        <f>+P30/$P$20</f>
        <v>0.74037060311862224</v>
      </c>
      <c r="R30" s="34">
        <f>IF(P30=0,"",(M30-P30)/ABS(P30))</f>
        <v>-6.4608661127637843E-2</v>
      </c>
      <c r="S30" s="34"/>
      <c r="T30" s="63"/>
      <c r="U30" s="20" t="s">
        <v>51</v>
      </c>
      <c r="V30" s="69">
        <f>V21-V23-V25-V27-V28</f>
        <v>13266</v>
      </c>
      <c r="W30" s="69">
        <f>W21-W23-W25-W27-W28</f>
        <v>18479</v>
      </c>
      <c r="X30" s="69">
        <f>X21-X23-X25-X27-X28</f>
        <v>17062</v>
      </c>
      <c r="Y30" s="69">
        <f>Y21-Y23-Y25-Y27-Y28</f>
        <v>13267.115391944437</v>
      </c>
      <c r="Z30" s="69">
        <f>Z21-Z23-Z25-Z27-Z28</f>
        <v>18478.099999999995</v>
      </c>
      <c r="AA30" s="71">
        <f>+Z30-Y30</f>
        <v>5210.9846080555581</v>
      </c>
      <c r="AB30" s="72">
        <f>IF(V30=0,"",(W30-V30)/ABS(V30)+1)</f>
        <v>1.3929594451982512</v>
      </c>
      <c r="AC30" s="69">
        <f>AC21-AC23-AC25-AC27-AC28</f>
        <v>17062</v>
      </c>
      <c r="AD30" s="34">
        <f>IF(AC30=0,"",(Z30-AC30)/ABS(AC30))</f>
        <v>8.2997303950298612E-2</v>
      </c>
      <c r="AF30" s="67">
        <v>14643.115391944437</v>
      </c>
      <c r="AH30" s="2">
        <v>22004.099999999995</v>
      </c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 t="s">
        <v>61</v>
      </c>
      <c r="W31" s="63" t="s">
        <v>61</v>
      </c>
      <c r="X31" s="61" t="s">
        <v>61</v>
      </c>
      <c r="Y31" s="32" t="s">
        <v>61</v>
      </c>
      <c r="Z31" s="32" t="s">
        <v>61</v>
      </c>
      <c r="AA31" s="95"/>
      <c r="AB31" s="61"/>
      <c r="AC31" s="32" t="s">
        <v>107</v>
      </c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6118</v>
      </c>
      <c r="D32" s="34">
        <f>+C32/$C$20</f>
        <v>0.73826475202123809</v>
      </c>
      <c r="E32" s="32">
        <f>SUM(E30:E31)</f>
        <v>5365.25</v>
      </c>
      <c r="F32" s="34">
        <f>+E32/$E$20</f>
        <v>0.83073723913898445</v>
      </c>
      <c r="G32" s="34">
        <f>IF(C32=0,"",(E32-C32)/ABS(C32)+1)</f>
        <v>0.87696142530238641</v>
      </c>
      <c r="H32" s="32">
        <f>SUM(H30:H31)</f>
        <v>6053.19</v>
      </c>
      <c r="I32" s="34">
        <f>+H32/$H$20</f>
        <v>0.8028678446466988</v>
      </c>
      <c r="J32" s="34">
        <f>IF(H32=0,"",(E32-H32)/ABS(H32))</f>
        <v>-0.11364916680295838</v>
      </c>
      <c r="K32" s="32">
        <f>SUM(K30:K31)</f>
        <v>50604</v>
      </c>
      <c r="L32" s="34">
        <f>+K32/$K$20</f>
        <v>0.75121357421730028</v>
      </c>
      <c r="M32" s="32">
        <f>SUM(M30:M31)</f>
        <v>44951.69</v>
      </c>
      <c r="N32" s="34">
        <f>+M32/$M$20</f>
        <v>0.73435966652992901</v>
      </c>
      <c r="O32" s="34">
        <f>IF(K32=0,"",(M32-K32)/ABS(K32)+1)</f>
        <v>0.88830309856928313</v>
      </c>
      <c r="P32" s="32">
        <f>SUM(P30:P31)</f>
        <v>48056.56</v>
      </c>
      <c r="Q32" s="34">
        <f>+P32/$P$20</f>
        <v>0.74037060311862224</v>
      </c>
      <c r="R32" s="34">
        <f>IF(P32=0,"",(M32-P32)/ABS(P32))</f>
        <v>-6.4608661127637843E-2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7762</v>
      </c>
      <c r="D34" s="34">
        <f>+C34/$C$20</f>
        <v>0.93664776155424156</v>
      </c>
      <c r="E34" s="32">
        <f>E28+E32</f>
        <v>6917.95</v>
      </c>
      <c r="F34" s="34">
        <f>+E34/$E$20</f>
        <v>1.0711520774430898</v>
      </c>
      <c r="G34" s="34">
        <f>IF(C34=0,"",(E34-C34)/ABS(C34)+1)</f>
        <v>0.89125869621231635</v>
      </c>
      <c r="H34" s="32">
        <f>H28+H32</f>
        <v>7815.5</v>
      </c>
      <c r="I34" s="34">
        <f>+H34/$H$20</f>
        <v>1.0366127017054272</v>
      </c>
      <c r="J34" s="34">
        <f>IF(H34=0,"",(E34-H34)/ABS(H34))</f>
        <v>-0.1148423005565863</v>
      </c>
      <c r="K34" s="32">
        <f>K28+K32</f>
        <v>65326</v>
      </c>
      <c r="L34" s="34">
        <f>+K34/$K$20</f>
        <v>0.96976084794323292</v>
      </c>
      <c r="M34" s="32">
        <f>M28+M32</f>
        <v>58576.03</v>
      </c>
      <c r="N34" s="34">
        <f>+M34/$M$20</f>
        <v>0.9569356315067824</v>
      </c>
      <c r="O34" s="34">
        <f>IF(K34=0,"",(M34-K34)/ABS(K34)+1)</f>
        <v>0.89667253467225916</v>
      </c>
      <c r="P34" s="32">
        <f>P28+P32</f>
        <v>62444.1</v>
      </c>
      <c r="Q34" s="34">
        <f>+P34/$P$20</f>
        <v>0.9620284094034105</v>
      </c>
      <c r="R34" s="34">
        <f>IF(P34=0,"",(M34-P34)/ABS(P34))</f>
        <v>-6.194452318153356E-2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419</v>
      </c>
      <c r="D36" s="45">
        <f>+C36/$C$20</f>
        <v>5.0561119826233861E-2</v>
      </c>
      <c r="E36" s="69">
        <f>E24-E34</f>
        <v>-459.52999999999975</v>
      </c>
      <c r="F36" s="45">
        <f>+E36/$E$20</f>
        <v>-7.1152077443089753E-2</v>
      </c>
      <c r="G36" s="45">
        <f>IF(C36=0,"",(E36-C36)/ABS(C36)+1)</f>
        <v>-1.0967303102625294</v>
      </c>
      <c r="H36" s="69">
        <f>H24-H34</f>
        <v>-276.03999999999996</v>
      </c>
      <c r="I36" s="45">
        <f>+H36/$H$20</f>
        <v>-3.6612701705427173E-2</v>
      </c>
      <c r="J36" s="45">
        <f>IF(H36=0,"",(E36-H36)/ABS(H36))</f>
        <v>-0.66472250398492905</v>
      </c>
      <c r="K36" s="69">
        <f>K24-K34</f>
        <v>1164</v>
      </c>
      <c r="L36" s="45">
        <f>+K36/$K$20</f>
        <v>1.7279515461009753E-2</v>
      </c>
      <c r="M36" s="69">
        <f>M24-M34</f>
        <v>2014.3999999999942</v>
      </c>
      <c r="N36" s="45">
        <f>+M36/$M$20</f>
        <v>3.290853163157792E-2</v>
      </c>
      <c r="O36" s="45">
        <f>IF(K36=0,"",(M36-K36)/ABS(K36)+1)</f>
        <v>1.7305841924398575</v>
      </c>
      <c r="P36" s="69">
        <f>P24-P34</f>
        <v>2201.2200000000012</v>
      </c>
      <c r="Q36" s="45">
        <f>+P36/$P$20</f>
        <v>3.3912510154633931E-2</v>
      </c>
      <c r="R36" s="45">
        <f>IF(P36=0,"",(M36-P36)/ABS(P36))</f>
        <v>-8.4871116926071397E-2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V37" s="54"/>
      <c r="W37" s="54"/>
      <c r="X37" s="54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19.100000000000001</v>
      </c>
      <c r="N38" s="34">
        <f>+M38/$M$20</f>
        <v>3.1202986207463267E-4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V38" s="55"/>
      <c r="W38" s="55"/>
      <c r="X38" s="96"/>
    </row>
    <row r="39" spans="1:34" x14ac:dyDescent="0.2">
      <c r="B39" s="3" t="s">
        <v>57</v>
      </c>
      <c r="C39" s="32">
        <v>0</v>
      </c>
      <c r="D39" s="34">
        <f>+C39/$C$20</f>
        <v>0</v>
      </c>
      <c r="E39" s="32">
        <v>10.65</v>
      </c>
      <c r="F39" s="34">
        <f>+E39/$E$20</f>
        <v>1.6490101294124569E-3</v>
      </c>
      <c r="G39" s="34" t="str">
        <f>IF(C39=0,"",(E39-C39)/ABS(C39)+1)</f>
        <v/>
      </c>
      <c r="H39" s="32">
        <v>4.54</v>
      </c>
      <c r="I39" s="34">
        <f>+H39/$H$20</f>
        <v>6.0216514180060641E-4</v>
      </c>
      <c r="J39" s="34">
        <f>IF(H39=0,"",(E39-H39)/ABS(H39))</f>
        <v>1.3458149779735684</v>
      </c>
      <c r="K39" s="32">
        <v>0</v>
      </c>
      <c r="L39" s="34">
        <f>+K39/$K$20</f>
        <v>0</v>
      </c>
      <c r="M39" s="32">
        <v>44.72</v>
      </c>
      <c r="N39" s="34">
        <f>+M39/$M$20</f>
        <v>7.3057462994646977E-4</v>
      </c>
      <c r="O39" s="34" t="str">
        <f>IF(K39=0,"",(M39-K39)/ABS(K39)+1)</f>
        <v/>
      </c>
      <c r="P39" s="32">
        <v>11.31</v>
      </c>
      <c r="Q39" s="34">
        <f>+P39/$P$20</f>
        <v>1.742445052511378E-4</v>
      </c>
      <c r="R39" s="34">
        <f>IF(P39=0,"",(M39-P39)/ABS(P39))</f>
        <v>2.9540229885057467</v>
      </c>
      <c r="S39" s="34"/>
      <c r="T39" s="63"/>
      <c r="V39" s="55"/>
      <c r="W39" s="55"/>
    </row>
    <row r="40" spans="1:34" x14ac:dyDescent="0.2">
      <c r="J40" s="34"/>
      <c r="R40" s="34"/>
      <c r="S40" s="34"/>
      <c r="V40" s="55"/>
      <c r="W40" s="55"/>
      <c r="AG40" s="55"/>
    </row>
    <row r="41" spans="1:34" x14ac:dyDescent="0.2">
      <c r="B41" s="3" t="s">
        <v>58</v>
      </c>
      <c r="C41" s="32">
        <f>C36+C38-C39</f>
        <v>419</v>
      </c>
      <c r="D41" s="34">
        <f>+C41/$C$20</f>
        <v>5.0561119826233861E-2</v>
      </c>
      <c r="E41" s="32">
        <f>E36+E38-E39</f>
        <v>-470.17999999999972</v>
      </c>
      <c r="F41" s="34">
        <f>+E41/$E$20</f>
        <v>-7.2801087572502213E-2</v>
      </c>
      <c r="G41" s="34">
        <f>IF(C41=0,"",(E41-C41)/ABS(C41)+1)</f>
        <v>-1.122147971360381</v>
      </c>
      <c r="H41" s="32">
        <f>H36+H38-H39</f>
        <v>-280.58</v>
      </c>
      <c r="I41" s="34">
        <f>+H41/$H$20</f>
        <v>-3.721486684722778E-2</v>
      </c>
      <c r="J41" s="34">
        <f>IF(H41=0,"",(E41-H41)/ABS(H41))</f>
        <v>-0.67574310357117306</v>
      </c>
      <c r="K41" s="32">
        <f>K36+K38-K39</f>
        <v>1164</v>
      </c>
      <c r="L41" s="34">
        <f>+K41/$K$20</f>
        <v>1.7279515461009753E-2</v>
      </c>
      <c r="M41" s="32">
        <f>M36+M38-M39</f>
        <v>1988.7799999999941</v>
      </c>
      <c r="N41" s="34">
        <f>+M41/$M$20</f>
        <v>3.2489986863706077E-2</v>
      </c>
      <c r="O41" s="34">
        <f>IF(K41=0,"",(M41-K41)/ABS(K41)+1)</f>
        <v>1.7085738831615069</v>
      </c>
      <c r="P41" s="32">
        <f>P36+P38-P39</f>
        <v>2189.9100000000012</v>
      </c>
      <c r="Q41" s="34">
        <f>+P41/$P$20</f>
        <v>3.3738265649382794E-2</v>
      </c>
      <c r="R41" s="34">
        <f>IF(P41=0,"",(M41-P41)/ABS(P41))</f>
        <v>-9.1843957057599193E-2</v>
      </c>
      <c r="S41" s="34"/>
      <c r="T41" s="63"/>
      <c r="V41" s="55"/>
      <c r="W41" s="55"/>
    </row>
    <row r="42" spans="1:34" x14ac:dyDescent="0.2">
      <c r="A42" s="94"/>
      <c r="B42" s="3" t="s">
        <v>44</v>
      </c>
      <c r="C42" s="32">
        <v>0</v>
      </c>
      <c r="D42" s="34">
        <f>+C42/$C$20</f>
        <v>0</v>
      </c>
      <c r="E42" s="32">
        <v>0</v>
      </c>
      <c r="F42" s="34">
        <f>+E42/$E$20</f>
        <v>0</v>
      </c>
      <c r="G42" s="34" t="str">
        <f>IF(C42=0,"",(E42-C42)/ABS(C42)+1)</f>
        <v/>
      </c>
      <c r="H42" s="32">
        <v>-419.87</v>
      </c>
      <c r="I42" s="34">
        <f>+H42/$H$20</f>
        <v>-5.5689664777052998E-2</v>
      </c>
      <c r="J42" s="34">
        <f>IF(H42=0,"",(E42-H42)/ABS(H42))</f>
        <v>1</v>
      </c>
      <c r="K42" s="32">
        <v>0</v>
      </c>
      <c r="L42" s="34">
        <f>+K42/$K$20</f>
        <v>0</v>
      </c>
      <c r="M42" s="32">
        <v>362.9</v>
      </c>
      <c r="N42" s="34">
        <f>+M42/$M$20</f>
        <v>5.9285673794180205E-3</v>
      </c>
      <c r="O42" s="34" t="str">
        <f>IF(K42=0,"",(M42-K42)/ABS(K42)+1)</f>
        <v/>
      </c>
      <c r="P42" s="32">
        <v>547.48</v>
      </c>
      <c r="Q42" s="34">
        <f>+P42/$P$20</f>
        <v>8.4346049279304079E-3</v>
      </c>
      <c r="R42" s="34">
        <f>IF(P42=0,"",(M42-P42)/ABS(P42))</f>
        <v>-0.33714473588076282</v>
      </c>
      <c r="S42" s="34"/>
      <c r="T42" s="63"/>
      <c r="V42" s="55"/>
      <c r="W42" s="55"/>
      <c r="X42" s="97"/>
    </row>
    <row r="43" spans="1:34" x14ac:dyDescent="0.2">
      <c r="B43" s="20" t="s">
        <v>59</v>
      </c>
      <c r="C43" s="69">
        <f>C41-C42</f>
        <v>419</v>
      </c>
      <c r="D43" s="45">
        <f>+C43/$C$20</f>
        <v>5.0561119826233861E-2</v>
      </c>
      <c r="E43" s="69">
        <f>E41-E42</f>
        <v>-470.17999999999972</v>
      </c>
      <c r="F43" s="45">
        <f>+E43/$E$20</f>
        <v>-7.2801087572502213E-2</v>
      </c>
      <c r="G43" s="45">
        <f>IF(C43=0,"",(E43-C43)/ABS(C43)+1)</f>
        <v>-1.122147971360381</v>
      </c>
      <c r="H43" s="69">
        <f>H41-H42</f>
        <v>139.29000000000002</v>
      </c>
      <c r="I43" s="45">
        <f>+H43/$H$20</f>
        <v>1.8474797929825214E-2</v>
      </c>
      <c r="J43" s="45">
        <f>IF(H43=0,"",(E43-H43)/ABS(H43))</f>
        <v>-4.3755474190537704</v>
      </c>
      <c r="K43" s="69">
        <f>K41-K42</f>
        <v>1164</v>
      </c>
      <c r="L43" s="45">
        <f>+K43/$K$20</f>
        <v>1.7279515461009753E-2</v>
      </c>
      <c r="M43" s="69">
        <f>M41-M42</f>
        <v>1625.8799999999942</v>
      </c>
      <c r="N43" s="45">
        <f>+M43/$M$20</f>
        <v>2.656141948428806E-2</v>
      </c>
      <c r="O43" s="45">
        <f>IF(K43=0,"",(M43-K43)/ABS(K43)+1)</f>
        <v>1.3968041237113353</v>
      </c>
      <c r="P43" s="69">
        <f>P41-P42</f>
        <v>1642.4300000000012</v>
      </c>
      <c r="Q43" s="45">
        <f>+P43/$P$20</f>
        <v>2.5303660721452383E-2</v>
      </c>
      <c r="R43" s="45">
        <f>IF(P43=0,"",(M43-P43)/ABS(P43))</f>
        <v>-1.0076532942047448E-2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704</v>
      </c>
      <c r="D45" s="34">
        <f>+C45/$C$20</f>
        <v>8.4952334982502709E-2</v>
      </c>
      <c r="E45" s="32">
        <v>-217.80999999999975</v>
      </c>
      <c r="F45" s="34">
        <f>+E45/$E$20</f>
        <v>-3.3724966787542422E-2</v>
      </c>
      <c r="G45" s="34">
        <f>IF(C45=0,"",(E45-C45)/ABS(C45)+1)</f>
        <v>-0.30938920454545404</v>
      </c>
      <c r="H45" s="32">
        <v>-4.9899999999999523</v>
      </c>
      <c r="I45" s="34">
        <f>+H45/$H$20</f>
        <v>-6.6185111400550597E-4</v>
      </c>
      <c r="J45" s="34">
        <f>IF(H45=0,"",(E45-H45)/ABS(H45))</f>
        <v>-42.649298597194758</v>
      </c>
      <c r="K45" s="32">
        <v>3456</v>
      </c>
      <c r="L45" s="34">
        <f>+K45/$K$20</f>
        <v>5.1304128379080507E-2</v>
      </c>
      <c r="M45" s="32">
        <v>4129.4899999999943</v>
      </c>
      <c r="N45" s="34">
        <f>+M45/$M$20</f>
        <v>6.7461999745475024E-2</v>
      </c>
      <c r="O45" s="34">
        <f>IF(K45=0,"",(M45-K45)/ABS(K45)+1)</f>
        <v>1.194875578703702</v>
      </c>
      <c r="P45" s="32">
        <v>4630.3900000000012</v>
      </c>
      <c r="Q45" s="34">
        <f>+P45/$P$20</f>
        <v>7.1336871323591164E-2</v>
      </c>
      <c r="R45" s="34">
        <f>IF(P45=0,"",(M45-P45)/ABS(P45))</f>
        <v>-0.10817663306978609</v>
      </c>
      <c r="S45" s="34"/>
      <c r="T45" s="63"/>
    </row>
    <row r="46" spans="1:34" x14ac:dyDescent="0.2">
      <c r="B46" s="3" t="s">
        <v>35</v>
      </c>
      <c r="C46" s="32">
        <v>5935</v>
      </c>
      <c r="D46" s="34">
        <f>+C46/$C$20</f>
        <v>0.71618197176300225</v>
      </c>
      <c r="E46" s="32">
        <v>5245.01</v>
      </c>
      <c r="F46" s="34">
        <f>+E46/$E$20</f>
        <v>0.81211968252297007</v>
      </c>
      <c r="G46" s="34">
        <f>IF(C46=0,"",(E46-C46)/ABS(C46)+1)</f>
        <v>0.88374220724515595</v>
      </c>
      <c r="H46" s="32">
        <v>5926.73</v>
      </c>
      <c r="I46" s="34">
        <f>+H46/$H$20</f>
        <v>0.78609476010218238</v>
      </c>
      <c r="J46" s="34">
        <f>IF(H46=0,"",(E46-H46)/ABS(H46))</f>
        <v>-0.11502464259380796</v>
      </c>
      <c r="K46" s="32">
        <v>47480</v>
      </c>
      <c r="L46" s="34">
        <f>+K46/$K$20</f>
        <v>0.70483796743019167</v>
      </c>
      <c r="M46" s="32">
        <v>43139.49</v>
      </c>
      <c r="N46" s="34">
        <f>+M46/$M$20</f>
        <v>0.70475440390942379</v>
      </c>
      <c r="O46" s="34">
        <f>IF(K46=0,"",(M46-K46)/ABS(K46)+1)</f>
        <v>0.90858235046335301</v>
      </c>
      <c r="P46" s="32">
        <v>45412.480000000003</v>
      </c>
      <c r="Q46" s="34">
        <f>+P46/$P$20</f>
        <v>0.69963528822521581</v>
      </c>
      <c r="R46" s="34">
        <f>IF(P46=0,"",(M46-P46)/ABS(P46))</f>
        <v>-5.005210021562366E-2</v>
      </c>
      <c r="S46" s="34"/>
    </row>
    <row r="47" spans="1:34" x14ac:dyDescent="0.2">
      <c r="B47" s="3"/>
      <c r="H47" s="2" t="s">
        <v>61</v>
      </c>
      <c r="P47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110</v>
      </c>
      <c r="C56" s="55" t="s">
        <v>111</v>
      </c>
      <c r="E56" s="55" t="s">
        <v>112</v>
      </c>
      <c r="N56" s="55" t="s">
        <v>113</v>
      </c>
      <c r="R56" s="55" t="s">
        <v>114</v>
      </c>
      <c r="S56" s="55"/>
    </row>
    <row r="57" spans="2:19" x14ac:dyDescent="0.2">
      <c r="B57" s="2" t="s">
        <v>108</v>
      </c>
      <c r="C57" s="55">
        <f>+C36</f>
        <v>419</v>
      </c>
      <c r="E57" s="55">
        <f>+E36</f>
        <v>-459.52999999999975</v>
      </c>
      <c r="N57" s="55">
        <f>+K36</f>
        <v>1164</v>
      </c>
      <c r="R57" s="55">
        <f>+M36</f>
        <v>2014.3999999999942</v>
      </c>
      <c r="S57" s="55"/>
    </row>
    <row r="58" spans="2:19" x14ac:dyDescent="0.2">
      <c r="B58" s="2" t="s">
        <v>115</v>
      </c>
      <c r="C58" s="55">
        <f>+'VENEZUELA USD'!C36</f>
        <v>7168.4580014838612</v>
      </c>
      <c r="E58" s="55">
        <f>+'VENEZUELA USD'!E36</f>
        <v>-166.82468735525617</v>
      </c>
      <c r="N58" s="55">
        <f>+'VENEZUELA USD'!K36</f>
        <v>42560.788483631492</v>
      </c>
      <c r="R58" s="55">
        <f>+'VENEZUELA USD'!O36</f>
        <v>5.8554049856471391E-2</v>
      </c>
      <c r="S58" s="55"/>
    </row>
    <row r="59" spans="2:19" x14ac:dyDescent="0.2">
      <c r="B59" s="2" t="s">
        <v>116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-2250</v>
      </c>
      <c r="S59" s="55"/>
    </row>
    <row r="60" spans="2:19" x14ac:dyDescent="0.2">
      <c r="B60" s="2" t="s">
        <v>117</v>
      </c>
      <c r="C60" s="55">
        <f>SUM(C57:C59)</f>
        <v>7587.4580014838612</v>
      </c>
      <c r="E60" s="55">
        <f>SUM(E57:E59)</f>
        <v>-626.35468735525592</v>
      </c>
      <c r="N60" s="55">
        <f>SUM(N57:N59)</f>
        <v>43724.788483631492</v>
      </c>
      <c r="R60" s="55">
        <f>SUM(R57:R59)</f>
        <v>-235.54144595014941</v>
      </c>
      <c r="S60" s="55"/>
    </row>
    <row r="61" spans="2:19" x14ac:dyDescent="0.2">
      <c r="B61" s="2" t="s">
        <v>118</v>
      </c>
      <c r="C61" s="55">
        <f>+C60-C58</f>
        <v>419</v>
      </c>
      <c r="E61" s="55">
        <f>+E60-E58</f>
        <v>-459.52999999999975</v>
      </c>
    </row>
    <row r="62" spans="2:19" x14ac:dyDescent="0.2">
      <c r="B62" s="79" t="s">
        <v>119</v>
      </c>
    </row>
    <row r="63" spans="2:19" x14ac:dyDescent="0.2">
      <c r="B63" s="2" t="s">
        <v>108</v>
      </c>
      <c r="C63" s="55">
        <f>+C43</f>
        <v>419</v>
      </c>
      <c r="E63" s="55">
        <f>+E43</f>
        <v>-470.17999999999972</v>
      </c>
      <c r="K63" s="2">
        <f>+E63/C63</f>
        <v>-1.1221479713603812</v>
      </c>
    </row>
    <row r="64" spans="2:19" x14ac:dyDescent="0.2">
      <c r="B64" s="2" t="s">
        <v>120</v>
      </c>
      <c r="C64" s="55">
        <f>+'VENEZUELA USD'!C43</f>
        <v>0</v>
      </c>
      <c r="E64" s="55">
        <f>+'VENEZUELA USD'!E43</f>
        <v>-216.02292728114782</v>
      </c>
    </row>
    <row r="65" spans="2:6" x14ac:dyDescent="0.2">
      <c r="B65" s="2" t="s">
        <v>116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121</v>
      </c>
      <c r="C66" s="55">
        <f>SUM(C63:C65)</f>
        <v>419</v>
      </c>
      <c r="E66" s="55">
        <f>SUM(E63:E65)</f>
        <v>-686.20292728114759</v>
      </c>
    </row>
    <row r="68" spans="2:6" x14ac:dyDescent="0.2">
      <c r="B68" s="79" t="s">
        <v>122</v>
      </c>
      <c r="C68" s="98">
        <f>+C63+C65</f>
        <v>419</v>
      </c>
      <c r="D68" s="79"/>
      <c r="E68" s="98">
        <f>+E63+E65</f>
        <v>-470.17999999999972</v>
      </c>
      <c r="F68" s="96">
        <f>+E68/C68</f>
        <v>-1.1221479713603812</v>
      </c>
    </row>
  </sheetData>
  <conditionalFormatting sqref="J10:J46">
    <cfRule type="cellIs" dxfId="4" priority="2" operator="lessThan">
      <formula>0</formula>
    </cfRule>
  </conditionalFormatting>
  <conditionalFormatting sqref="R10:S46">
    <cfRule type="cellIs" dxfId="3" priority="3" operator="lessThan">
      <formula>0</formula>
    </cfRule>
  </conditionalFormatting>
  <conditionalFormatting sqref="AD10:AD11 AD13:AD17 AD19:AD28 AD30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BF5B-42C1-426B-BB61-F8BEB29C7C1C}">
  <sheetPr>
    <tabColor theme="0" tint="-0.14999847407452621"/>
  </sheetPr>
  <dimension ref="A1:AH48"/>
  <sheetViews>
    <sheetView showGridLines="0" zoomScale="98" zoomScaleNormal="98" workbookViewId="0">
      <selection activeCell="P3" sqref="P3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123</v>
      </c>
      <c r="T3" s="18" t="s">
        <v>123</v>
      </c>
    </row>
    <row r="4" spans="1:34" x14ac:dyDescent="0.2">
      <c r="B4" s="3" t="s">
        <v>102</v>
      </c>
      <c r="C4" s="91"/>
      <c r="S4" s="99"/>
      <c r="T4" s="3" t="s">
        <v>21</v>
      </c>
    </row>
    <row r="5" spans="1:34" ht="15.75" customHeight="1" thickBot="1" x14ac:dyDescent="0.25">
      <c r="B5" s="3" t="s">
        <v>124</v>
      </c>
      <c r="E5" s="100"/>
      <c r="T5" s="3" t="s">
        <v>124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AGOSTO de 2024</v>
      </c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AGOSTO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2024</v>
      </c>
      <c r="D7" s="61"/>
      <c r="E7" s="61" t="str">
        <f>+'COL. CONS.$'!E7:E7</f>
        <v>Real 2024</v>
      </c>
      <c r="F7" s="61"/>
      <c r="G7" s="61" t="s">
        <v>24</v>
      </c>
      <c r="H7" s="61" t="str">
        <f>+'COL. CONS.$'!H7:H7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>
        <v>258924</v>
      </c>
      <c r="D10" s="68">
        <f t="shared" ref="D10:D20" si="0">IF($C$20=0," ",C10/$C$20)</f>
        <v>0.57821777756409032</v>
      </c>
      <c r="E10" s="32">
        <v>115280</v>
      </c>
      <c r="F10" s="68">
        <f t="shared" ref="F10:F15" si="1">+E10/$E$20</f>
        <v>0.53403163868775716</v>
      </c>
      <c r="G10" s="68">
        <f t="shared" ref="G10:G15" si="2">IF(C10=0,"",(E10-C10)/ABS(C10)+1)</f>
        <v>0.44522717090729325</v>
      </c>
      <c r="H10" s="32">
        <v>88423</v>
      </c>
      <c r="I10" s="68">
        <f t="shared" ref="I10:I15" si="3">+H10/$H$20</f>
        <v>0.39870409782843952</v>
      </c>
      <c r="J10" s="68">
        <f t="shared" ref="J10:J15" si="4">IF(H10=0,"",(E10-H10)/ABS(H10))</f>
        <v>0.30373319159042328</v>
      </c>
      <c r="K10" s="32">
        <v>1395119</v>
      </c>
      <c r="L10" s="68">
        <f t="shared" ref="L10:L20" si="5">IF($K$20=0," ",K10/$K$20)</f>
        <v>0.5339004211853402</v>
      </c>
      <c r="M10" s="32">
        <v>783302</v>
      </c>
      <c r="N10" s="68">
        <f t="shared" ref="N10:N15" si="6">+M10/$M$20</f>
        <v>0.42043196668388166</v>
      </c>
      <c r="O10" s="68">
        <f>IF(K10=0,"",(M10-K10)/ABS(K10)+1)</f>
        <v>0.56145891497427813</v>
      </c>
      <c r="P10" s="32">
        <v>654803</v>
      </c>
      <c r="Q10" s="68">
        <f t="shared" ref="Q10:Q15" si="7">+P10/$P$20</f>
        <v>0.4535589111311214</v>
      </c>
      <c r="R10" s="68">
        <f t="shared" ref="R10:R15" si="8">IF(P10=0,"",(M10-P10)/ABS(P10))</f>
        <v>0.19624070140179564</v>
      </c>
      <c r="T10" s="3" t="s">
        <v>31</v>
      </c>
      <c r="U10" s="32">
        <v>236652</v>
      </c>
      <c r="V10" s="32">
        <v>221607.41000000003</v>
      </c>
      <c r="W10" s="32">
        <v>146375</v>
      </c>
      <c r="X10" s="32">
        <v>236652</v>
      </c>
      <c r="Y10" s="32">
        <v>253979</v>
      </c>
      <c r="Z10" s="63">
        <f>+Y10-X10</f>
        <v>17327</v>
      </c>
      <c r="AA10" s="68">
        <f>IF(X10=0,"",(Y10-X10)/ABS(X10)+1)</f>
        <v>1.073217213461116</v>
      </c>
      <c r="AB10" s="32">
        <v>37026</v>
      </c>
      <c r="AC10" s="68">
        <f>IF(W10=0,"",(Y10-AB10)/ABS(AB10))</f>
        <v>5.8594771241830061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>
        <v>26380.799999999999</v>
      </c>
      <c r="D11" s="68">
        <f t="shared" si="0"/>
        <v>5.8912451323024341E-2</v>
      </c>
      <c r="E11" s="32">
        <v>28920.6</v>
      </c>
      <c r="F11" s="68">
        <f t="shared" si="1"/>
        <v>0.13397393658772683</v>
      </c>
      <c r="G11" s="68">
        <f t="shared" si="2"/>
        <v>1.0962745633187772</v>
      </c>
      <c r="H11" s="32">
        <v>28281</v>
      </c>
      <c r="I11" s="68">
        <f t="shared" si="3"/>
        <v>0.12752056128706443</v>
      </c>
      <c r="J11" s="68">
        <f t="shared" si="4"/>
        <v>2.261589052720903E-2</v>
      </c>
      <c r="K11" s="32">
        <v>209837.56768000001</v>
      </c>
      <c r="L11" s="68">
        <f t="shared" si="5"/>
        <v>8.0303089388689672E-2</v>
      </c>
      <c r="M11" s="32">
        <v>236503.93</v>
      </c>
      <c r="N11" s="68">
        <f t="shared" si="6"/>
        <v>0.12694185948506079</v>
      </c>
      <c r="O11" s="68">
        <f>IF(K11=0,"",(M11-K11)/ABS(K11)+1)</f>
        <v>1.1270809732252802</v>
      </c>
      <c r="P11" s="32">
        <v>279625</v>
      </c>
      <c r="Q11" s="68">
        <f t="shared" si="7"/>
        <v>0.19368636143243056</v>
      </c>
      <c r="R11" s="68">
        <f t="shared" si="8"/>
        <v>-0.15421035315154227</v>
      </c>
      <c r="T11" s="3" t="s">
        <v>32</v>
      </c>
      <c r="U11" s="32"/>
      <c r="V11" s="32">
        <v>224207.08</v>
      </c>
      <c r="W11" s="32">
        <v>189762</v>
      </c>
      <c r="X11" s="32">
        <f>+AD8+U11</f>
        <v>0</v>
      </c>
      <c r="Y11" s="32">
        <v>1602528</v>
      </c>
      <c r="Z11" s="63">
        <f>+Y11-X11</f>
        <v>1602528</v>
      </c>
      <c r="AA11" s="68" t="str">
        <f>IF(X11=0,"",(Y11-X11)/ABS(X11)+1)</f>
        <v/>
      </c>
      <c r="AB11" s="32">
        <v>1419683</v>
      </c>
      <c r="AC11" s="68">
        <f>IF(AB11=0,"",(Y11-AB11)/ABS(AB11))</f>
        <v>0.12879283614722442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>
        <v>83047.483872000012</v>
      </c>
      <c r="D12" s="68">
        <f t="shared" si="0"/>
        <v>0.18545801685729205</v>
      </c>
      <c r="E12" s="32">
        <v>33589.160000000003</v>
      </c>
      <c r="F12" s="68">
        <f t="shared" si="1"/>
        <v>0.15560092086177366</v>
      </c>
      <c r="G12" s="68">
        <f t="shared" si="2"/>
        <v>0.40445728677066883</v>
      </c>
      <c r="H12" s="32">
        <v>30674</v>
      </c>
      <c r="I12" s="68">
        <f t="shared" si="3"/>
        <v>0.13831072794170696</v>
      </c>
      <c r="J12" s="68">
        <f t="shared" si="4"/>
        <v>9.5036839016756983E-2</v>
      </c>
      <c r="K12" s="32">
        <v>520956.49107249995</v>
      </c>
      <c r="L12" s="68">
        <f t="shared" si="5"/>
        <v>0.19936571002390813</v>
      </c>
      <c r="M12" s="32">
        <v>303480.80999999994</v>
      </c>
      <c r="N12" s="68">
        <f t="shared" si="6"/>
        <v>0.1628912396484592</v>
      </c>
      <c r="O12" s="68">
        <f>IF(K12=0,"",(M12-K12)/ABS(K12)+1)</f>
        <v>0.58254540484795569</v>
      </c>
      <c r="P12" s="32">
        <v>208651</v>
      </c>
      <c r="Q12" s="68">
        <f t="shared" si="7"/>
        <v>0.14452517836115536</v>
      </c>
      <c r="R12" s="68">
        <f t="shared" si="8"/>
        <v>0.45449008152369236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>
        <v>26380.799999999999</v>
      </c>
      <c r="D13" s="68">
        <f t="shared" si="0"/>
        <v>5.8912451323024341E-2</v>
      </c>
      <c r="E13" s="32">
        <v>0</v>
      </c>
      <c r="F13" s="68">
        <f t="shared" si="1"/>
        <v>0</v>
      </c>
      <c r="G13" s="68">
        <f t="shared" si="2"/>
        <v>0</v>
      </c>
      <c r="H13" s="32">
        <v>43482</v>
      </c>
      <c r="I13" s="68">
        <f t="shared" si="3"/>
        <v>0.19606269388932979</v>
      </c>
      <c r="J13" s="68">
        <f t="shared" si="4"/>
        <v>-1</v>
      </c>
      <c r="K13" s="32">
        <v>158020.97167999999</v>
      </c>
      <c r="L13" s="68">
        <f t="shared" si="5"/>
        <v>6.0473309686176389E-2</v>
      </c>
      <c r="M13" s="32">
        <v>251986.59</v>
      </c>
      <c r="N13" s="68">
        <f t="shared" si="6"/>
        <v>0.1352520708636834</v>
      </c>
      <c r="O13" s="68">
        <f>IF(K13=0,"",(M13-K13)/ABS(K13)+1)</f>
        <v>1.5946401754210502</v>
      </c>
      <c r="P13" s="32">
        <v>82348</v>
      </c>
      <c r="Q13" s="68">
        <f t="shared" si="7"/>
        <v>5.7039551153286697E-2</v>
      </c>
      <c r="R13" s="68">
        <f t="shared" si="8"/>
        <v>2.0600207655316463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>
        <v>53063.594207999995</v>
      </c>
      <c r="D15" s="68">
        <f t="shared" si="0"/>
        <v>0.118499302932569</v>
      </c>
      <c r="E15" s="32">
        <v>38077.599999999999</v>
      </c>
      <c r="F15" s="68">
        <f t="shared" si="1"/>
        <v>0.17639350386274236</v>
      </c>
      <c r="G15" s="68">
        <f t="shared" si="2"/>
        <v>0.71758426032625078</v>
      </c>
      <c r="H15" s="32">
        <v>30916</v>
      </c>
      <c r="I15" s="68">
        <f t="shared" si="3"/>
        <v>0.13940191905345933</v>
      </c>
      <c r="J15" s="68">
        <f t="shared" si="4"/>
        <v>0.23164704360201832</v>
      </c>
      <c r="K15" s="32">
        <v>329135.64443799999</v>
      </c>
      <c r="L15" s="68">
        <f t="shared" si="5"/>
        <v>0.12595746971588559</v>
      </c>
      <c r="M15" s="32">
        <v>287815.25999999995</v>
      </c>
      <c r="N15" s="68">
        <f t="shared" si="6"/>
        <v>0.15448286331891495</v>
      </c>
      <c r="O15" s="68"/>
      <c r="P15" s="32">
        <v>218273</v>
      </c>
      <c r="Q15" s="68">
        <f t="shared" si="7"/>
        <v>0.15118999792200596</v>
      </c>
      <c r="R15" s="68">
        <f t="shared" si="8"/>
        <v>0.3186022091600883</v>
      </c>
      <c r="T15" s="3" t="s">
        <v>35</v>
      </c>
      <c r="U15" s="32"/>
      <c r="V15" s="32">
        <v>70330.87</v>
      </c>
      <c r="W15" s="32">
        <v>49790</v>
      </c>
      <c r="X15" s="32">
        <f>+AD11+U15</f>
        <v>0</v>
      </c>
      <c r="Y15" s="32">
        <v>568337</v>
      </c>
      <c r="Z15" s="63">
        <f>+X15-Y15</f>
        <v>-568337</v>
      </c>
      <c r="AA15" s="68" t="str">
        <f>IF(X15=0,"",(Y15-X15)/ABS(X15)+1)</f>
        <v/>
      </c>
      <c r="AB15" s="32">
        <v>326823</v>
      </c>
      <c r="AC15" s="68">
        <f>IF(AB15=0,"",(Y15-AB15)/ABS(AB15))</f>
        <v>0.73897491914583735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>
        <f t="shared" si="0"/>
        <v>0</v>
      </c>
      <c r="E16" s="32"/>
      <c r="F16" s="68"/>
      <c r="G16" s="68"/>
      <c r="H16" s="32"/>
      <c r="I16" s="68"/>
      <c r="J16" s="68"/>
      <c r="K16" s="32"/>
      <c r="L16" s="68">
        <f t="shared" si="5"/>
        <v>0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90535.09</v>
      </c>
      <c r="W16" s="32">
        <v>70474</v>
      </c>
      <c r="X16" s="32">
        <f>+AD13+U16</f>
        <v>0</v>
      </c>
      <c r="Y16" s="32">
        <v>689621</v>
      </c>
      <c r="Z16" s="63">
        <f>+X16-Y16</f>
        <v>-689621</v>
      </c>
      <c r="AA16" s="68" t="str">
        <f>IF(X16=0,"",(Y16-X16)/ABS(X16)+1)</f>
        <v/>
      </c>
      <c r="AB16" s="32">
        <v>749514</v>
      </c>
      <c r="AC16" s="68">
        <f>IF(AB16=0,"",(Y16-AB16)/ABS(AB16))</f>
        <v>-7.9909114439490128E-2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>
        <f t="shared" si="0"/>
        <v>0</v>
      </c>
      <c r="E17" s="32"/>
      <c r="F17" s="68"/>
      <c r="G17" s="68"/>
      <c r="H17" s="32"/>
      <c r="I17" s="68"/>
      <c r="J17" s="68"/>
      <c r="K17" s="32"/>
      <c r="L17" s="68">
        <f t="shared" si="5"/>
        <v>0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160865.96</v>
      </c>
      <c r="W17" s="32">
        <v>120264</v>
      </c>
      <c r="X17" s="32">
        <f>X13+X14+X15+X16</f>
        <v>0</v>
      </c>
      <c r="Y17" s="32">
        <f>Y13+Y14+Y15+Y16</f>
        <v>1257958</v>
      </c>
      <c r="Z17" s="63">
        <f>+Y17-X17</f>
        <v>1257958</v>
      </c>
      <c r="AA17" s="68" t="str">
        <f>IF(X17=0,"",(Y17-X17)/ABS(X17)+1)</f>
        <v/>
      </c>
      <c r="AB17" s="32">
        <v>1076337</v>
      </c>
      <c r="AC17" s="68">
        <f>IF(AB17=0,"",(Y17-AB17)/ABS(AB17))</f>
        <v>0.16873990209386094</v>
      </c>
      <c r="AD17" s="67"/>
      <c r="AE17" s="67"/>
      <c r="AF17" s="67"/>
      <c r="AG17" s="67"/>
      <c r="AH17" s="67"/>
    </row>
    <row r="18" spans="2:34" x14ac:dyDescent="0.2">
      <c r="B18" s="3" t="s">
        <v>125</v>
      </c>
      <c r="C18" s="32"/>
      <c r="D18" s="68">
        <f t="shared" si="0"/>
        <v>0</v>
      </c>
      <c r="E18" s="32"/>
      <c r="F18" s="68"/>
      <c r="G18" s="68"/>
      <c r="H18" s="32"/>
      <c r="I18" s="68"/>
      <c r="J18" s="68"/>
      <c r="K18" s="32"/>
      <c r="L18" s="68">
        <f t="shared" si="5"/>
        <v>0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>
        <f t="shared" si="0"/>
        <v>0</v>
      </c>
      <c r="E19" s="32"/>
      <c r="F19" s="68"/>
      <c r="G19" s="68"/>
      <c r="H19" s="32"/>
      <c r="I19" s="68"/>
      <c r="J19" s="68"/>
      <c r="K19" s="32"/>
      <c r="L19" s="68">
        <f t="shared" si="5"/>
        <v>0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63341.119999999995</v>
      </c>
      <c r="W19" s="32">
        <v>69498</v>
      </c>
      <c r="X19" s="32">
        <f>X11-X17</f>
        <v>0</v>
      </c>
      <c r="Y19" s="32">
        <f>+Y11-Y17</f>
        <v>344570</v>
      </c>
      <c r="Z19" s="63">
        <f>+Y19-X19</f>
        <v>344570</v>
      </c>
      <c r="AA19" s="68" t="str">
        <f>IF(X19=0,"",(Y19-X19)/ABS(X19)+1)</f>
        <v/>
      </c>
      <c r="AB19" s="32">
        <v>343346</v>
      </c>
      <c r="AC19" s="68">
        <f>IF(AB19=0,"",(Y19-AB19)/ABS(AB19))</f>
        <v>3.5649170224787822E-3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447796.67807999998</v>
      </c>
      <c r="D20" s="68">
        <f t="shared" si="0"/>
        <v>1</v>
      </c>
      <c r="E20" s="32">
        <f>SUM(E10:E16)</f>
        <v>215867.36000000002</v>
      </c>
      <c r="F20" s="68">
        <f>+E20/$E$20</f>
        <v>1</v>
      </c>
      <c r="G20" s="68">
        <f>IF(C20=0,"",(E20-C20)/ABS(C20)+1)</f>
        <v>0.48206556807336287</v>
      </c>
      <c r="H20" s="32">
        <v>221776</v>
      </c>
      <c r="I20" s="68">
        <f>+H20/$H$20</f>
        <v>1</v>
      </c>
      <c r="J20" s="68">
        <f>IF(H20=0,"",(E20-H20)/ABS(H20))</f>
        <v>-2.6642377894812715E-2</v>
      </c>
      <c r="K20" s="32">
        <f>SUM(K10:K16)</f>
        <v>2613069.6748704999</v>
      </c>
      <c r="L20" s="68">
        <f t="shared" si="5"/>
        <v>1</v>
      </c>
      <c r="M20" s="32">
        <f>SUM(M10:M19)</f>
        <v>1863088.5899999999</v>
      </c>
      <c r="N20" s="68">
        <f>+M20/$M$20</f>
        <v>1</v>
      </c>
      <c r="O20" s="68">
        <f>IF(K20=0,"",(M20-K20)/ABS(K20)+1)</f>
        <v>0.71298848550310168</v>
      </c>
      <c r="P20" s="32">
        <f>SUM(P10:P16)</f>
        <v>1443700</v>
      </c>
      <c r="Q20" s="68">
        <f>+P20/$P$20</f>
        <v>1</v>
      </c>
      <c r="R20" s="68">
        <f>IF(P20=0,"",(M20-P20)/ABS(P20))</f>
        <v>0.29049566391909665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236652</v>
      </c>
      <c r="V21" s="32">
        <f>+V10+V19</f>
        <v>284948.53000000003</v>
      </c>
      <c r="W21" s="32">
        <v>215873</v>
      </c>
      <c r="X21" s="32">
        <f>+X10+X19</f>
        <v>236652</v>
      </c>
      <c r="Y21" s="32">
        <f>+Y10+Y19</f>
        <v>598549</v>
      </c>
      <c r="Z21" s="63">
        <f>+Y21-X21</f>
        <v>361897</v>
      </c>
      <c r="AA21" s="68">
        <f>IF(X21=0,"",(Y21-X21)/ABS(X21)+1)</f>
        <v>2.5292370231394621</v>
      </c>
      <c r="AB21" s="32">
        <v>380372</v>
      </c>
      <c r="AC21" s="68">
        <f>IF(AB21=0,"",(Y21-AB21)/ABS(AB21))</f>
        <v>0.57358848706003596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>
        <f>IF($C$20=0," ",C22/$C$20)</f>
        <v>0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>
        <f>IF($K$20=0," ",K22/$K$20)</f>
        <v>0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447796.67807999998</v>
      </c>
      <c r="D24" s="68">
        <f>IF($C$20=0," ",C24/$C$20)</f>
        <v>1</v>
      </c>
      <c r="E24" s="32">
        <f>+E20-E22</f>
        <v>215867.36000000002</v>
      </c>
      <c r="F24" s="68">
        <f>+E24/$E$20</f>
        <v>1</v>
      </c>
      <c r="G24" s="68">
        <f>IF(C24=0,"",(E24-C24)/ABS(C24)+1)</f>
        <v>0.48206556807336287</v>
      </c>
      <c r="H24" s="32">
        <v>221776</v>
      </c>
      <c r="I24" s="68">
        <f>+H24/$H$20</f>
        <v>1</v>
      </c>
      <c r="J24" s="68">
        <f>IF(H24=0,"",(E24-H24)/ABS(H24))</f>
        <v>-2.6642377894812715E-2</v>
      </c>
      <c r="K24" s="32">
        <f>+K20-K22</f>
        <v>2613069.6748704999</v>
      </c>
      <c r="L24" s="68">
        <f>IF($K$20=0," ",K24/$K$20)</f>
        <v>1</v>
      </c>
      <c r="M24" s="32">
        <f>+M20-M22</f>
        <v>1863088.5899999999</v>
      </c>
      <c r="N24" s="68">
        <f>+M24/$M$20</f>
        <v>1</v>
      </c>
      <c r="O24" s="68">
        <f>IF(K24=0,"",(M24-K24)/ABS(K24)+1)</f>
        <v>0.71298848550310168</v>
      </c>
      <c r="P24" s="32">
        <f>+P20-P22</f>
        <v>1443700</v>
      </c>
      <c r="Q24" s="68">
        <f>+P24/$P$20</f>
        <v>1</v>
      </c>
      <c r="R24" s="68">
        <f>IF(P24=0,"",(M24-P24)/ABS(P24))</f>
        <v>0.29049566391909665</v>
      </c>
    </row>
    <row r="25" spans="2:34" x14ac:dyDescent="0.2">
      <c r="T25" s="3" t="s">
        <v>44</v>
      </c>
      <c r="U25" s="32"/>
      <c r="V25" s="32">
        <v>21949.38</v>
      </c>
      <c r="W25" s="32">
        <v>7014</v>
      </c>
      <c r="X25" s="32">
        <f>+AD22+U25</f>
        <v>0</v>
      </c>
      <c r="Y25" s="32">
        <v>354343</v>
      </c>
      <c r="Z25" s="63">
        <f>+Y25-X25</f>
        <v>354343</v>
      </c>
      <c r="AA25" s="68" t="str">
        <f>IF(X25=0,"",(Y25-X25)/ABS(X25)+1)</f>
        <v/>
      </c>
      <c r="AB25" s="32">
        <v>171513</v>
      </c>
      <c r="AC25" s="68">
        <f>IF(AB25=0,"",(Y25-AB25)/ABS(AB25))</f>
        <v>1.0659833365400873</v>
      </c>
      <c r="AD25" s="67"/>
      <c r="AE25" s="67"/>
      <c r="AF25" s="67"/>
    </row>
    <row r="26" spans="2:34" x14ac:dyDescent="0.2">
      <c r="B26" s="3" t="s">
        <v>45</v>
      </c>
      <c r="C26" s="32">
        <v>11519.818928808001</v>
      </c>
      <c r="D26" s="68">
        <f>IF($C$20=0," ",C26/$C$20)</f>
        <v>2.5725556916145673E-2</v>
      </c>
      <c r="E26" s="32">
        <v>4228.51</v>
      </c>
      <c r="F26" s="68">
        <f>+E26/$E$20</f>
        <v>1.9588463953049688E-2</v>
      </c>
      <c r="G26" s="68">
        <f>IF(C26=0,"",(E26-C26)/ABS(C26)+1)</f>
        <v>0.36706392922770881</v>
      </c>
      <c r="H26" s="32">
        <v>2612</v>
      </c>
      <c r="I26" s="68">
        <f>+H26/$H$20</f>
        <v>1.1777649520236634E-2</v>
      </c>
      <c r="J26" s="68">
        <f>IF(H26=0,"",(E26-H26)/ABS(H26))</f>
        <v>0.61887825421133236</v>
      </c>
      <c r="K26" s="32">
        <v>66679.849559252005</v>
      </c>
      <c r="L26" s="68">
        <f>IF($K$20=0," ",K26/$K$20)</f>
        <v>2.5517823041804871E-2</v>
      </c>
      <c r="M26" s="32">
        <v>29271.490000000005</v>
      </c>
      <c r="N26" s="68">
        <f>+M26/$M$20</f>
        <v>1.5711271142506436E-2</v>
      </c>
      <c r="O26" s="68">
        <f>IF(K26=0,"",(M26-K26)/ABS(K26)+1)</f>
        <v>0.43898554351100072</v>
      </c>
      <c r="P26" s="32">
        <v>34179</v>
      </c>
      <c r="Q26" s="68">
        <f>+P26/$P$20</f>
        <v>2.3674586132853087E-2</v>
      </c>
      <c r="R26" s="68">
        <f>IF(P26=0,"",(M26-P26)/ABS(P26))</f>
        <v>-0.14358260920448213</v>
      </c>
      <c r="AF26" s="67"/>
    </row>
    <row r="27" spans="2:34" x14ac:dyDescent="0.2">
      <c r="B27" s="3" t="s">
        <v>46</v>
      </c>
      <c r="C27" s="32">
        <v>26849.893688948883</v>
      </c>
      <c r="D27" s="68">
        <f>IF($C$20=0," ",C27/$C$20)</f>
        <v>5.9960010878312243E-2</v>
      </c>
      <c r="E27" s="32">
        <v>39013.129999999997</v>
      </c>
      <c r="F27" s="68">
        <f>+E27/$E$20</f>
        <v>0.18072732255585094</v>
      </c>
      <c r="G27" s="68">
        <f>IF(C27=0,"",(E27-C27)/ABS(C27)+1)</f>
        <v>1.4530087326214391</v>
      </c>
      <c r="H27" s="32">
        <v>23389</v>
      </c>
      <c r="I27" s="68">
        <f>+H27/$H$20</f>
        <v>0.1054622682346151</v>
      </c>
      <c r="J27" s="68">
        <f>IF(H27=0,"",(E27-H27)/ABS(H27))</f>
        <v>0.66801188592928284</v>
      </c>
      <c r="K27" s="32">
        <v>234549.14968075743</v>
      </c>
      <c r="L27" s="68">
        <f>IF($K$20=0," ",K27/$K$20)</f>
        <v>8.9760005994628272E-2</v>
      </c>
      <c r="M27" s="32">
        <v>251475.96</v>
      </c>
      <c r="N27" s="68">
        <f>+M27/$M$20</f>
        <v>0.1349779937195579</v>
      </c>
      <c r="O27" s="68">
        <f>IF(K27=0,"",(M27-K27)/ABS(K27)+1)</f>
        <v>1.0721674341701153</v>
      </c>
      <c r="P27" s="32">
        <v>145200</v>
      </c>
      <c r="Q27" s="68">
        <f>+P27/$P$20</f>
        <v>0.10057491168525316</v>
      </c>
      <c r="R27" s="68">
        <f>IF(P27=0,"",(M27-P27)/ABS(P27))</f>
        <v>0.73192809917355361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38369.712617756886</v>
      </c>
      <c r="D28" s="68">
        <f>IF($C$20=0," ",C28/$C$20)</f>
        <v>8.568556779445792E-2</v>
      </c>
      <c r="E28" s="32">
        <f>SUM(E26:E27)</f>
        <v>43241.64</v>
      </c>
      <c r="F28" s="68">
        <f>+E28/$E$20</f>
        <v>0.20031578650890064</v>
      </c>
      <c r="G28" s="68">
        <f>IF(C28=0,"",(E28-C28)/ABS(C28)+1)</f>
        <v>1.1269732570263886</v>
      </c>
      <c r="H28" s="32">
        <v>26001</v>
      </c>
      <c r="I28" s="68">
        <f>+H28/$H$20</f>
        <v>0.11723991775485174</v>
      </c>
      <c r="J28" s="68">
        <f>IF(H28=0,"",(E28-H28)/ABS(H28))</f>
        <v>0.66307603553709471</v>
      </c>
      <c r="K28" s="32">
        <f>+K26+K27</f>
        <v>301228.99924000946</v>
      </c>
      <c r="L28" s="68">
        <f>IF($K$20=0," ",K28/$K$20)</f>
        <v>0.11527782903643316</v>
      </c>
      <c r="M28" s="32">
        <f>SUM(M26:M27)</f>
        <v>280747.45</v>
      </c>
      <c r="N28" s="68">
        <f>+M28/$M$20</f>
        <v>0.15068926486206435</v>
      </c>
      <c r="O28" s="68">
        <f>IF(K28=0,"",(M28-K28)/ABS(K28)+1)</f>
        <v>0.93200671485254172</v>
      </c>
      <c r="P28" s="32">
        <f>SUM(P26:P27)</f>
        <v>179379</v>
      </c>
      <c r="Q28" s="68">
        <f>+P28/$P$20</f>
        <v>0.12424949781810625</v>
      </c>
      <c r="R28" s="68">
        <f>IF(P28=0,"",(M28-P28)/ABS(P28))</f>
        <v>0.56510767704134823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>
        <v>309534.01650407311</v>
      </c>
      <c r="D30" s="68">
        <f>IF($C$20=0," ",C30/$C$20)</f>
        <v>0.69123785784041503</v>
      </c>
      <c r="E30" s="32">
        <v>137773.71</v>
      </c>
      <c r="F30" s="68">
        <f>+E30/$E$20</f>
        <v>0.63823317244441213</v>
      </c>
      <c r="G30" s="68">
        <f>IF(C30=0,"",(E30-C30)/ABS(C30)+1)</f>
        <v>0.44510038526956874</v>
      </c>
      <c r="H30" s="32">
        <v>102287</v>
      </c>
      <c r="I30" s="68">
        <f>+H30/$H$20</f>
        <v>0.4612176249909819</v>
      </c>
      <c r="J30" s="68">
        <f>IF(H30=0,"",(E30-H30)/ABS(H30))</f>
        <v>0.34693274805204954</v>
      </c>
      <c r="K30" s="32">
        <v>1837774.8467232077</v>
      </c>
      <c r="L30" s="68">
        <f>IF($K$20=0," ",K30/$K$20)</f>
        <v>0.7033011267922985</v>
      </c>
      <c r="M30" s="32">
        <v>1145735.83</v>
      </c>
      <c r="N30" s="68">
        <f>+M30/$M$20</f>
        <v>0.61496583477010081</v>
      </c>
      <c r="O30" s="68">
        <f>IF(K30=0,"",(M30-K30)/ABS(K30)+1)</f>
        <v>0.62343645199131537</v>
      </c>
      <c r="P30" s="32">
        <v>676992</v>
      </c>
      <c r="Q30" s="68">
        <f>+P30/$P$20</f>
        <v>0.46892844773844983</v>
      </c>
      <c r="R30" s="68">
        <f>IF(P30=0,"",(M30-P30)/ABS(P30))</f>
        <v>0.69239197804405384</v>
      </c>
      <c r="T30" s="3" t="s">
        <v>51</v>
      </c>
      <c r="U30" s="32">
        <f>+U21-U25-U23+U27</f>
        <v>236652</v>
      </c>
      <c r="V30" s="32">
        <f>+V21-V25-V23+V27</f>
        <v>262999.15000000002</v>
      </c>
      <c r="W30" s="32">
        <v>208859</v>
      </c>
      <c r="X30" s="32">
        <f>+X21-X25-X23-X27</f>
        <v>236652</v>
      </c>
      <c r="Y30" s="32">
        <f>+Y21-Y25-Y23+Y27+18793</f>
        <v>262999</v>
      </c>
      <c r="Z30" s="63">
        <f>+Y30-X30</f>
        <v>26347</v>
      </c>
      <c r="AA30" s="68">
        <f>IF(U30=0,"",(V30-U30)/ABS(U30)+1)</f>
        <v>1.1113328854182514</v>
      </c>
      <c r="AB30" s="32">
        <v>280859</v>
      </c>
      <c r="AC30" s="68">
        <f>IF(AB30=0,"",(Y30-AB30)/ABS(AB30))</f>
        <v>-6.3590627325455118E-2</v>
      </c>
      <c r="AD30" s="55"/>
      <c r="AF30" s="67"/>
    </row>
    <row r="31" spans="2:34" x14ac:dyDescent="0.2">
      <c r="B31" s="3" t="s">
        <v>52</v>
      </c>
      <c r="C31" s="32">
        <v>42136</v>
      </c>
      <c r="D31" s="68">
        <f>IF($C$20=0," ",C31/$C$20)</f>
        <v>9.4096276418719441E-2</v>
      </c>
      <c r="E31" s="32">
        <v>42055.5</v>
      </c>
      <c r="F31" s="68">
        <f>+E31/$E$20</f>
        <v>0.19482102342846086</v>
      </c>
      <c r="G31" s="68">
        <f>IF(C31=0,"",(E31-C31)/ABS(C31)+1)</f>
        <v>0.99808951965065507</v>
      </c>
      <c r="H31" s="32">
        <v>30742</v>
      </c>
      <c r="I31" s="68">
        <f>+H31/$H$20</f>
        <v>0.13861734362600101</v>
      </c>
      <c r="J31" s="68">
        <f>IF(H31=0,"",(E31-H31)/ABS(H31))</f>
        <v>0.36801444278186196</v>
      </c>
      <c r="K31" s="32">
        <v>335087</v>
      </c>
      <c r="L31" s="68">
        <f>IF($K$20=0," ",K31/$K$20)</f>
        <v>0.1282350039199037</v>
      </c>
      <c r="M31" s="32">
        <v>328996.15000000002</v>
      </c>
      <c r="N31" s="68">
        <f>+M31/$M$20</f>
        <v>0.1765864230857643</v>
      </c>
      <c r="O31" s="68">
        <f>IF(K31=0,"",(M31-K31)/ABS(K31)+1)</f>
        <v>0.98182307878252517</v>
      </c>
      <c r="P31" s="32">
        <v>176814</v>
      </c>
      <c r="Q31" s="68">
        <f>+P31/$P$20</f>
        <v>0.12247281291126966</v>
      </c>
      <c r="R31" s="68">
        <f>IF(P31=0,"",(M31-P31)/ABS(P31))</f>
        <v>0.86069061273428593</v>
      </c>
      <c r="T31" s="61"/>
      <c r="U31" s="61"/>
      <c r="V31" s="61" t="s">
        <v>107</v>
      </c>
      <c r="W31" s="61" t="s">
        <v>107</v>
      </c>
      <c r="X31" s="32"/>
      <c r="Y31" s="32">
        <f>+V30-Y30</f>
        <v>0.15000000002328306</v>
      </c>
      <c r="Z31" s="61"/>
      <c r="AA31" s="61"/>
      <c r="AB31" s="32" t="s">
        <v>107</v>
      </c>
      <c r="AC31" s="61"/>
      <c r="AD31" s="55"/>
    </row>
    <row r="32" spans="2:34" x14ac:dyDescent="0.2">
      <c r="B32" s="3" t="s">
        <v>53</v>
      </c>
      <c r="C32" s="32">
        <f>SUM(C30:C31)</f>
        <v>351670.01650407311</v>
      </c>
      <c r="D32" s="68">
        <f>IF($C$20=0," ",C32/$C$20)</f>
        <v>0.78533413425913445</v>
      </c>
      <c r="E32" s="32">
        <f>SUM(E30:E31)</f>
        <v>179829.21</v>
      </c>
      <c r="F32" s="68">
        <f>+E32/$E$20</f>
        <v>0.83305419587287299</v>
      </c>
      <c r="G32" s="68">
        <f>IF(C32=0,"",(E32-C32)/ABS(C32)+1)</f>
        <v>0.51135781147244086</v>
      </c>
      <c r="H32" s="32">
        <f>SUM(H30:H31)</f>
        <v>133029</v>
      </c>
      <c r="I32" s="68">
        <f>+H32/$H$20</f>
        <v>0.59983496861698293</v>
      </c>
      <c r="J32" s="68">
        <f>IF(H32=0,"",(E32-H32)/ABS(H32))</f>
        <v>0.35180456892857942</v>
      </c>
      <c r="K32" s="32">
        <f>+K30+K31</f>
        <v>2172861.8467232077</v>
      </c>
      <c r="L32" s="68">
        <f>IF($K$20=0," ",K32/$K$20)</f>
        <v>0.83153613071220223</v>
      </c>
      <c r="M32" s="32">
        <f>+M30+M31</f>
        <v>1474731.98</v>
      </c>
      <c r="N32" s="68">
        <f>+M32/$M$20</f>
        <v>0.79155225785586503</v>
      </c>
      <c r="O32" s="68">
        <f>IF(K32=0,"",(M32-K32)/ABS(K32)+1)</f>
        <v>0.67870489889818586</v>
      </c>
      <c r="P32" s="32">
        <f>+P30+P31</f>
        <v>853806</v>
      </c>
      <c r="Q32" s="68">
        <f>+P32/$P$20</f>
        <v>0.59140126064971943</v>
      </c>
      <c r="R32" s="68">
        <f>IF(P32=0,"",(M32-P32)/ABS(P32))</f>
        <v>0.72724480736841857</v>
      </c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390039.72912182997</v>
      </c>
      <c r="D34" s="68">
        <f>IF($C$20=0," ",C34/$C$20)</f>
        <v>0.87101970205359225</v>
      </c>
      <c r="E34" s="32">
        <f>E28+E32</f>
        <v>223070.84999999998</v>
      </c>
      <c r="F34" s="68">
        <f>+E34/$E$20</f>
        <v>1.0333699823817735</v>
      </c>
      <c r="G34" s="68">
        <f>IF(C34=0,"",(E34-C34)/ABS(C34)+1)</f>
        <v>0.57191827740789758</v>
      </c>
      <c r="H34" s="32">
        <f>H28+H32</f>
        <v>159030</v>
      </c>
      <c r="I34" s="68">
        <f>+H34/$H$20</f>
        <v>0.7170748863718347</v>
      </c>
      <c r="J34" s="68">
        <f>IF(H34=0,"",(E34-H34)/ABS(H34))</f>
        <v>0.40269666100735696</v>
      </c>
      <c r="K34" s="32">
        <f>K28+K32</f>
        <v>2474090.8459632173</v>
      </c>
      <c r="L34" s="68">
        <f>IF($K$20=0," ",K34/$K$20)</f>
        <v>0.94681395974863547</v>
      </c>
      <c r="M34" s="32">
        <f>M28+M32</f>
        <v>1755479.43</v>
      </c>
      <c r="N34" s="68">
        <f>+M34/$M$20</f>
        <v>0.94224152271792938</v>
      </c>
      <c r="O34" s="68">
        <f>IF(K34=0,"",(M34-K34)/ABS(K34)+1)</f>
        <v>0.70954525896422926</v>
      </c>
      <c r="P34" s="32">
        <f>P28+P32</f>
        <v>1033185</v>
      </c>
      <c r="Q34" s="68">
        <f>+P34/$P$20</f>
        <v>0.71565075846782578</v>
      </c>
      <c r="R34" s="68">
        <f>IF(P34=0,"",(M34-P34)/ABS(P34))</f>
        <v>0.69909496363187618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57756.948958170018</v>
      </c>
      <c r="D36" s="68">
        <f>IF($C$20=0," ",C36/$C$20)</f>
        <v>0.12898029794640772</v>
      </c>
      <c r="E36" s="32">
        <f>E24-E34</f>
        <v>-7203.4899999999616</v>
      </c>
      <c r="F36" s="68">
        <f>+E36/$E$20</f>
        <v>-3.3369982381773515E-2</v>
      </c>
      <c r="G36" s="68">
        <f>IF(C36=0,"",(E36-C36)/ABS(C36)+1)</f>
        <v>-0.12472075014241191</v>
      </c>
      <c r="H36" s="32">
        <f>H24-H34</f>
        <v>62746</v>
      </c>
      <c r="I36" s="68">
        <f>+H36/$H$20</f>
        <v>0.28292511362816536</v>
      </c>
      <c r="J36" s="68">
        <f>IF(H36=0,"",(E36-H36)/ABS(H36))</f>
        <v>-1.1148039715679081</v>
      </c>
      <c r="K36" s="32">
        <f>K24-K34</f>
        <v>138978.82890728256</v>
      </c>
      <c r="L36" s="68">
        <f>IF($K$20=0," ",K36/$K$20)</f>
        <v>5.3186040251364579E-2</v>
      </c>
      <c r="M36" s="32">
        <f>M24-M34</f>
        <v>107609.15999999992</v>
      </c>
      <c r="N36" s="68">
        <f>+M36/$M$20</f>
        <v>5.7758477282070592E-2</v>
      </c>
      <c r="O36" s="68">
        <f>IF(K36=0,"",(M36-K36)/ABS(K36)+1)</f>
        <v>0.77428454999998308</v>
      </c>
      <c r="P36" s="32">
        <f>P24-P34</f>
        <v>410515</v>
      </c>
      <c r="Q36" s="68">
        <f>+P36/$P$20</f>
        <v>0.28434924153217428</v>
      </c>
      <c r="R36" s="68">
        <f>IF(P36=0,"",(M36-P36)/ABS(P36))</f>
        <v>-0.73786789764076854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>
        <f>IF($C$20=0," ",C38/$C$20)</f>
        <v>0</v>
      </c>
      <c r="E38" s="32">
        <v>-2124.38</v>
      </c>
      <c r="F38" s="68">
        <f>+E38/$E$20</f>
        <v>-9.8411357789338783E-3</v>
      </c>
      <c r="G38" s="68" t="str">
        <f>IF(C38=0,"",(E38-C38)/ABS(C38)+1)</f>
        <v/>
      </c>
      <c r="H38" s="32">
        <v>63229</v>
      </c>
      <c r="I38" s="68">
        <f>+H38/$H$20</f>
        <v>0.28510298679748936</v>
      </c>
      <c r="J38" s="68">
        <f>IF(H38=0,"",(E38-H38)/ABS(H38))</f>
        <v>-1.0335981907036327</v>
      </c>
      <c r="K38" s="32">
        <f>+S28+C38</f>
        <v>0</v>
      </c>
      <c r="L38" s="68">
        <f>IF($K$20=0," ",K38/$K$20)</f>
        <v>0</v>
      </c>
      <c r="M38" s="32">
        <v>-6254.1399999999994</v>
      </c>
      <c r="N38" s="68">
        <f>+M38/$M$20</f>
        <v>-3.3568666748155008E-3</v>
      </c>
      <c r="O38" s="68" t="str">
        <f>IF(K38=0,"",(M38-K38)/ABS(K38)+1)</f>
        <v/>
      </c>
      <c r="P38" s="32">
        <v>240382</v>
      </c>
      <c r="Q38" s="68">
        <f>+P38/$P$20</f>
        <v>0.16650412135485212</v>
      </c>
      <c r="R38" s="68">
        <f>IF(P38=0,"",(M38-P38)/ABS(P38))</f>
        <v>-1.0260175054704597</v>
      </c>
      <c r="AD38" s="55"/>
    </row>
    <row r="39" spans="2:30" x14ac:dyDescent="0.2">
      <c r="B39" s="3" t="s">
        <v>57</v>
      </c>
      <c r="C39" s="32">
        <v>2552.438285964</v>
      </c>
      <c r="D39" s="68">
        <f>IF($C$20=0," ",C39/$C$20)</f>
        <v>5.6999937938530228E-3</v>
      </c>
      <c r="E39" s="32"/>
      <c r="F39" s="68">
        <f>+E39/$E$20</f>
        <v>0</v>
      </c>
      <c r="G39" s="68">
        <f>IF(C39=0,"",(E39-C39)/ABS(C39)+1)</f>
        <v>0</v>
      </c>
      <c r="H39" s="32">
        <v>5534</v>
      </c>
      <c r="I39" s="68">
        <f>+H39/$H$20</f>
        <v>2.4953105836519732E-2</v>
      </c>
      <c r="J39" s="68">
        <f>IF(H39=0,"",(E39-H39)/ABS(H39))</f>
        <v>-1</v>
      </c>
      <c r="K39" s="32">
        <v>14894.4969468258</v>
      </c>
      <c r="L39" s="68">
        <f>IF($K$20=0," ",K39/$K$20)</f>
        <v>5.699999923486139E-3</v>
      </c>
      <c r="M39" s="32">
        <v>31902.240000000002</v>
      </c>
      <c r="N39" s="68">
        <f>+M39/$M$20</f>
        <v>1.7123308129969282E-2</v>
      </c>
      <c r="O39" s="68">
        <f>IF(K39=0,"",(M39-K39)/ABS(K39)+1)</f>
        <v>2.1418809989953207</v>
      </c>
      <c r="P39" s="32">
        <v>25810</v>
      </c>
      <c r="Q39" s="68">
        <f>+P39/$P$20</f>
        <v>1.7877675417330471E-2</v>
      </c>
      <c r="R39" s="68">
        <f>IF(P39=0,"",(M39-P39)/ABS(P39))</f>
        <v>0.23604184424641619</v>
      </c>
    </row>
    <row r="41" spans="2:30" x14ac:dyDescent="0.2">
      <c r="B41" s="3" t="s">
        <v>58</v>
      </c>
      <c r="C41" s="32">
        <f>C36+C38-C39</f>
        <v>55204.510672206015</v>
      </c>
      <c r="D41" s="68">
        <f>IF($C$20=0," ",C41/$C$20)</f>
        <v>0.12328030415255468</v>
      </c>
      <c r="E41" s="32">
        <f>E36+E38-E39</f>
        <v>-9327.8699999999626</v>
      </c>
      <c r="F41" s="68">
        <f>+E41/$E$20</f>
        <v>-4.3211118160707399E-2</v>
      </c>
      <c r="G41" s="68">
        <f>IF(C41=0,"",(E41-C41)/ABS(C41)+1)</f>
        <v>-0.16896934483102477</v>
      </c>
      <c r="H41" s="32">
        <f>H36+H38-H39</f>
        <v>120441</v>
      </c>
      <c r="I41" s="68">
        <f>+H41/$H$20</f>
        <v>0.543074994589135</v>
      </c>
      <c r="J41" s="68">
        <f>IF(H41=0,"",(E41-H41)/ABS(H41))</f>
        <v>-1.0774476299598972</v>
      </c>
      <c r="K41" s="32">
        <f>K36+K38-K39</f>
        <v>124084.33196045675</v>
      </c>
      <c r="L41" s="68">
        <f>IF($K$20=0," ",K41/$K$20)</f>
        <v>4.748604032787844E-2</v>
      </c>
      <c r="M41" s="32">
        <f>M36+M38-M39</f>
        <v>69452.779999999912</v>
      </c>
      <c r="N41" s="68">
        <f>+M41/$M$20</f>
        <v>3.7278302477285807E-2</v>
      </c>
      <c r="O41" s="68">
        <f>IF(K41=0,"",(M41-K41)/ABS(K41)+1)</f>
        <v>0.55972239929641687</v>
      </c>
      <c r="P41" s="32">
        <f>P36+P38-P39</f>
        <v>625087</v>
      </c>
      <c r="Q41" s="68">
        <f>+P41/$P$20</f>
        <v>0.43297568746969595</v>
      </c>
      <c r="R41" s="68">
        <f>IF(P41=0,"",(M41-P41)/ABS(P41))</f>
        <v>-0.88889101837024298</v>
      </c>
    </row>
    <row r="42" spans="2:30" x14ac:dyDescent="0.2">
      <c r="B42" s="3" t="s">
        <v>44</v>
      </c>
      <c r="C42" s="32">
        <v>11477</v>
      </c>
      <c r="D42" s="68">
        <f>IF($C$20=0," ",C42/$C$20)</f>
        <v>2.562993555291539E-2</v>
      </c>
      <c r="E42" s="32">
        <v>0</v>
      </c>
      <c r="F42" s="68">
        <f>+E42/$E$20</f>
        <v>0</v>
      </c>
      <c r="G42" s="68">
        <f>IF(C42=0,"",(E42-C42)/ABS(C42)+1)</f>
        <v>0</v>
      </c>
      <c r="H42" s="32"/>
      <c r="I42" s="68">
        <f>+H42/$H$20</f>
        <v>0</v>
      </c>
      <c r="J42" s="68" t="str">
        <f>IF(H42=0,"",(E42-H42)/ABS(H42))</f>
        <v/>
      </c>
      <c r="K42" s="32">
        <v>44530.287273071037</v>
      </c>
      <c r="L42" s="68">
        <f>IF($K$20=0," ",K42/$K$20)</f>
        <v>1.7041370041263021E-2</v>
      </c>
      <c r="M42" s="32">
        <v>0</v>
      </c>
      <c r="N42" s="68">
        <f>+M42/$M$20</f>
        <v>0</v>
      </c>
      <c r="O42" s="68">
        <f>IF(K42=0,"",(M42-K42)/ABS(K42)+1)</f>
        <v>0</v>
      </c>
      <c r="P42" s="32"/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43727.510672206015</v>
      </c>
      <c r="D43" s="72">
        <f>IF($C$20=0," ",C43/$C$20)</f>
        <v>9.7650368599639298E-2</v>
      </c>
      <c r="E43" s="69">
        <f>+E41-E42</f>
        <v>-9327.8699999999626</v>
      </c>
      <c r="F43" s="72">
        <f>+E43/$E$20</f>
        <v>-4.3211118160707399E-2</v>
      </c>
      <c r="G43" s="72">
        <f>IF(C43=0,"",(E43-C43)/ABS(C43)+1)</f>
        <v>-0.21331811156423597</v>
      </c>
      <c r="H43" s="69">
        <f>+H41-H42</f>
        <v>120441</v>
      </c>
      <c r="I43" s="72">
        <f>+H43/$H$20</f>
        <v>0.543074994589135</v>
      </c>
      <c r="J43" s="72">
        <f>IF(H43=0,"",(E43-H43)/ABS(H43))</f>
        <v>-1.0774476299598972</v>
      </c>
      <c r="K43" s="69">
        <f>+K41-K42</f>
        <v>79554.044687385714</v>
      </c>
      <c r="L43" s="72">
        <f>IF($K$20=0," ",K43/$K$20)</f>
        <v>3.0444670286615415E-2</v>
      </c>
      <c r="M43" s="69">
        <f>+M41-M42</f>
        <v>69452.779999999912</v>
      </c>
      <c r="N43" s="72">
        <f>+M43/$M$20</f>
        <v>3.7278302477285807E-2</v>
      </c>
      <c r="O43" s="72">
        <f>IF(K43=0,"",(M43-K43)/ABS(K43)+1)</f>
        <v>0.87302638442734659</v>
      </c>
      <c r="P43" s="69">
        <f>+P41-P42</f>
        <v>625087</v>
      </c>
      <c r="Q43" s="72">
        <f>+P43/$P$20</f>
        <v>0.43297568746969595</v>
      </c>
      <c r="R43" s="72">
        <f>IF(P43=0,"",(M43-P43)/ABS(P43))</f>
        <v>-0.88889101837024298</v>
      </c>
    </row>
    <row r="45" spans="2:30" x14ac:dyDescent="0.2">
      <c r="B45" s="3" t="s">
        <v>60</v>
      </c>
      <c r="C45" s="32">
        <f>+C43</f>
        <v>43727.510672206015</v>
      </c>
      <c r="D45" s="68">
        <f>IF($C$20=0," ",C45/$C$20)</f>
        <v>9.7650368599639298E-2</v>
      </c>
      <c r="E45" s="32">
        <v>149032.23000000004</v>
      </c>
      <c r="F45" s="68">
        <f>+E45/$E$20</f>
        <v>0.6903879771355893</v>
      </c>
      <c r="G45" s="68">
        <f>IF(C45=0,"",(E45-C45)/ABS(C45)+1)</f>
        <v>3.4082029301230627</v>
      </c>
      <c r="H45" s="32">
        <v>120441</v>
      </c>
      <c r="I45" s="68">
        <f>+H45/$H$20</f>
        <v>0.543074994589135</v>
      </c>
      <c r="J45" s="68">
        <f>IF(H45=0,"",(E45-H45)/ABS(H45))</f>
        <v>0.23738784965252729</v>
      </c>
      <c r="K45" s="32">
        <f>+K43</f>
        <v>79554.044687385714</v>
      </c>
      <c r="L45" s="68">
        <f>IF($K$20=0," ",K45/$K$20)</f>
        <v>3.0444670286615415E-2</v>
      </c>
      <c r="M45" s="32">
        <v>73119.260000000169</v>
      </c>
      <c r="N45" s="68">
        <f>+M45/$M$20</f>
        <v>3.9246260426081064E-2</v>
      </c>
      <c r="O45" s="68">
        <f>IF(K45=0,"",(M45-K45)/ABS(K45)+1)</f>
        <v>0.91911429880565376</v>
      </c>
      <c r="P45" s="32">
        <v>625087</v>
      </c>
      <c r="Q45" s="68">
        <f>+P45/$P$20</f>
        <v>0.43297568746969595</v>
      </c>
      <c r="R45" s="68">
        <f>IF(P45=0,"",(M45-P45)/ABS(P45))</f>
        <v>-0.8830254668550136</v>
      </c>
    </row>
    <row r="46" spans="2:30" x14ac:dyDescent="0.2">
      <c r="B46" s="3" t="s">
        <v>35</v>
      </c>
      <c r="C46" s="32">
        <v>92634.079999999987</v>
      </c>
      <c r="D46" s="68"/>
      <c r="E46" s="32">
        <v>92634.079999999987</v>
      </c>
      <c r="F46" s="68">
        <f>+E46/$E$20</f>
        <v>0.42912499601607201</v>
      </c>
      <c r="G46" s="68"/>
      <c r="H46" s="32">
        <v>59479</v>
      </c>
      <c r="I46" s="68">
        <f>+H46/$H$20</f>
        <v>0.268194033619508</v>
      </c>
      <c r="J46" s="68"/>
      <c r="K46" s="102">
        <v>1438307.9096969853</v>
      </c>
      <c r="L46" s="68"/>
      <c r="M46" s="32">
        <v>743441.77</v>
      </c>
      <c r="N46" s="68">
        <f>+M46/$M$20</f>
        <v>0.39903726209820223</v>
      </c>
      <c r="O46" s="68">
        <f>IF(K46=0,"",(M46-K46)/ABS(K46)+1)</f>
        <v>0.51688638085611593</v>
      </c>
      <c r="P46" s="32">
        <v>430605</v>
      </c>
      <c r="Q46" s="68"/>
      <c r="R46" s="68">
        <f>IF(P46=0,"",(M46-P46)/ABS(P46))</f>
        <v>0.72650519617747122</v>
      </c>
    </row>
    <row r="47" spans="2:30" x14ac:dyDescent="0.2">
      <c r="B47" s="61"/>
      <c r="C47" s="61" t="s">
        <v>61</v>
      </c>
      <c r="D47" s="61"/>
      <c r="E47" s="61" t="s">
        <v>61</v>
      </c>
      <c r="F47" s="61"/>
      <c r="G47" s="61"/>
      <c r="H47" s="61" t="s">
        <v>61</v>
      </c>
      <c r="I47" s="61"/>
      <c r="J47" s="61"/>
      <c r="K47" s="61" t="s">
        <v>61</v>
      </c>
      <c r="L47" s="61"/>
      <c r="M47" s="32" t="s">
        <v>61</v>
      </c>
      <c r="N47" s="61"/>
      <c r="O47" s="61"/>
      <c r="P47" s="61" t="s">
        <v>61</v>
      </c>
      <c r="Q47" s="61"/>
      <c r="R47" s="61"/>
    </row>
    <row r="48" spans="2:30" x14ac:dyDescent="0.2"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F2634-E95D-4512-A70D-73730ADFB859}">
  <sheetPr>
    <tabColor theme="2" tint="-0.249977111117893"/>
  </sheetPr>
  <dimension ref="A1:AY82"/>
  <sheetViews>
    <sheetView showGridLines="0" topLeftCell="A73" zoomScale="96" zoomScaleNormal="96" workbookViewId="0">
      <selection activeCell="A83" sqref="A83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123</v>
      </c>
      <c r="S3" s="54"/>
      <c r="T3" s="18" t="s">
        <v>123</v>
      </c>
      <c r="AF3" s="2" t="str">
        <f>+B6</f>
        <v>AGOSTO de 2024</v>
      </c>
      <c r="AG3" s="2" t="s">
        <v>126</v>
      </c>
      <c r="AH3" s="103">
        <f>_xlfn.XLOOKUP(Paramet!E3,'VENEZUELA USD'!AL69:AL80,'VENEZUELA USD'!AM69:AM80,0,0)</f>
        <v>43.18</v>
      </c>
      <c r="AI3" s="2" t="s">
        <v>127</v>
      </c>
    </row>
    <row r="4" spans="1:35" x14ac:dyDescent="0.2">
      <c r="B4" s="2" t="s">
        <v>86</v>
      </c>
      <c r="S4" s="54"/>
      <c r="T4" s="3" t="s">
        <v>21</v>
      </c>
      <c r="AG4" s="2" t="s">
        <v>128</v>
      </c>
      <c r="AH4" s="103">
        <f>+AM54</f>
        <v>24.95</v>
      </c>
    </row>
    <row r="5" spans="1:35" ht="13.5" thickBot="1" x14ac:dyDescent="0.25">
      <c r="B5" s="3" t="s">
        <v>129</v>
      </c>
      <c r="S5" s="54"/>
      <c r="T5" s="3" t="s">
        <v>130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AGOSTO de 2024</v>
      </c>
      <c r="C6" s="91"/>
      <c r="K6" s="101" t="s">
        <v>23</v>
      </c>
      <c r="L6" s="101"/>
      <c r="M6" s="101"/>
      <c r="N6" s="101"/>
      <c r="O6" s="101"/>
      <c r="P6" s="101"/>
      <c r="Q6" s="101"/>
      <c r="R6" s="101"/>
      <c r="T6" s="20" t="str">
        <f>+B6</f>
        <v>AGOSTO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1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1"/>
      <c r="R7" s="51" t="s">
        <v>25</v>
      </c>
      <c r="S7" s="51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54"/>
      <c r="AE7" s="54"/>
      <c r="AH7" s="2">
        <v>2819322440</v>
      </c>
      <c r="AI7" s="104">
        <f>1/AH4</f>
        <v>4.0080160320641281E-2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5">
        <f>+AI7*AH7</f>
        <v>112998895.39078155</v>
      </c>
    </row>
    <row r="9" spans="1:35" x14ac:dyDescent="0.2">
      <c r="S9" s="68"/>
      <c r="AD9" s="68"/>
      <c r="AE9" s="68"/>
      <c r="AH9" s="2">
        <f>+AH7/AH4</f>
        <v>112998895.39078157</v>
      </c>
    </row>
    <row r="10" spans="1:35" x14ac:dyDescent="0.2">
      <c r="B10" s="3" t="s">
        <v>65</v>
      </c>
      <c r="C10" s="32">
        <f>'VZLA BFS'!C10/'VENEZUELA USD'!$AH$3</f>
        <v>5996.3872163038441</v>
      </c>
      <c r="D10" s="34" t="str">
        <f t="shared" ref="D10:D20" si="0">IF(DD19&lt;=0," ",C10/$C$20)</f>
        <v xml:space="preserve"> </v>
      </c>
      <c r="E10" s="32">
        <f>'VZLA BFS'!E10/'VENEZUELA USD'!$AH$3</f>
        <v>2669.75451597962</v>
      </c>
      <c r="F10" s="34">
        <f t="shared" ref="F10:F20" si="1">+E10/$E$20</f>
        <v>0.53403163868775705</v>
      </c>
      <c r="G10" s="34">
        <f>IF(C10=0,"",(E10-C10)/ABS(C10)+1)</f>
        <v>0.44522717090729325</v>
      </c>
      <c r="H10" s="63">
        <f>+'VZLA BFS'!H10/'VENEZUELA USD'!$AH$4</f>
        <v>3544.008016032064</v>
      </c>
      <c r="I10" s="34">
        <f t="shared" ref="I10:I20" si="2">IF($H$20&lt;=0," ",H10/$H$20)</f>
        <v>0.39870409782843946</v>
      </c>
      <c r="J10" s="34">
        <f>IF(E10=0,"",(E10-H10)/ABS(H10))</f>
        <v>-0.24668496687862296</v>
      </c>
      <c r="K10" s="32">
        <f>'VZLA BFS'!K10/'VENEZUELA USD'!$AH$3</f>
        <v>32309.379342288095</v>
      </c>
      <c r="L10" s="34">
        <f t="shared" ref="L10:L22" si="3">IF($K$20&lt;=0," ",K10/$K$20)</f>
        <v>0.5339004211853402</v>
      </c>
      <c r="M10" s="32">
        <f>'VZLA BFS'!M10/'VENEZUELA USD'!$AH$3</f>
        <v>18140.389069013432</v>
      </c>
      <c r="N10" s="34">
        <f t="shared" ref="N10:N15" si="4">+M10/$M$20</f>
        <v>0.42043196668388161</v>
      </c>
      <c r="O10" s="34">
        <f>IF(K10=0,"",(M10-K10)/ABS(K10)+1)</f>
        <v>0.56145891497427813</v>
      </c>
      <c r="P10" s="63">
        <f>+'VZLA BFS'!P10/'VENEZUELA USD'!$AH$4</f>
        <v>26244.609218436875</v>
      </c>
      <c r="Q10" s="34">
        <f t="shared" ref="Q10:Q22" si="5">IF($P$20&lt;=0," ",P10/$P$20)</f>
        <v>0.45355891113112146</v>
      </c>
      <c r="R10" s="34">
        <f>IF(M10=0,"",(M10-P10)/ABS(P10))</f>
        <v>-0.30879561139474759</v>
      </c>
      <c r="S10" s="68"/>
      <c r="T10" s="3" t="s">
        <v>31</v>
      </c>
      <c r="U10" s="32">
        <f>+'VZLA BFS'!U10/'VENEZUELA USD'!$AH$3</f>
        <v>5480.5928670680869</v>
      </c>
      <c r="V10" s="32">
        <f>+'VZLA BFS'!V10/'VENEZUELA USD'!$AH$3</f>
        <v>5132.1771653543319</v>
      </c>
      <c r="W10" s="32">
        <f>+'VZLA BFS'!W10/'VENEZUELA USD'!$AH$3</f>
        <v>3389.8795738767949</v>
      </c>
      <c r="X10" s="32">
        <f>+'VZLA BFS'!X10/'VENEZUELA USD'!$AH$3</f>
        <v>5480.5928670680869</v>
      </c>
      <c r="Y10" s="32">
        <f>+'VZLA BFS'!Y10/'VENEZUELA USD'!$AH$3</f>
        <v>5881.8666049096801</v>
      </c>
      <c r="Z10" s="63">
        <f>+Y10-X10</f>
        <v>401.27373784159317</v>
      </c>
      <c r="AA10" s="68">
        <f>IF(X10=0,"",(Y10-X10)/ABS(X10)+1)</f>
        <v>1.073217213461116</v>
      </c>
      <c r="AB10" s="32">
        <f>+'VZLA BFS'!AB10/'VENEZUELA USD'!$AH$3</f>
        <v>857.48031496062993</v>
      </c>
      <c r="AC10" s="68">
        <f>IF(W10=0,"",(Y10-AB10)/ABS(AB10))</f>
        <v>5.8594771241830061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610.94951366373323</v>
      </c>
      <c r="D11" s="34" t="str">
        <f t="shared" si="0"/>
        <v xml:space="preserve"> </v>
      </c>
      <c r="E11" s="32">
        <f>'VZLA BFS'!E11/'VENEZUELA USD'!$AH$3</f>
        <v>669.76841130152843</v>
      </c>
      <c r="F11" s="34">
        <f t="shared" si="1"/>
        <v>0.13397393658772683</v>
      </c>
      <c r="G11" s="34">
        <f t="shared" ref="G11:G22" si="6">IF(C11=0,"",(E11-C11)/ABS(C11)+1)</f>
        <v>1.0962745633187772</v>
      </c>
      <c r="H11" s="63">
        <f>+'VZLA BFS'!H11/'VENEZUELA USD'!$AH$4</f>
        <v>1133.5070140280561</v>
      </c>
      <c r="I11" s="34">
        <f t="shared" si="2"/>
        <v>0.12752056128706443</v>
      </c>
      <c r="J11" s="34">
        <f t="shared" ref="J11:J20" si="7">IF(E11=0,"",(E11-H11)/ABS(H11))</f>
        <v>-0.40911842360690448</v>
      </c>
      <c r="K11" s="32">
        <f>'VZLA BFS'!K11/'VENEZUELA USD'!$AH$3</f>
        <v>4859.6009189439555</v>
      </c>
      <c r="L11" s="34">
        <f t="shared" si="3"/>
        <v>8.0303089388689658E-2</v>
      </c>
      <c r="M11" s="32">
        <f>'VZLA BFS'!M11/'VENEZUELA USD'!$AH$3</f>
        <v>5477.1637332098189</v>
      </c>
      <c r="N11" s="34">
        <f t="shared" si="4"/>
        <v>0.12694185948506076</v>
      </c>
      <c r="O11" s="34">
        <f t="shared" ref="O11:O22" si="8">IF(K11=0,"",(M11-K11)/ABS(K11)+1)</f>
        <v>1.12708097322528</v>
      </c>
      <c r="P11" s="63">
        <f>+'VZLA BFS'!P11/'VENEZUELA USD'!$AH$4</f>
        <v>11207.414829659319</v>
      </c>
      <c r="Q11" s="34">
        <f t="shared" si="5"/>
        <v>0.19368636143243056</v>
      </c>
      <c r="R11" s="34">
        <f t="shared" ref="R11:R22" si="9">IF(M11=0,"",(M11-P11)/ABS(P11))</f>
        <v>-0.51129106788168088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5192.3825845298743</v>
      </c>
      <c r="W11" s="32">
        <f>+'VZLA BFS'!W11/'VENEZUELA USD'!$AH$3</f>
        <v>4394.6734599351548</v>
      </c>
      <c r="X11" s="32">
        <f>+'VZLA BFS'!X11/'VENEZUELA USD'!$AH$3</f>
        <v>0</v>
      </c>
      <c r="Y11" s="32">
        <f>+'VZLA BFS'!Y11/'VENEZUELA USD'!$AH$3</f>
        <v>37112.737378415935</v>
      </c>
      <c r="Z11" s="63">
        <f>+Y11-X11</f>
        <v>37112.737378415935</v>
      </c>
      <c r="AA11" s="68" t="str">
        <f>IF(X11=0,"",(Y11-X11)/ABS(X11)+1)</f>
        <v/>
      </c>
      <c r="AB11" s="32">
        <f>+'VZLA BFS'!AB11/'VENEZUELA USD'!$AH$3</f>
        <v>32878.253821213526</v>
      </c>
      <c r="AC11" s="68">
        <f>IF(AB11=0,"",(Y11-AB11)/ABS(AB11))</f>
        <v>0.12879283614722445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1923.2858701250582</v>
      </c>
      <c r="D12" s="34" t="str">
        <f t="shared" si="0"/>
        <v xml:space="preserve"> </v>
      </c>
      <c r="E12" s="32">
        <f>'VZLA BFS'!E12/'VENEZUELA USD'!$AH$3</f>
        <v>777.88698471514601</v>
      </c>
      <c r="F12" s="34">
        <f t="shared" si="1"/>
        <v>0.15560092086177366</v>
      </c>
      <c r="G12" s="34">
        <f t="shared" si="6"/>
        <v>0.40445728677066894</v>
      </c>
      <c r="H12" s="63">
        <f>+'VZLA BFS'!H12/'VENEZUELA USD'!$AH$4</f>
        <v>1229.4188376753507</v>
      </c>
      <c r="I12" s="34">
        <f t="shared" si="2"/>
        <v>0.13831072794170693</v>
      </c>
      <c r="J12" s="34">
        <f t="shared" si="7"/>
        <v>-0.36727259996600076</v>
      </c>
      <c r="K12" s="32">
        <f>'VZLA BFS'!K12/'VENEZUELA USD'!$AH$3</f>
        <v>12064.763572776747</v>
      </c>
      <c r="L12" s="34">
        <f t="shared" si="3"/>
        <v>0.1993657100239081</v>
      </c>
      <c r="M12" s="32">
        <f>'VZLA BFS'!M12/'VENEZUELA USD'!$AH$3</f>
        <v>7028.2725798981</v>
      </c>
      <c r="N12" s="34">
        <f t="shared" si="4"/>
        <v>0.1628912396484592</v>
      </c>
      <c r="O12" s="34">
        <f t="shared" si="8"/>
        <v>0.58254540484795592</v>
      </c>
      <c r="P12" s="63">
        <f>+'VZLA BFS'!P12/'VENEZUELA USD'!$AH$4</f>
        <v>8362.7655310621249</v>
      </c>
      <c r="Q12" s="34">
        <f t="shared" si="5"/>
        <v>0.14452517836115536</v>
      </c>
      <c r="R12" s="34">
        <f t="shared" si="9"/>
        <v>-0.15957555502510132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610.94951366373323</v>
      </c>
      <c r="D13" s="34" t="str">
        <f t="shared" si="0"/>
        <v xml:space="preserve"> </v>
      </c>
      <c r="E13" s="32">
        <f>'VZLA BFS'!E13/'VENEZUELA USD'!$AH$3</f>
        <v>0</v>
      </c>
      <c r="F13" s="34">
        <f t="shared" si="1"/>
        <v>0</v>
      </c>
      <c r="G13" s="34">
        <f t="shared" si="6"/>
        <v>0</v>
      </c>
      <c r="H13" s="63">
        <f>+'VZLA BFS'!H13/'VENEZUELA USD'!$AH$4</f>
        <v>1742.7655310621244</v>
      </c>
      <c r="I13" s="34">
        <f t="shared" si="2"/>
        <v>0.19606269388932979</v>
      </c>
      <c r="J13" s="34" t="str">
        <f t="shared" si="7"/>
        <v/>
      </c>
      <c r="K13" s="32">
        <f>'VZLA BFS'!K13/'VENEZUELA USD'!$AH$3</f>
        <v>3659.5871162575263</v>
      </c>
      <c r="L13" s="34">
        <f t="shared" si="3"/>
        <v>6.0473309686176382E-2</v>
      </c>
      <c r="M13" s="32">
        <f>'VZLA BFS'!M13/'VENEZUELA USD'!$AH$3</f>
        <v>5835.7246410375174</v>
      </c>
      <c r="N13" s="34">
        <f t="shared" si="4"/>
        <v>0.1352520708636834</v>
      </c>
      <c r="O13" s="34">
        <f t="shared" si="8"/>
        <v>1.5946401754210502</v>
      </c>
      <c r="P13" s="63">
        <f>+'VZLA BFS'!P13/'VENEZUELA USD'!$AH$4</f>
        <v>3300.5210420841686</v>
      </c>
      <c r="Q13" s="34">
        <f t="shared" si="5"/>
        <v>5.7039551153286697E-2</v>
      </c>
      <c r="R13" s="34">
        <f t="shared" si="9"/>
        <v>0.76812223483127762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>
        <f t="shared" si="3"/>
        <v>0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1228.8928718851319</v>
      </c>
      <c r="D15" s="34" t="str">
        <f t="shared" si="0"/>
        <v xml:space="preserve"> </v>
      </c>
      <c r="E15" s="32">
        <f>'VZLA BFS'!E15/'VENEZUELA USD'!$AH$3</f>
        <v>881.83418249189435</v>
      </c>
      <c r="F15" s="34">
        <f t="shared" si="1"/>
        <v>0.17639350386274236</v>
      </c>
      <c r="G15" s="34">
        <f t="shared" si="6"/>
        <v>0.71758426032625078</v>
      </c>
      <c r="H15" s="63">
        <f>+'VZLA BFS'!H15/'VENEZUELA USD'!$AH$4</f>
        <v>1239.1182364729459</v>
      </c>
      <c r="I15" s="34">
        <f t="shared" si="2"/>
        <v>0.13940191905345933</v>
      </c>
      <c r="J15" s="34">
        <f t="shared" si="7"/>
        <v>-0.2883373381688199</v>
      </c>
      <c r="K15" s="32">
        <f>'VZLA BFS'!K15/'VENEZUELA USD'!$AH$3</f>
        <v>7622.4095515979616</v>
      </c>
      <c r="L15" s="34">
        <f t="shared" si="3"/>
        <v>0.12595746971588559</v>
      </c>
      <c r="M15" s="32">
        <f>'VZLA BFS'!M15/'VENEZUELA USD'!$AH$3</f>
        <v>6665.4761463640561</v>
      </c>
      <c r="N15" s="34">
        <f t="shared" si="4"/>
        <v>0.15448286331891492</v>
      </c>
      <c r="O15" s="34">
        <f t="shared" si="8"/>
        <v>0.87445788647852252</v>
      </c>
      <c r="P15" s="63">
        <f>+'VZLA BFS'!P15/'VENEZUELA USD'!$AH$4</f>
        <v>8748.4168336673356</v>
      </c>
      <c r="Q15" s="34">
        <f t="shared" si="5"/>
        <v>0.15118999792200596</v>
      </c>
      <c r="R15" s="34">
        <f t="shared" si="9"/>
        <v>-0.23809344329448359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1628.7834645669291</v>
      </c>
      <c r="W15" s="32">
        <f>+'VZLA BFS'!W15/'VENEZUELA USD'!$AH$3</f>
        <v>1153.0801296896711</v>
      </c>
      <c r="X15" s="32">
        <f>+'VZLA BFS'!X15/'VENEZUELA USD'!$AH$3</f>
        <v>0</v>
      </c>
      <c r="Y15" s="32">
        <f>+'VZLA BFS'!Y15/'VENEZUELA USD'!$AH$3</f>
        <v>13162.042612320518</v>
      </c>
      <c r="Z15" s="63">
        <f>+X15-Y15</f>
        <v>-13162.042612320518</v>
      </c>
      <c r="AA15" s="68" t="str">
        <f>IF(X15=0,"",(Y15-X15)/ABS(X15)+1)</f>
        <v/>
      </c>
      <c r="AB15" s="32">
        <f>+'VZLA BFS'!AB15/'VENEZUELA USD'!$AH$3</f>
        <v>7568.8513200555817</v>
      </c>
      <c r="AC15" s="68">
        <f>IF(AB15=0,"",(Y15-AB15)/ABS(AB15))</f>
        <v>0.73897491914583713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>
        <f t="shared" si="3"/>
        <v>0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2096.6903659101436</v>
      </c>
      <c r="W16" s="32">
        <f>+'VZLA BFS'!W16/'VENEZUELA USD'!$AH$3</f>
        <v>1632.0981936081519</v>
      </c>
      <c r="X16" s="32">
        <f>+'VZLA BFS'!X16/'VENEZUELA USD'!$AH$3</f>
        <v>0</v>
      </c>
      <c r="Y16" s="32">
        <f>+'VZLA BFS'!Y16/'VENEZUELA USD'!$AH$3</f>
        <v>15970.842982862436</v>
      </c>
      <c r="Z16" s="63">
        <f>+X16-Y16</f>
        <v>-15970.842982862436</v>
      </c>
      <c r="AA16" s="68" t="str">
        <f>IF(X16=0,"",(Y16-X16)/ABS(X16)+1)</f>
        <v/>
      </c>
      <c r="AB16" s="32">
        <f>+'VZLA BFS'!AB16/'VENEZUELA USD'!$AH$3</f>
        <v>17357.89717461788</v>
      </c>
      <c r="AC16" s="68">
        <f>IF(AB16=0,"",(Y16-AB16)/ABS(AB16))</f>
        <v>-7.9909114439490198E-2</v>
      </c>
      <c r="AD16" s="68"/>
      <c r="AE16" s="68"/>
    </row>
    <row r="17" spans="2:33" x14ac:dyDescent="0.2">
      <c r="B17" s="3" t="s">
        <v>76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>
        <f t="shared" si="3"/>
        <v>0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3725.4738304770726</v>
      </c>
      <c r="W17" s="32">
        <f>+'VZLA BFS'!W17/'VENEZUELA USD'!$AH$3</f>
        <v>2785.1783232978232</v>
      </c>
      <c r="X17" s="32">
        <f>+'VZLA BFS'!X17/'VENEZUELA USD'!$AH$3</f>
        <v>0</v>
      </c>
      <c r="Y17" s="32">
        <f>+'VZLA BFS'!Y17/'VENEZUELA USD'!$AH$3</f>
        <v>29132.885595182954</v>
      </c>
      <c r="Z17" s="63">
        <f>+Y17-X17</f>
        <v>29132.885595182954</v>
      </c>
      <c r="AA17" s="68" t="str">
        <f>IF(X17=0,"",(Y17-X17)/ABS(X17)+1)</f>
        <v/>
      </c>
      <c r="AB17" s="32">
        <f>+'VZLA BFS'!AB17/'VENEZUELA USD'!$AH$3</f>
        <v>24926.748494673458</v>
      </c>
      <c r="AC17" s="68">
        <f>IF(AB17=0,"",(Y17-AB17)/ABS(AB17))</f>
        <v>0.16873990209386094</v>
      </c>
      <c r="AD17" s="68"/>
      <c r="AE17" s="68"/>
    </row>
    <row r="18" spans="2:33" x14ac:dyDescent="0.2">
      <c r="B18" s="3" t="s">
        <v>125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>
        <f t="shared" si="3"/>
        <v>0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80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>
        <f t="shared" si="3"/>
        <v>0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1466.9087540528017</v>
      </c>
      <c r="W19" s="32">
        <f>+'VZLA BFS'!W19/'VENEZUELA USD'!$AH$3</f>
        <v>1609.4951366373321</v>
      </c>
      <c r="X19" s="32">
        <f>+'VZLA BFS'!X19/'VENEZUELA USD'!$AH$3</f>
        <v>0</v>
      </c>
      <c r="Y19" s="32">
        <f>Y11-Y17</f>
        <v>7979.8517832329817</v>
      </c>
      <c r="Z19" s="63">
        <f>+Y19-X19</f>
        <v>7979.8517832329817</v>
      </c>
      <c r="AA19" s="68" t="str">
        <f>IF(X19=0,"",(Y19-X19)/ABS(X19)+1)</f>
        <v/>
      </c>
      <c r="AB19" s="32">
        <f>+'VZLA BFS'!AB19/'VENEZUELA USD'!$AH$3</f>
        <v>7951.5053265400647</v>
      </c>
      <c r="AC19" s="68">
        <f>IF(AB19=0,"",(Y19-AB19)/ABS(AB19))</f>
        <v>3.5649170224792302E-3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10370.4649856415</v>
      </c>
      <c r="D20" s="34" t="str">
        <f t="shared" si="0"/>
        <v xml:space="preserve"> </v>
      </c>
      <c r="E20" s="32">
        <f>'VZLA BFS'!E20/'VENEZUELA USD'!$AH$3</f>
        <v>4999.2440944881891</v>
      </c>
      <c r="F20" s="34">
        <f t="shared" si="1"/>
        <v>1</v>
      </c>
      <c r="G20" s="34">
        <f t="shared" si="6"/>
        <v>0.48206556807336298</v>
      </c>
      <c r="H20" s="63">
        <f>+'VZLA BFS'!H20/'VENEZUELA USD'!$AH$4</f>
        <v>8888.8176352705414</v>
      </c>
      <c r="I20" s="34">
        <f t="shared" si="2"/>
        <v>1</v>
      </c>
      <c r="J20" s="34">
        <f t="shared" si="7"/>
        <v>-0.43758053099758171</v>
      </c>
      <c r="K20" s="32">
        <f>'VZLA BFS'!K20/'VENEZUELA USD'!$AH$3</f>
        <v>60515.740501864289</v>
      </c>
      <c r="L20" s="34">
        <f t="shared" si="3"/>
        <v>1</v>
      </c>
      <c r="M20" s="32">
        <f>'VZLA BFS'!M20/'VENEZUELA USD'!$AH$3</f>
        <v>43147.026169522927</v>
      </c>
      <c r="N20" s="34">
        <f>+M20/$M$20</f>
        <v>1</v>
      </c>
      <c r="O20" s="34">
        <f t="shared" si="8"/>
        <v>0.71298848550310168</v>
      </c>
      <c r="P20" s="63">
        <f>+'VZLA BFS'!P20/'VENEZUELA USD'!$AH$4</f>
        <v>57863.727454909822</v>
      </c>
      <c r="Q20" s="34">
        <f t="shared" si="5"/>
        <v>1</v>
      </c>
      <c r="R20" s="34">
        <f t="shared" si="9"/>
        <v>-0.25433379308055898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>
        <f t="shared" si="3"/>
        <v>0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5480.5928670680869</v>
      </c>
      <c r="V21" s="32">
        <f>+V10+V19</f>
        <v>6599.0859194071336</v>
      </c>
      <c r="W21" s="32">
        <f>+'VZLA BFS'!W21/'VENEZUELA USD'!$AH$3</f>
        <v>4999.3747105141265</v>
      </c>
      <c r="X21" s="32">
        <f>+'VZLA BFS'!X21/'VENEZUELA USD'!$AH$3</f>
        <v>5480.5928670680869</v>
      </c>
      <c r="Y21" s="32">
        <f>+Y10+Y19</f>
        <v>13861.718388142661</v>
      </c>
      <c r="Z21" s="63">
        <f>+Y21-X21</f>
        <v>8381.125521074573</v>
      </c>
      <c r="AA21" s="68">
        <f>IF(X21=0,"",(Y21-X21)/ABS(X21)+1)</f>
        <v>2.5292370231394625</v>
      </c>
      <c r="AB21" s="32">
        <f>+'VZLA BFS'!AB21/'VENEZUELA USD'!$AH$3</f>
        <v>8808.9856415006943</v>
      </c>
      <c r="AC21" s="68">
        <f>IF(AB21=0,"",(Y21-AB21)/ABS(AB21))</f>
        <v>0.57358848706003629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>
        <f t="shared" si="3"/>
        <v>0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4999.2440944881891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8888.8176352705414</v>
      </c>
      <c r="I24" s="34">
        <f>IF($H$20&lt;=0," ",H24/$H$20)</f>
        <v>1</v>
      </c>
      <c r="J24" s="34">
        <f>IF(E24=0,"",(E24-H24)/ABS(H24))</f>
        <v>-0.43758053099758171</v>
      </c>
      <c r="K24" s="32">
        <f>'VZLA BFS'!K22/'VENEZUELA USD'!$AH$3</f>
        <v>0</v>
      </c>
      <c r="L24" s="34">
        <f>IF($K$20&lt;=0," ",K24/$K$20)</f>
        <v>0</v>
      </c>
      <c r="M24" s="32">
        <f>'VZLA BFS'!M24/'VENEZUELA USD'!$AH$3</f>
        <v>43147.026169522927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57863.727454909822</v>
      </c>
      <c r="Q24" s="34">
        <f>IF($P$20&lt;=0," ",P24/$P$20)</f>
        <v>1</v>
      </c>
      <c r="R24" s="34">
        <f>IF(M24=0,"",(M24-P24)/ABS(P24))</f>
        <v>-0.25433379308055898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162.43631310792034</v>
      </c>
      <c r="X25" s="32">
        <f>+'VZLA BFS'!X25/'VENEZUELA USD'!$AH$3</f>
        <v>0</v>
      </c>
      <c r="Y25" s="32">
        <f>+'VZLA BFS'!Y25/'VENEZUELA USD'!$AH$3</f>
        <v>8206.1834182491893</v>
      </c>
      <c r="Z25" s="63">
        <f>+Y25-X25</f>
        <v>8206.1834182491893</v>
      </c>
      <c r="AA25" s="68" t="str">
        <f>IF(X25=0,"",(Y25-X25)/ABS(X25)+1)</f>
        <v/>
      </c>
      <c r="AB25" s="32">
        <f>+'VZLA BFS'!AB25/'VENEZUELA USD'!$AH$3</f>
        <v>3972.0472440944882</v>
      </c>
      <c r="AC25" s="68">
        <f>IF(AB25=0,"",(Y25-AB25)/ABS(AB25))</f>
        <v>1.0659833365400873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97.927512737378422</v>
      </c>
      <c r="F26" s="34">
        <f>+E26/$E$20</f>
        <v>1.9588463953049688E-2</v>
      </c>
      <c r="G26" s="34" t="str">
        <f>IF(C26=0,"",(E26-C26)/ABS(C26)+1)</f>
        <v/>
      </c>
      <c r="H26" s="63">
        <f>+'VZLA BFS'!H26/'VENEZUELA USD'!$AH$4</f>
        <v>104.68937875751503</v>
      </c>
      <c r="I26" s="34">
        <f>IF($H$20&lt;=0," ",H26/$H$20)</f>
        <v>1.1777649520236634E-2</v>
      </c>
      <c r="J26" s="34">
        <f>IF(E26=0,"",(E26-H26)/ABS(H26))</f>
        <v>-6.4589799847782681E-2</v>
      </c>
      <c r="K26" s="32">
        <f>'VZLA BFS'!K23/'VENEZUELA USD'!$AH$3</f>
        <v>0</v>
      </c>
      <c r="L26" s="34">
        <f>IF($K$20&lt;=0," ",K26/$K$20)</f>
        <v>0</v>
      </c>
      <c r="M26" s="32">
        <f>'VZLA BFS'!M26/'VENEZUELA USD'!$AH$3</f>
        <v>677.89462714219553</v>
      </c>
      <c r="N26" s="34">
        <f>+M26/$M$20</f>
        <v>1.5711271142506436E-2</v>
      </c>
      <c r="O26" s="34" t="str">
        <f>IF(K26=0,"",(M26-K26)/ABS(K26)+1)</f>
        <v/>
      </c>
      <c r="P26" s="63">
        <f>+'VZLA BFS'!P26/'VENEZUELA USD'!$AH$4</f>
        <v>1369.8997995991983</v>
      </c>
      <c r="Q26" s="34">
        <f>IF($P$20&lt;=0," ",P26/$P$20)</f>
        <v>2.3674586132853084E-2</v>
      </c>
      <c r="R26" s="34">
        <f>IF(M26=0,"",(M26-P26)/ABS(P26))</f>
        <v>-0.50515021073765243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10370.4649856415</v>
      </c>
      <c r="D27" s="34" t="str">
        <f>IF(DD33&lt;=0," ",C27/$C$20)</f>
        <v xml:space="preserve"> </v>
      </c>
      <c r="E27" s="32">
        <f>'VZLA BFS'!E27/'VENEZUELA USD'!$AH$3</f>
        <v>903.5</v>
      </c>
      <c r="F27" s="34">
        <f>+E27/$E$20</f>
        <v>0.18072732255585094</v>
      </c>
      <c r="G27" s="34">
        <f>IF(C27=0,"",(E27-C27)/ABS(C27)+1)</f>
        <v>8.7122419414264241E-2</v>
      </c>
      <c r="H27" s="63">
        <f>+'VZLA BFS'!H27/'VENEZUELA USD'!$AH$4</f>
        <v>937.43486973947904</v>
      </c>
      <c r="I27" s="34">
        <f>IF($H$20&lt;=0," ",H27/$H$20)</f>
        <v>0.10546226823461512</v>
      </c>
      <c r="J27" s="34">
        <f>IF(E27=0,"",(E27-H27)/ABS(H27))</f>
        <v>-3.6199709265039209E-2</v>
      </c>
      <c r="K27" s="32">
        <f>'VZLA BFS'!K24/'VENEZUELA USD'!$AH$3</f>
        <v>60515.740501864289</v>
      </c>
      <c r="L27" s="34">
        <f>IF($K$20&lt;=0," ",K27/$K$20)</f>
        <v>1</v>
      </c>
      <c r="M27" s="32">
        <f>'VZLA BFS'!M27/'VENEZUELA USD'!$AH$3</f>
        <v>5823.8990273274667</v>
      </c>
      <c r="N27" s="34">
        <f>+M27/$M$20</f>
        <v>0.1349779937195579</v>
      </c>
      <c r="O27" s="34">
        <f>IF(K27=0,"",(M27-K27)/ABS(K27)+1)</f>
        <v>9.6237755318354767E-2</v>
      </c>
      <c r="P27" s="63">
        <f>+'VZLA BFS'!P27/'VENEZUELA USD'!$AH$4</f>
        <v>5819.6392785571143</v>
      </c>
      <c r="Q27" s="34">
        <f>IF($P$20&lt;=0," ",P27/$P$20)</f>
        <v>0.10057491168525316</v>
      </c>
      <c r="R27" s="34">
        <f>IF(M27=0,"",(M27-P27)/ABS(P27))</f>
        <v>7.3196096294967489E-4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1001.4275127373784</v>
      </c>
      <c r="F28" s="34">
        <f>+E28/$E$20</f>
        <v>0.20031578650890064</v>
      </c>
      <c r="G28" s="34" t="str">
        <f>IF(C28=0,"",(E28-C28)/ABS(C28)+1)</f>
        <v/>
      </c>
      <c r="H28" s="63">
        <f>+'VZLA BFS'!H28/'VENEZUELA USD'!$AH$4</f>
        <v>1042.1242484969939</v>
      </c>
      <c r="I28" s="34">
        <f>IF($H$20&lt;=0," ",H28/$H$20)</f>
        <v>0.11723991775485174</v>
      </c>
      <c r="J28" s="34">
        <f>IF(E28=0,"",(E28-H28)/ABS(H28))</f>
        <v>-3.9051711749640693E-2</v>
      </c>
      <c r="K28" s="32">
        <f>'VZLA BFS'!K25/'VENEZUELA USD'!$AH$3</f>
        <v>0</v>
      </c>
      <c r="L28" s="34">
        <f>IF($K$20&lt;=0," ",K28/$K$20)</f>
        <v>0</v>
      </c>
      <c r="M28" s="32">
        <f>'VZLA BFS'!M28/'VENEZUELA USD'!$AH$3</f>
        <v>6501.7936544696622</v>
      </c>
      <c r="N28" s="34">
        <f>+M28/$M$20</f>
        <v>0.15068926486206435</v>
      </c>
      <c r="O28" s="34" t="str">
        <f>IF(K28=0,"",(M28-K28)/ABS(K28)+1)</f>
        <v/>
      </c>
      <c r="P28" s="63">
        <f>+'VZLA BFS'!P28/'VENEZUELA USD'!$AH$4</f>
        <v>7189.5390781563128</v>
      </c>
      <c r="Q28" s="34">
        <f>IF($P$20&lt;=0," ",P28/$P$20)</f>
        <v>0.12424949781810625</v>
      </c>
      <c r="R28" s="34">
        <f>IF(M28=0,"",(M28-P28)/ABS(P28))</f>
        <v>-9.5659181515015318E-2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266.78598723501625</v>
      </c>
      <c r="D30" s="34" t="str">
        <f>IF(DD35&lt;=0," ",C30/$C$20)</f>
        <v xml:space="preserve"> </v>
      </c>
      <c r="E30" s="32">
        <f>'VZLA BFS'!E30/'VENEZUELA USD'!$AH$3</f>
        <v>3190.6834182491893</v>
      </c>
      <c r="F30" s="34">
        <f>+E30/$E$20</f>
        <v>0.63823317244441213</v>
      </c>
      <c r="G30" s="34">
        <f>IF(C30=0,"",(E30-C30)/ABS(C30)+1)</f>
        <v>11.959711420069686</v>
      </c>
      <c r="H30" s="63">
        <f>+'VZLA BFS'!H30/'VENEZUELA USD'!$AH$4</f>
        <v>4099.6793587174352</v>
      </c>
      <c r="I30" s="34">
        <f>IF($H$20&lt;=0," ",H30/$H$20)</f>
        <v>0.4612176249909819</v>
      </c>
      <c r="J30" s="34">
        <f>IF(E30=0,"",(E30-H30)/ABS(H30))</f>
        <v>-0.22172366688516362</v>
      </c>
      <c r="K30" s="32">
        <f>'VZLA BFS'!K26/'VENEZUELA USD'!$AH$3</f>
        <v>1544.2299573703567</v>
      </c>
      <c r="L30" s="34">
        <f>IF($K$20&lt;=0," ",K30/$K$20)</f>
        <v>2.5517823041804871E-2</v>
      </c>
      <c r="M30" s="32">
        <f>'VZLA BFS'!M30/'VENEZUELA USD'!$AH$3</f>
        <v>26533.94696618805</v>
      </c>
      <c r="N30" s="34">
        <f>+M30/$M$20</f>
        <v>0.61496583477010081</v>
      </c>
      <c r="O30" s="34">
        <f>IF(K30=0,"",(M30-K30)/ABS(K30)+1)</f>
        <v>17.182639696598208</v>
      </c>
      <c r="P30" s="63">
        <f>+'VZLA BFS'!P30/'VENEZUELA USD'!$AH$4</f>
        <v>27133.947895791585</v>
      </c>
      <c r="Q30" s="34">
        <f>IF($P$20&lt;=0," ",P30/$P$20)</f>
        <v>0.46892844773844983</v>
      </c>
      <c r="R30" s="34">
        <f>IF(M30=0,"",(M30-P30)/ABS(P30))</f>
        <v>-2.2112555530358111E-2</v>
      </c>
      <c r="S30" s="68"/>
      <c r="T30" s="3" t="s">
        <v>51</v>
      </c>
      <c r="U30" s="32">
        <f>+'VZLA BFS'!U30/'VENEZUELA USD'!$AH$3</f>
        <v>5480.5928670680869</v>
      </c>
      <c r="V30" s="32">
        <f>+V21-V25-V23+V27</f>
        <v>4862.9959194071334</v>
      </c>
      <c r="W30" s="32">
        <f>+W21-W25-W23+W27</f>
        <v>4836.9383974062057</v>
      </c>
      <c r="X30" s="32">
        <f>+X21-X25-X23-X27</f>
        <v>5480.5928670680869</v>
      </c>
      <c r="Y30" s="32">
        <f>+Y21-Y25-Y23+Y27</f>
        <v>5655.5349698934715</v>
      </c>
      <c r="Z30" s="63">
        <f>+Y30-X30</f>
        <v>174.94210282538461</v>
      </c>
      <c r="AA30" s="68">
        <f>IF(U30=0,"",(V30-U30)/ABS(U30)+1)</f>
        <v>0.88731201849128694</v>
      </c>
      <c r="AB30" s="32">
        <f>+AB21-AB25-AB23-AB27</f>
        <v>4836.9383974062057</v>
      </c>
      <c r="AC30" s="68">
        <f>IF(AB30=0,"",(Y30-AB30)/ABS(AB30))</f>
        <v>0.16923857722195426</v>
      </c>
    </row>
    <row r="31" spans="2:33" x14ac:dyDescent="0.2">
      <c r="B31" s="3" t="s">
        <v>52</v>
      </c>
      <c r="C31" s="32">
        <f>'VZLA BFS'!C27/'VENEZUELA USD'!$AH$3</f>
        <v>621.81319335222054</v>
      </c>
      <c r="D31" s="34" t="str">
        <f>IF(DD36&lt;=0," ",C31/$C$20)</f>
        <v xml:space="preserve"> </v>
      </c>
      <c r="E31" s="32">
        <f>'VZLA BFS'!E31/'VENEZUELA USD'!$AH$3</f>
        <v>973.95785085687817</v>
      </c>
      <c r="F31" s="34">
        <f>+E31/$E$20</f>
        <v>0.19482102342846089</v>
      </c>
      <c r="G31" s="34">
        <f>IF(C31=0,"",(E31-C31)/ABS(C31)+1)</f>
        <v>1.5663190509133962</v>
      </c>
      <c r="H31" s="63">
        <f>+'VZLA BFS'!H31/'VENEZUELA USD'!$AH$4</f>
        <v>1232.1442885771544</v>
      </c>
      <c r="I31" s="34">
        <f>IF($H$20&lt;=0," ",H31/$H$20)</f>
        <v>0.13861734362600101</v>
      </c>
      <c r="J31" s="34">
        <f>IF(E31=0,"",(E31-H31)/ABS(H31))</f>
        <v>-0.20954237268625631</v>
      </c>
      <c r="K31" s="32">
        <f>'VZLA BFS'!K27/'VENEZUELA USD'!$AH$3</f>
        <v>5431.8932302167077</v>
      </c>
      <c r="L31" s="34">
        <f>IF($K$20&lt;=0," ",K31/$K$20)</f>
        <v>8.9760005994628272E-2</v>
      </c>
      <c r="M31" s="32">
        <f>'VZLA BFS'!M31/'VENEZUELA USD'!$AH$3</f>
        <v>7619.1790180639191</v>
      </c>
      <c r="N31" s="34">
        <f>+M31/$M$20</f>
        <v>0.17658642308576428</v>
      </c>
      <c r="O31" s="34">
        <f>IF(K31=0,"",(M31-K31)/ABS(K31)+1)</f>
        <v>1.4026746651940263</v>
      </c>
      <c r="P31" s="63">
        <f>+'VZLA BFS'!P31/'VENEZUELA USD'!$AH$4</f>
        <v>7086.7334669338679</v>
      </c>
      <c r="Q31" s="34">
        <f>IF($P$20&lt;=0," ",P31/$P$20)</f>
        <v>0.12247281291126966</v>
      </c>
      <c r="R31" s="34">
        <f>IF(M31=0,"",(M31-P31)/ABS(P31))</f>
        <v>7.5132718566939136E-2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888.59918058723679</v>
      </c>
      <c r="D32" s="34" t="str">
        <f>IF(DD37&lt;=0," ",C32/$C$20)</f>
        <v xml:space="preserve"> </v>
      </c>
      <c r="E32" s="32">
        <f>'VZLA BFS'!E32/'VENEZUELA USD'!$AH$3</f>
        <v>4164.6412691060677</v>
      </c>
      <c r="F32" s="34">
        <f>+E32/$E$20</f>
        <v>0.83305419587287299</v>
      </c>
      <c r="G32" s="34">
        <f>IF(C32=0,"",(E32-C32)/ABS(C32)+1)</f>
        <v>4.6867489415799781</v>
      </c>
      <c r="H32" s="63">
        <f>+'VZLA BFS'!H32/'VENEZUELA USD'!$AH$4</f>
        <v>5331.8236472945891</v>
      </c>
      <c r="I32" s="34">
        <f>IF($H$20&lt;=0," ",H32/$H$20)</f>
        <v>0.59983496861698293</v>
      </c>
      <c r="J32" s="34">
        <f>IF(E32=0,"",(E32-H32)/ABS(H32))</f>
        <v>-0.21890866153848867</v>
      </c>
      <c r="K32" s="32">
        <f>'VZLA BFS'!K28/'VENEZUELA USD'!$AH$3</f>
        <v>6976.1231875870653</v>
      </c>
      <c r="L32" s="34">
        <f>IF($K$20&lt;=0," ",K32/$K$20)</f>
        <v>0.11527782903643316</v>
      </c>
      <c r="M32" s="32">
        <f>'VZLA BFS'!M32/'VENEZUELA USD'!$AH$3</f>
        <v>34153.125984251965</v>
      </c>
      <c r="N32" s="34">
        <f>+M32/$M$20</f>
        <v>0.79155225785586492</v>
      </c>
      <c r="O32" s="34">
        <f>IF(K32=0,"",(M32-K32)/ABS(K32)+1)</f>
        <v>4.8957171577792922</v>
      </c>
      <c r="P32" s="63">
        <f>+'VZLA BFS'!P32/'VENEZUELA USD'!$AH$4</f>
        <v>34220.681362725452</v>
      </c>
      <c r="Q32" s="34">
        <f>IF($P$20&lt;=0," ",P32/$P$20)</f>
        <v>0.59140126064971943</v>
      </c>
      <c r="R32" s="34">
        <f>IF(M32=0,"",(M32-P32)/ABS(P32))</f>
        <v>-1.9741096840658339E-3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5166.0687818434453</v>
      </c>
      <c r="F34" s="34">
        <f>+E34/$E$20</f>
        <v>1.0333699823817735</v>
      </c>
      <c r="G34" s="34" t="str">
        <f>IF(C34=0,"",(E34-C34)/ABS(C34)+1)</f>
        <v/>
      </c>
      <c r="H34" s="63">
        <f>+'VZLA BFS'!H34/'VENEZUELA USD'!$AH$4</f>
        <v>6373.9478957915835</v>
      </c>
      <c r="I34" s="34">
        <f>IF($H$20&lt;=0," ",H34/$H$20)</f>
        <v>0.7170748863718347</v>
      </c>
      <c r="J34" s="34">
        <f>IF(E34=0,"",(E34-H34)/ABS(H34))</f>
        <v>-0.18950250828778248</v>
      </c>
      <c r="K34" s="32">
        <f>'VZLA BFS'!K29/'VENEZUELA USD'!$AH$3</f>
        <v>0</v>
      </c>
      <c r="L34" s="34">
        <f>IF($K$20&lt;=0," ",K34/$K$20)</f>
        <v>0</v>
      </c>
      <c r="M34" s="32">
        <f>'VZLA BFS'!M34/'VENEZUELA USD'!$AH$3</f>
        <v>40654.919638721629</v>
      </c>
      <c r="N34" s="34">
        <f>+M34/$M$20</f>
        <v>0.94224152271792938</v>
      </c>
      <c r="O34" s="34" t="str">
        <f>IF(K34=0,"",(M34-K34)/ABS(K34)+1)</f>
        <v/>
      </c>
      <c r="P34" s="63">
        <f>+'VZLA BFS'!P34/'VENEZUELA USD'!$AH$4</f>
        <v>41410.220440881763</v>
      </c>
      <c r="Q34" s="34">
        <f>IF($P$20&lt;=0," ",P34/$P$20)</f>
        <v>0.71565075846782567</v>
      </c>
      <c r="R34" s="34">
        <f>IF(M34=0,"",(M34-P34)/ABS(P34))</f>
        <v>-1.8239477938506034E-2</v>
      </c>
      <c r="S34" s="68"/>
      <c r="AL34" s="79" t="s">
        <v>131</v>
      </c>
      <c r="AT34" s="79" t="s">
        <v>132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6" t="s">
        <v>6</v>
      </c>
      <c r="AM35" s="107">
        <v>1788641</v>
      </c>
      <c r="AN35" s="108"/>
      <c r="AO35" s="108"/>
      <c r="AP35" s="108"/>
      <c r="AQ35" s="108"/>
      <c r="AT35" s="106" t="s">
        <v>6</v>
      </c>
      <c r="AU35" s="107">
        <v>4.71</v>
      </c>
      <c r="AV35" s="108"/>
      <c r="AW35" s="108"/>
      <c r="AX35" s="108"/>
      <c r="AY35" s="108"/>
    </row>
    <row r="36" spans="2:51" ht="15" x14ac:dyDescent="0.25">
      <c r="B36" s="3" t="s">
        <v>55</v>
      </c>
      <c r="C36" s="32">
        <f>'VZLA BFS'!C30/'VENEZUELA USD'!$AH$3</f>
        <v>7168.4580014838612</v>
      </c>
      <c r="D36" s="34" t="str">
        <f>IF(DD39&lt;=0," ",C36/$C$20)</f>
        <v xml:space="preserve"> </v>
      </c>
      <c r="E36" s="32">
        <f>'VZLA BFS'!E36/'VENEZUELA USD'!$AH$3</f>
        <v>-166.82468735525617</v>
      </c>
      <c r="F36" s="34">
        <f>+E36/$E$20</f>
        <v>-3.3369982381773515E-2</v>
      </c>
      <c r="G36" s="34">
        <f>IF(C36=0,"",(E36-C36)/ABS(C36)+1)</f>
        <v>-2.3272046417893932E-2</v>
      </c>
      <c r="H36" s="63">
        <f>+'VZLA BFS'!H36/'VENEZUELA USD'!$AH$4</f>
        <v>2514.8697394789579</v>
      </c>
      <c r="I36" s="34">
        <f>IF($H$20&lt;=0," ",H36/$H$20)</f>
        <v>0.28292511362816536</v>
      </c>
      <c r="J36" s="34">
        <f>IF(E36=0,"",(E36-H36)/ABS(H36))</f>
        <v>-1.0663353193751577</v>
      </c>
      <c r="K36" s="32">
        <f>'VZLA BFS'!K30/'VENEZUELA USD'!$AH$3</f>
        <v>42560.788483631492</v>
      </c>
      <c r="L36" s="34">
        <f>IF($K$20&lt;=0," ",K36/$K$20)</f>
        <v>0.7033011267922985</v>
      </c>
      <c r="M36" s="32">
        <f>'VZLA BFS'!M36/'VENEZUELA USD'!$AH$3</f>
        <v>2492.1065308012949</v>
      </c>
      <c r="N36" s="34">
        <f>+M36/$M$20</f>
        <v>5.7758477282070585E-2</v>
      </c>
      <c r="O36" s="34">
        <f>IF(K36=0,"",(M36-K36)/ABS(K36)+1)</f>
        <v>5.8554049856471391E-2</v>
      </c>
      <c r="P36" s="63">
        <f>+'VZLA BFS'!P36/'VENEZUELA USD'!$AH$4</f>
        <v>16453.507014028055</v>
      </c>
      <c r="Q36" s="34">
        <f>IF($P$20&lt;=0," ",P36/$P$20)</f>
        <v>0.28434924153217422</v>
      </c>
      <c r="R36" s="34">
        <f>IF(M36=0,"",(M36-P36)/ABS(P36))</f>
        <v>-0.84853645312962422</v>
      </c>
      <c r="AL36" s="106" t="s">
        <v>9</v>
      </c>
      <c r="AM36" s="107">
        <v>1899023</v>
      </c>
      <c r="AN36" s="108"/>
      <c r="AO36" s="108"/>
      <c r="AP36" s="108"/>
      <c r="AQ36" s="108"/>
      <c r="AT36" s="106" t="s">
        <v>9</v>
      </c>
      <c r="AU36" s="107">
        <v>4.6100000000000003</v>
      </c>
      <c r="AV36" s="108"/>
      <c r="AW36" s="108"/>
      <c r="AX36" s="108"/>
      <c r="AY36" s="108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6" t="s">
        <v>10</v>
      </c>
      <c r="AM37" s="107">
        <v>2115582</v>
      </c>
      <c r="AN37" s="108"/>
      <c r="AO37" s="108"/>
      <c r="AP37" s="108"/>
      <c r="AQ37" s="108"/>
      <c r="AT37" s="106" t="s">
        <v>10</v>
      </c>
      <c r="AU37" s="107">
        <v>4.4800000000000004</v>
      </c>
      <c r="AV37" s="108"/>
      <c r="AW37" s="108"/>
      <c r="AX37" s="108"/>
      <c r="AY37" s="108"/>
    </row>
    <row r="38" spans="2:51" ht="15" x14ac:dyDescent="0.25">
      <c r="B38" s="3" t="s">
        <v>56</v>
      </c>
      <c r="C38" s="32">
        <f>'VZLA BFS'!C31/'VENEZUELA USD'!$AH$3</f>
        <v>975.82213987957391</v>
      </c>
      <c r="D38" s="34" t="str">
        <f>IF(DD40&lt;=0," ",C38/$C$20)</f>
        <v xml:space="preserve"> </v>
      </c>
      <c r="E38" s="32">
        <f>'VZLA BFS'!E38/'VENEZUELA USD'!$AH$3</f>
        <v>-49.19823992589162</v>
      </c>
      <c r="F38" s="34">
        <f>+E38/$E$20</f>
        <v>-9.8411357789338783E-3</v>
      </c>
      <c r="G38" s="34">
        <f>IF(C38=0,"",(E38-C38)/ABS(C38)+1)</f>
        <v>-5.0417220429086917E-2</v>
      </c>
      <c r="H38" s="63">
        <f>+'VZLA BFS'!H38/'VENEZUELA USD'!$AH$4</f>
        <v>2534.2284569138278</v>
      </c>
      <c r="I38" s="34">
        <f>IF($H$20&lt;=0," ",H38/$H$20)</f>
        <v>0.28510298679748936</v>
      </c>
      <c r="J38" s="34">
        <f>IF(E38=0,"",(E38-H38)/ABS(H38))</f>
        <v>-1.0194134983338501</v>
      </c>
      <c r="K38" s="32">
        <f>'VZLA BFS'!K31/'VENEZUELA USD'!$AH$3</f>
        <v>7760.2362204724413</v>
      </c>
      <c r="L38" s="34">
        <f>IF($K$20&lt;=0," ",K38/$K$20)</f>
        <v>0.1282350039199037</v>
      </c>
      <c r="M38" s="32">
        <f>'VZLA BFS'!M38/'VENEZUELA USD'!$AH$3</f>
        <v>-144.83881426586382</v>
      </c>
      <c r="N38" s="34">
        <f>+M38/$M$20</f>
        <v>-3.3568666748155008E-3</v>
      </c>
      <c r="O38" s="34">
        <f>IF(K38=0,"",(M38-K38)/ABS(K38)+1)</f>
        <v>-1.8664227499127106E-2</v>
      </c>
      <c r="P38" s="63">
        <f>+'VZLA BFS'!P38/'VENEZUELA USD'!$AH$4</f>
        <v>9634.5490981963922</v>
      </c>
      <c r="Q38" s="34">
        <f>IF($P$20&lt;=0," ",P38/$P$20)</f>
        <v>0.1665041213548521</v>
      </c>
      <c r="R38" s="34">
        <f>IF(M38=0,"",(M38-P38)/ABS(P38))</f>
        <v>-1.0150332737723011</v>
      </c>
      <c r="AL38" s="106" t="s">
        <v>11</v>
      </c>
      <c r="AM38" s="107">
        <v>2900823</v>
      </c>
      <c r="AN38" s="108"/>
      <c r="AO38" s="108"/>
      <c r="AP38" s="108"/>
      <c r="AQ38" s="108"/>
      <c r="AT38" s="106" t="s">
        <v>11</v>
      </c>
      <c r="AU38" s="107">
        <v>4.57</v>
      </c>
      <c r="AV38" s="108"/>
      <c r="AW38" s="108"/>
      <c r="AX38" s="108"/>
      <c r="AY38" s="108"/>
    </row>
    <row r="39" spans="2:51" ht="15" x14ac:dyDescent="0.25">
      <c r="B39" s="3" t="s">
        <v>57</v>
      </c>
      <c r="C39" s="32">
        <f>'VZLA BFS'!C32/'VENEZUELA USD'!$AH$3</f>
        <v>8144.2801413634343</v>
      </c>
      <c r="D39" s="34" t="str">
        <f>IF(DD41&lt;=0," ",C39/$C$20)</f>
        <v xml:space="preserve"> </v>
      </c>
      <c r="E39" s="32">
        <f>'VZLA BFS'!E39/'VENEZUELA USD'!$AH$3</f>
        <v>0</v>
      </c>
      <c r="F39" s="34">
        <f>+E39/$E$20</f>
        <v>0</v>
      </c>
      <c r="G39" s="34">
        <f>IF(C39=0,"",(E39-C39)/ABS(C39)+1)</f>
        <v>0</v>
      </c>
      <c r="H39" s="63">
        <f>+'VZLA BFS'!H39/'VENEZUELA USD'!$AH$4</f>
        <v>221.80360721442887</v>
      </c>
      <c r="I39" s="34">
        <f>IF($H$20&lt;=0," ",H39/$H$20)</f>
        <v>2.4953105836519732E-2</v>
      </c>
      <c r="J39" s="34" t="str">
        <f>IF(E39=0,"",(E39-H39)/ABS(H39))</f>
        <v/>
      </c>
      <c r="K39" s="32">
        <f>'VZLA BFS'!K32/'VENEZUELA USD'!$AH$3</f>
        <v>50321.024704103933</v>
      </c>
      <c r="L39" s="34">
        <f>IF($K$20&lt;=0," ",K39/$K$20)</f>
        <v>0.83153613071220223</v>
      </c>
      <c r="M39" s="32">
        <f>'VZLA BFS'!M39/'VENEZUELA USD'!$AH$3</f>
        <v>738.81982399258925</v>
      </c>
      <c r="N39" s="34">
        <f>+M39/$M$20</f>
        <v>1.7123308129969282E-2</v>
      </c>
      <c r="O39" s="34">
        <f>IF(K39=0,"",(M39-K39)/ABS(K39)+1)</f>
        <v>1.4682129951386624E-2</v>
      </c>
      <c r="P39" s="63">
        <f>+'VZLA BFS'!P39/'VENEZUELA USD'!$AH$4</f>
        <v>1034.4689378757516</v>
      </c>
      <c r="Q39" s="34">
        <f>IF($P$20&lt;=0," ",P39/$P$20)</f>
        <v>1.7877675417330471E-2</v>
      </c>
      <c r="R39" s="34">
        <f>IF(M39=0,"",(M39-P39)/ABS(P39))</f>
        <v>-0.28579796169643162</v>
      </c>
      <c r="AL39" s="106" t="s">
        <v>12</v>
      </c>
      <c r="AM39" s="107">
        <v>3143738</v>
      </c>
      <c r="AN39" s="108"/>
      <c r="AO39" s="108"/>
      <c r="AP39" s="108"/>
      <c r="AQ39" s="108"/>
      <c r="AT39" s="106" t="s">
        <v>12</v>
      </c>
      <c r="AU39" s="107">
        <v>5.14</v>
      </c>
      <c r="AV39" s="108"/>
      <c r="AW39" s="108"/>
      <c r="AX39" s="108"/>
      <c r="AY39" s="108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6" t="s">
        <v>13</v>
      </c>
      <c r="AM40" s="107">
        <v>3267940</v>
      </c>
      <c r="AN40" s="108"/>
      <c r="AO40" s="108"/>
      <c r="AP40" s="108"/>
      <c r="AQ40" s="108"/>
      <c r="AT40" s="106" t="s">
        <v>13</v>
      </c>
      <c r="AU40" s="107">
        <v>5.78</v>
      </c>
      <c r="AV40" s="108"/>
      <c r="AW40" s="108"/>
      <c r="AX40" s="108"/>
      <c r="AY40" s="108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-216.02292728114782</v>
      </c>
      <c r="F41" s="34">
        <f>+E41/$E$20</f>
        <v>-4.3211118160707399E-2</v>
      </c>
      <c r="G41" s="34" t="str">
        <f>IF(C41=0,"",(E41-C41)/ABS(C41)+1)</f>
        <v/>
      </c>
      <c r="H41" s="63">
        <f>+'VZLA BFS'!H41/'VENEZUELA USD'!$AH$4</f>
        <v>4827.2945891783565</v>
      </c>
      <c r="I41" s="34">
        <f>IF($H$20&lt;=0," ",H41/$H$20)</f>
        <v>0.543074994589135</v>
      </c>
      <c r="J41" s="34">
        <f>IF(E41=0,"",(E41-H41)/ABS(H41))</f>
        <v>-1.0447503095761794</v>
      </c>
      <c r="K41" s="32">
        <f>'VZLA BFS'!K33/'VENEZUELA USD'!$AH$3</f>
        <v>0</v>
      </c>
      <c r="L41" s="34">
        <f>IF($K$20&lt;=0," ",K41/$K$20)</f>
        <v>0</v>
      </c>
      <c r="M41" s="32">
        <f>'VZLA BFS'!M41/'VENEZUELA USD'!$AH$3</f>
        <v>1608.4478925428418</v>
      </c>
      <c r="N41" s="34">
        <f>+M41/$M$20</f>
        <v>3.72783024772858E-2</v>
      </c>
      <c r="O41" s="34" t="str">
        <f>IF(K41=0,"",(M41-K41)/ABS(K41)+1)</f>
        <v/>
      </c>
      <c r="P41" s="63">
        <f>+'VZLA BFS'!P41/'VENEZUELA USD'!$AH$4</f>
        <v>25053.587174348697</v>
      </c>
      <c r="Q41" s="34">
        <f>IF($P$20&lt;=0," ",P41/$P$20)</f>
        <v>0.43297568746969589</v>
      </c>
      <c r="R41" s="34">
        <f>IF(M41=0,"",(M41-P41)/ABS(P41))</f>
        <v>-0.93579969681189357</v>
      </c>
      <c r="AL41" s="106" t="s">
        <v>14</v>
      </c>
      <c r="AM41" s="107">
        <v>4139112</v>
      </c>
      <c r="AN41" s="108"/>
      <c r="AO41" s="108"/>
      <c r="AP41" s="108"/>
      <c r="AQ41" s="108"/>
      <c r="AT41" s="106" t="s">
        <v>14</v>
      </c>
      <c r="AU41" s="107">
        <v>5.91</v>
      </c>
      <c r="AV41" s="108"/>
      <c r="AW41" s="108"/>
      <c r="AX41" s="108"/>
      <c r="AY41" s="108"/>
    </row>
    <row r="42" spans="2:51" ht="15" x14ac:dyDescent="0.25">
      <c r="B42" s="3" t="s">
        <v>44</v>
      </c>
      <c r="C42" s="32">
        <f>'VZLA BFS'!C34/'VENEZUELA USD'!$AH$3</f>
        <v>9032.8793219506715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>
        <f>IF(C42=0,"",(E42-C42)/ABS(C42)+1)</f>
        <v>0</v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57297.147891690998</v>
      </c>
      <c r="L42" s="34">
        <f>IF($K$20&lt;=0," ",K42/$K$20)</f>
        <v>0.94681395974863536</v>
      </c>
      <c r="M42" s="32">
        <f>'VZLA BFS'!M42/'VENEZUELA USD'!$AH$3</f>
        <v>0</v>
      </c>
      <c r="N42" s="34">
        <f>+M42/$M$20</f>
        <v>0</v>
      </c>
      <c r="O42" s="34">
        <f>IF(K42=0,"",(M42-K42)/ABS(K42)+1)</f>
        <v>0</v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6" t="s">
        <v>7</v>
      </c>
      <c r="AM42" s="107">
        <v>4148043</v>
      </c>
      <c r="AN42" s="108"/>
      <c r="AO42" s="108"/>
      <c r="AP42" s="108"/>
      <c r="AQ42" s="108"/>
      <c r="AT42" s="106" t="s">
        <v>7</v>
      </c>
      <c r="AU42" s="107">
        <v>8.39</v>
      </c>
      <c r="AV42" s="108"/>
      <c r="AW42" s="108"/>
      <c r="AX42" s="108"/>
      <c r="AY42" s="108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-216.02292728114782</v>
      </c>
      <c r="F43" s="34">
        <f>+E43/$E$20</f>
        <v>-4.3211118160707399E-2</v>
      </c>
      <c r="G43" s="34" t="str">
        <f>IF(C43=0,"",(E43-C43)/ABS(C43)+1)</f>
        <v/>
      </c>
      <c r="H43" s="63">
        <f>+'VZLA BFS'!H43/'VENEZUELA USD'!$AH$4</f>
        <v>4827.2945891783565</v>
      </c>
      <c r="I43" s="34">
        <f>IF($H$20&lt;=0," ",H43/$H$20)</f>
        <v>0.543074994589135</v>
      </c>
      <c r="J43" s="34">
        <f>IF(E43=0,"",(E43-H43)/ABS(H43))</f>
        <v>-1.0447503095761794</v>
      </c>
      <c r="K43" s="32">
        <f>'VZLA BFS'!K35/'VENEZUELA USD'!$AH$3</f>
        <v>0</v>
      </c>
      <c r="L43" s="34">
        <f>IF($K$20&lt;=0," ",K43/$K$20)</f>
        <v>0</v>
      </c>
      <c r="M43" s="32">
        <f>'VZLA BFS'!M43/'VENEZUELA USD'!$AH$3</f>
        <v>1608.4478925428418</v>
      </c>
      <c r="N43" s="34">
        <f>+M43/$M$20</f>
        <v>3.72783024772858E-2</v>
      </c>
      <c r="O43" s="34" t="str">
        <f>IF(K43=0,"",(M43-K43)/ABS(K43)+1)</f>
        <v/>
      </c>
      <c r="P43" s="63">
        <f>+'VZLA BFS'!P43/'VENEZUELA USD'!$AH$4</f>
        <v>25053.587174348697</v>
      </c>
      <c r="Q43" s="34">
        <f>IF($P$20&lt;=0," ",P43/$P$20)</f>
        <v>0.43297568746969589</v>
      </c>
      <c r="R43" s="34">
        <f>IF(M43=0,"",(M43-P43)/ABS(P43))</f>
        <v>-0.93579969681189357</v>
      </c>
      <c r="AL43" s="106" t="s">
        <v>15</v>
      </c>
      <c r="AM43" s="107">
        <v>4549688</v>
      </c>
      <c r="AN43" s="108"/>
      <c r="AO43" s="108"/>
      <c r="AP43" s="108"/>
      <c r="AQ43" s="108"/>
      <c r="AT43" s="106" t="s">
        <v>15</v>
      </c>
      <c r="AU43" s="107">
        <v>8.3699999999999992</v>
      </c>
      <c r="AV43" s="108"/>
      <c r="AW43" s="108"/>
      <c r="AX43" s="108"/>
      <c r="AY43" s="108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6" t="s">
        <v>16</v>
      </c>
      <c r="AM44" s="107">
        <v>4.5599999999999996</v>
      </c>
      <c r="AN44" s="108"/>
      <c r="AO44" s="108"/>
      <c r="AP44" s="108"/>
      <c r="AQ44" s="108"/>
      <c r="AT44" s="106" t="s">
        <v>16</v>
      </c>
      <c r="AU44" s="107">
        <v>9.0500000000000007</v>
      </c>
      <c r="AV44" s="108"/>
      <c r="AW44" s="108"/>
      <c r="AX44" s="108"/>
      <c r="AY44" s="108"/>
    </row>
    <row r="45" spans="2:51" ht="23.25" x14ac:dyDescent="0.25">
      <c r="B45" s="3" t="s">
        <v>60</v>
      </c>
      <c r="C45" s="32">
        <f>'VZLA BFS'!C36/'VENEZUELA USD'!$AH$3</f>
        <v>1337.5856636908295</v>
      </c>
      <c r="D45" s="34" t="str">
        <f>IF(DD45&lt;=0," ",C45/$C$20)</f>
        <v xml:space="preserve"> </v>
      </c>
      <c r="E45" s="32">
        <f>'VZLA BFS'!E45/'VENEZUELA USD'!$AH$3</f>
        <v>3451.4180176007421</v>
      </c>
      <c r="F45" s="34">
        <f>+E45/$E$20</f>
        <v>0.69038797713558941</v>
      </c>
      <c r="G45" s="34">
        <f>IF(C45=0,"",(E45-C45)/ABS(C45)+1)</f>
        <v>2.5803341881499904</v>
      </c>
      <c r="H45" s="63">
        <f>+'VZLA BFS'!H45/'VENEZUELA USD'!$AH$4</f>
        <v>4827.2945891783565</v>
      </c>
      <c r="I45" s="34">
        <f>IF($H$20&lt;=0," ",H45/$H$20)</f>
        <v>0.543074994589135</v>
      </c>
      <c r="J45" s="34">
        <f>IF(E45=0,"",(E45-H45)/ABS(H45))</f>
        <v>-0.28502022119428999</v>
      </c>
      <c r="K45" s="32">
        <f>'VZLA BFS'!K36/'VENEZUELA USD'!$AH$3</f>
        <v>3218.5926101732875</v>
      </c>
      <c r="L45" s="34">
        <f>IF($K$20&lt;=0," ",K45/$K$20)</f>
        <v>5.3186040251364572E-2</v>
      </c>
      <c r="M45" s="32">
        <f>'VZLA BFS'!M45/'VENEZUELA USD'!$AH$3</f>
        <v>1693.3594256600318</v>
      </c>
      <c r="N45" s="34">
        <f>+M45/$M$20</f>
        <v>3.9246260426081064E-2</v>
      </c>
      <c r="O45" s="34">
        <f>IF(K45=0,"",(M45-K45)/ABS(K45)+1)</f>
        <v>0.52611797476564215</v>
      </c>
      <c r="P45" s="63">
        <f>+'VZLA BFS'!P45/'VENEZUELA USD'!$AH$4</f>
        <v>25053.587174348697</v>
      </c>
      <c r="Q45" s="34">
        <f>IF($P$20&lt;=0," ",P45/$P$20)</f>
        <v>0.43297568746969589</v>
      </c>
      <c r="R45" s="34">
        <f>IF(M45=0,"",(M45-P45)/ABS(P45))</f>
        <v>-0.93241050018602567</v>
      </c>
      <c r="AL45" s="106" t="s">
        <v>17</v>
      </c>
      <c r="AM45" s="107">
        <v>4.99</v>
      </c>
      <c r="AN45" s="108"/>
      <c r="AO45" s="108"/>
      <c r="AP45" s="109" t="s">
        <v>133</v>
      </c>
      <c r="AQ45" s="108" t="s">
        <v>134</v>
      </c>
      <c r="AT45" s="106" t="s">
        <v>17</v>
      </c>
      <c r="AU45" s="107">
        <v>13.1</v>
      </c>
      <c r="AV45" s="108"/>
      <c r="AW45" s="108"/>
      <c r="AX45" s="109" t="s">
        <v>133</v>
      </c>
      <c r="AY45" s="108" t="s">
        <v>134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2145.3006021306155</v>
      </c>
      <c r="F46" s="34">
        <f>+E46/$E$20</f>
        <v>0.42912499601607196</v>
      </c>
      <c r="G46" s="34" t="str">
        <f>IF(C46=0,"",(E46-C46)/ABS(C46)+1)</f>
        <v/>
      </c>
      <c r="H46" s="63">
        <f>+'VZLA BFS'!H46/'VENEZUELA USD'!$AH$4</f>
        <v>2383.927855711423</v>
      </c>
      <c r="I46" s="34">
        <f>IF($H$20&lt;=0," ",H46/$H$20)</f>
        <v>0.268194033619508</v>
      </c>
      <c r="J46" s="34">
        <f>IF(E46=0,"",(E46-H46)/ABS(H46))</f>
        <v>-0.10009835365156017</v>
      </c>
      <c r="K46" s="32">
        <f>'VZLA BFS'!K37/'VENEZUELA USD'!$AH$3</f>
        <v>0</v>
      </c>
      <c r="L46" s="34">
        <f>IF($K$20&lt;=0," ",K46/$K$20)</f>
        <v>0</v>
      </c>
      <c r="M46" s="32">
        <f>'VZLA BFS'!M46/'VENEZUELA USD'!$AH$3</f>
        <v>17217.271190365911</v>
      </c>
      <c r="N46" s="34">
        <f>+M46/$M$20</f>
        <v>0.39903726209820223</v>
      </c>
      <c r="O46" s="34" t="str">
        <f>IF(K46=0,"",(M46-K46)/ABS(K46)+1)</f>
        <v/>
      </c>
      <c r="P46" s="63">
        <f>+'VZLA BFS'!P46/'VENEZUELA USD'!$AH$4</f>
        <v>17258.717434869741</v>
      </c>
      <c r="Q46" s="34">
        <f>IF($P$20&lt;=0," ",P46/$P$20)</f>
        <v>0.2982648749740251</v>
      </c>
      <c r="R46" s="34">
        <f>IF(M46=0,"",(M46-P46)/ABS(P46))</f>
        <v>-2.401467238816441E-3</v>
      </c>
      <c r="AL46" s="106" t="s">
        <v>18</v>
      </c>
      <c r="AM46" s="107">
        <v>4.6900000000000004</v>
      </c>
      <c r="AN46" s="110">
        <f>1/AM46</f>
        <v>0.21321961620469082</v>
      </c>
      <c r="AO46" s="108" t="s">
        <v>135</v>
      </c>
      <c r="AP46" s="108">
        <v>11272</v>
      </c>
      <c r="AQ46" s="111">
        <f>+AP46*AN46</f>
        <v>2403.4115138592751</v>
      </c>
      <c r="AT46" s="106" t="s">
        <v>18</v>
      </c>
      <c r="AU46" s="107">
        <v>18.600000000000001</v>
      </c>
      <c r="AV46" s="110">
        <f>1/AU46</f>
        <v>5.3763440860215048E-2</v>
      </c>
      <c r="AW46" s="108" t="s">
        <v>135</v>
      </c>
      <c r="AX46" s="112">
        <v>11272</v>
      </c>
      <c r="AY46" s="111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s="108" t="s">
        <v>136</v>
      </c>
      <c r="AM47" s="113">
        <f>AVERAGE(AM35:AM46)</f>
        <v>2329383.6866666665</v>
      </c>
      <c r="AN47" s="110">
        <f>1/AM47</f>
        <v>4.2929810392507461E-7</v>
      </c>
      <c r="AO47" s="108" t="s">
        <v>137</v>
      </c>
      <c r="AP47" s="114">
        <v>11272</v>
      </c>
      <c r="AQ47" s="115">
        <f>+AP47*AN47</f>
        <v>4.8390482274434411E-3</v>
      </c>
      <c r="AT47" s="108" t="s">
        <v>136</v>
      </c>
      <c r="AU47" s="113">
        <f>AVERAGE(AU35:AU46)</f>
        <v>7.725833333333334</v>
      </c>
      <c r="AV47" s="110">
        <f>1/AU47</f>
        <v>0.12943587531010678</v>
      </c>
      <c r="AW47" s="108" t="s">
        <v>137</v>
      </c>
      <c r="AX47" s="114">
        <v>11272</v>
      </c>
      <c r="AY47" s="115">
        <f>+AX47*AV47</f>
        <v>1459.0011864955236</v>
      </c>
    </row>
    <row r="51" spans="35:43" x14ac:dyDescent="0.2">
      <c r="AL51" s="79" t="s">
        <v>138</v>
      </c>
    </row>
    <row r="52" spans="35:43" ht="15" x14ac:dyDescent="0.25">
      <c r="AL52" s="106" t="s">
        <v>6</v>
      </c>
      <c r="AM52" s="107">
        <v>23.11</v>
      </c>
      <c r="AN52" s="108"/>
      <c r="AO52" s="108"/>
      <c r="AP52" s="108"/>
      <c r="AQ52" s="108"/>
    </row>
    <row r="53" spans="35:43" ht="15" x14ac:dyDescent="0.25">
      <c r="AL53" s="106" t="s">
        <v>9</v>
      </c>
      <c r="AM53" s="107">
        <v>25.1</v>
      </c>
      <c r="AN53" s="108"/>
      <c r="AO53" s="108"/>
      <c r="AP53" s="108"/>
      <c r="AQ53" s="108"/>
    </row>
    <row r="54" spans="35:43" ht="15" x14ac:dyDescent="0.25">
      <c r="AL54" s="106" t="s">
        <v>10</v>
      </c>
      <c r="AM54" s="107">
        <v>24.95</v>
      </c>
      <c r="AN54" s="108"/>
      <c r="AO54" s="108"/>
      <c r="AP54" s="108"/>
      <c r="AQ54" s="108"/>
    </row>
    <row r="55" spans="35:43" ht="15" x14ac:dyDescent="0.25">
      <c r="AI55" s="2">
        <f>1/36.48</f>
        <v>2.7412280701754388E-2</v>
      </c>
      <c r="AL55" s="106" t="s">
        <v>11</v>
      </c>
      <c r="AM55" s="107">
        <v>28.23</v>
      </c>
      <c r="AN55" s="108"/>
      <c r="AO55" s="108"/>
      <c r="AP55" s="108"/>
      <c r="AQ55" s="108"/>
    </row>
    <row r="56" spans="35:43" ht="15" x14ac:dyDescent="0.25">
      <c r="AL56" s="106" t="s">
        <v>12</v>
      </c>
      <c r="AM56" s="107">
        <v>28.23</v>
      </c>
      <c r="AN56" s="108"/>
      <c r="AO56" s="108"/>
      <c r="AP56" s="108"/>
      <c r="AQ56" s="108"/>
    </row>
    <row r="57" spans="35:43" ht="15" x14ac:dyDescent="0.25">
      <c r="AL57" s="106" t="s">
        <v>13</v>
      </c>
      <c r="AM57" s="107">
        <v>28.35</v>
      </c>
      <c r="AN57" s="108"/>
      <c r="AO57" s="108"/>
      <c r="AP57" s="108"/>
      <c r="AQ57" s="108"/>
    </row>
    <row r="58" spans="35:43" ht="15" x14ac:dyDescent="0.25">
      <c r="AL58" s="106" t="s">
        <v>14</v>
      </c>
      <c r="AM58" s="107">
        <v>33.93</v>
      </c>
      <c r="AN58" s="108"/>
      <c r="AO58" s="108"/>
      <c r="AP58" s="108"/>
      <c r="AQ58" s="108"/>
    </row>
    <row r="59" spans="35:43" ht="15" x14ac:dyDescent="0.25">
      <c r="AL59" s="106" t="s">
        <v>7</v>
      </c>
      <c r="AM59" s="107">
        <v>34.659999999999997</v>
      </c>
      <c r="AN59" s="108"/>
      <c r="AO59" s="108"/>
      <c r="AP59" s="108"/>
      <c r="AQ59" s="108"/>
    </row>
    <row r="60" spans="35:43" ht="15" x14ac:dyDescent="0.25">
      <c r="AL60" s="106" t="s">
        <v>15</v>
      </c>
      <c r="AM60" s="107">
        <v>35.74</v>
      </c>
      <c r="AN60" s="108"/>
      <c r="AO60" s="108"/>
      <c r="AP60" s="108"/>
      <c r="AQ60" s="108"/>
    </row>
    <row r="61" spans="35:43" ht="15" x14ac:dyDescent="0.25">
      <c r="AL61" s="106" t="s">
        <v>16</v>
      </c>
      <c r="AM61" s="107">
        <v>37.29</v>
      </c>
      <c r="AN61" s="108"/>
      <c r="AO61" s="108"/>
      <c r="AP61" s="108"/>
      <c r="AQ61" s="108"/>
    </row>
    <row r="62" spans="35:43" ht="23.25" x14ac:dyDescent="0.25">
      <c r="AL62" s="106" t="s">
        <v>17</v>
      </c>
      <c r="AM62" s="107">
        <v>37.950000000000003</v>
      </c>
      <c r="AN62" s="108"/>
      <c r="AO62" s="108"/>
      <c r="AP62" s="109" t="s">
        <v>133</v>
      </c>
      <c r="AQ62" s="108" t="s">
        <v>134</v>
      </c>
    </row>
    <row r="63" spans="35:43" ht="15" x14ac:dyDescent="0.25">
      <c r="AL63" s="106" t="s">
        <v>18</v>
      </c>
      <c r="AM63" s="107">
        <v>39.08</v>
      </c>
      <c r="AN63" s="110">
        <f>1/AM63</f>
        <v>2.5588536335721598E-2</v>
      </c>
      <c r="AO63" s="108" t="s">
        <v>135</v>
      </c>
      <c r="AP63" s="112">
        <v>394358</v>
      </c>
      <c r="AQ63" s="111">
        <f>+AP63*AN63</f>
        <v>10091.044012282498</v>
      </c>
    </row>
    <row r="64" spans="35:43" ht="15" x14ac:dyDescent="0.25">
      <c r="AL64" s="108" t="s">
        <v>136</v>
      </c>
      <c r="AM64" s="113">
        <f>AVERAGE(AM52:AM63)</f>
        <v>31.385000000000002</v>
      </c>
      <c r="AN64" s="110">
        <f>1/AM64</f>
        <v>3.186235462800701E-2</v>
      </c>
      <c r="AO64" s="108" t="s">
        <v>137</v>
      </c>
      <c r="AP64" s="112">
        <v>394358</v>
      </c>
      <c r="AQ64" s="115">
        <f>+AP64*AN64</f>
        <v>12565.174446391589</v>
      </c>
    </row>
    <row r="69" spans="38:43" x14ac:dyDescent="0.2">
      <c r="AL69" s="79" t="s">
        <v>139</v>
      </c>
    </row>
    <row r="70" spans="38:43" ht="15" x14ac:dyDescent="0.25">
      <c r="AL70" s="106" t="s">
        <v>6</v>
      </c>
      <c r="AM70" s="107">
        <v>38.53</v>
      </c>
      <c r="AN70" s="108"/>
      <c r="AO70" s="108"/>
      <c r="AP70" s="108"/>
      <c r="AQ70" s="108"/>
    </row>
    <row r="71" spans="38:43" ht="15" x14ac:dyDescent="0.25">
      <c r="AL71" s="106" t="s">
        <v>9</v>
      </c>
      <c r="AM71" s="107">
        <v>38.92</v>
      </c>
      <c r="AN71" s="108"/>
      <c r="AO71" s="108"/>
      <c r="AP71" s="108"/>
      <c r="AQ71" s="108"/>
    </row>
    <row r="72" spans="38:43" ht="15" x14ac:dyDescent="0.25">
      <c r="AL72" s="106" t="s">
        <v>10</v>
      </c>
      <c r="AM72" s="107">
        <v>39.119999999999997</v>
      </c>
      <c r="AN72" s="108"/>
      <c r="AO72" s="108"/>
      <c r="AP72" s="108"/>
      <c r="AQ72" s="108"/>
    </row>
    <row r="73" spans="38:43" ht="15" x14ac:dyDescent="0.25">
      <c r="AL73" s="106" t="s">
        <v>11</v>
      </c>
      <c r="AM73" s="107">
        <v>40.86</v>
      </c>
      <c r="AN73" s="108"/>
      <c r="AO73" s="108"/>
      <c r="AP73" s="108"/>
      <c r="AQ73" s="108"/>
    </row>
    <row r="74" spans="38:43" ht="15" x14ac:dyDescent="0.25">
      <c r="AL74" s="106" t="s">
        <v>12</v>
      </c>
      <c r="AM74" s="107">
        <v>36.46</v>
      </c>
      <c r="AN74" s="108"/>
      <c r="AO74" s="108"/>
      <c r="AP74" s="108"/>
      <c r="AQ74" s="108"/>
    </row>
    <row r="75" spans="38:43" ht="15" x14ac:dyDescent="0.25">
      <c r="AL75" s="106" t="s">
        <v>13</v>
      </c>
      <c r="AM75" s="107">
        <v>40.46</v>
      </c>
      <c r="AN75" s="108"/>
      <c r="AO75" s="108"/>
      <c r="AP75" s="108"/>
      <c r="AQ75" s="108"/>
    </row>
    <row r="76" spans="38:43" ht="15" x14ac:dyDescent="0.25">
      <c r="AL76" s="106" t="s">
        <v>14</v>
      </c>
      <c r="AM76" s="107">
        <v>45.57</v>
      </c>
      <c r="AN76" s="108"/>
      <c r="AO76" s="108"/>
      <c r="AP76" s="108"/>
      <c r="AQ76" s="108"/>
    </row>
    <row r="77" spans="38:43" ht="15" x14ac:dyDescent="0.25">
      <c r="AL77" s="106" t="s">
        <v>7</v>
      </c>
      <c r="AM77" s="107">
        <v>43.18</v>
      </c>
      <c r="AN77" s="108"/>
      <c r="AO77" s="108"/>
      <c r="AP77" s="108"/>
      <c r="AQ77" s="108"/>
    </row>
    <row r="78" spans="38:43" ht="15" x14ac:dyDescent="0.25">
      <c r="AL78" s="106" t="s">
        <v>15</v>
      </c>
      <c r="AM78" s="107"/>
      <c r="AN78" s="108"/>
      <c r="AO78" s="108"/>
      <c r="AP78" s="108"/>
      <c r="AQ78" s="108"/>
    </row>
    <row r="79" spans="38:43" ht="15" x14ac:dyDescent="0.25">
      <c r="AL79" s="106" t="s">
        <v>16</v>
      </c>
      <c r="AM79" s="107"/>
      <c r="AN79" s="108"/>
      <c r="AO79" s="108"/>
      <c r="AP79" s="108"/>
      <c r="AQ79" s="108"/>
    </row>
    <row r="80" spans="38:43" ht="23.25" x14ac:dyDescent="0.25">
      <c r="AL80" s="106" t="s">
        <v>17</v>
      </c>
      <c r="AM80" s="107"/>
      <c r="AN80" s="108"/>
      <c r="AO80" s="108"/>
      <c r="AP80" s="109" t="s">
        <v>133</v>
      </c>
      <c r="AQ80" s="108" t="s">
        <v>134</v>
      </c>
    </row>
    <row r="81" spans="38:43" ht="15" x14ac:dyDescent="0.25">
      <c r="AL81" s="106" t="s">
        <v>18</v>
      </c>
      <c r="AM81" s="107"/>
      <c r="AN81" s="110" t="e">
        <f>1/AM81</f>
        <v>#DIV/0!</v>
      </c>
      <c r="AO81" s="108" t="s">
        <v>135</v>
      </c>
      <c r="AP81" s="112"/>
      <c r="AQ81" s="111" t="e">
        <f>+AP81*AN81</f>
        <v>#DIV/0!</v>
      </c>
    </row>
    <row r="82" spans="38:43" ht="15" x14ac:dyDescent="0.25">
      <c r="AL82" s="108" t="s">
        <v>136</v>
      </c>
      <c r="AM82" s="113">
        <f>AVERAGE(AM70:AM81)</f>
        <v>40.387500000000003</v>
      </c>
      <c r="AN82" s="110">
        <f>1/AM82</f>
        <v>2.4760136180748991E-2</v>
      </c>
      <c r="AO82" s="108" t="s">
        <v>137</v>
      </c>
      <c r="AP82" s="112"/>
      <c r="AQ82" s="115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EF9B1-62DF-4BDC-ACED-0EF762586E1F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140</v>
      </c>
      <c r="T3" s="18" t="s">
        <v>140</v>
      </c>
    </row>
    <row r="4" spans="1:34" ht="14.25" customHeight="1" x14ac:dyDescent="0.2">
      <c r="A4" s="78" t="str">
        <f>+Paramet!A3</f>
        <v>202301</v>
      </c>
      <c r="B4" s="2" t="s">
        <v>20</v>
      </c>
      <c r="K4" s="116"/>
      <c r="L4" s="116"/>
      <c r="M4" s="116"/>
      <c r="N4" s="116"/>
      <c r="O4" s="116"/>
      <c r="P4" s="116"/>
      <c r="Q4" s="116"/>
      <c r="R4" s="116"/>
      <c r="S4" s="116"/>
      <c r="T4" s="3" t="s">
        <v>21</v>
      </c>
    </row>
    <row r="5" spans="1:34" ht="14.25" customHeight="1" x14ac:dyDescent="0.2">
      <c r="A5" s="78" t="str">
        <f>+Paramet!A4</f>
        <v>202308</v>
      </c>
      <c r="B5" s="3" t="s">
        <v>141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141</v>
      </c>
    </row>
    <row r="6" spans="1:34" ht="14.25" customHeight="1" thickBot="1" x14ac:dyDescent="0.25">
      <c r="A6" s="78" t="str">
        <f>+Paramet!B3</f>
        <v>202401</v>
      </c>
      <c r="B6" s="20" t="str">
        <f>+'COLOMB$ '!B6</f>
        <v>AGOSTO de 2024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AGOSTO de 2024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202408</v>
      </c>
      <c r="B7" s="61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T7" s="54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117" t="str">
        <f>+K7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7123.1</v>
      </c>
      <c r="Y10" s="32">
        <v>7123.1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-0.27865807779203411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76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78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80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7123.1</v>
      </c>
      <c r="Y21" s="32">
        <f>+Y10+Y19</f>
        <v>7123.1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-0.86529126879167984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142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7123.1</v>
      </c>
      <c r="Y30" s="69">
        <f>Y21-Y23-Y25-Y27-Y28</f>
        <v>7123.1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143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2250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2250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2250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-2250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-2250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-2250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-2250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2024-09-10T16:29:51Z</dcterms:created>
  <dcterms:modified xsi:type="dcterms:W3CDTF">2024-09-10T16:33:28Z</dcterms:modified>
</cp:coreProperties>
</file>