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musicar-my.sharepoint.com/personal/robert_gutierrez_musicar_onmicrosoft_com/Documents/Musicar/Documents/2 Informes de Junta/2024/Consolidado/"/>
    </mc:Choice>
  </mc:AlternateContent>
  <xr:revisionPtr revIDLastSave="3" documentId="8_{4DB8257C-E78C-4A57-881E-4D0939D80EA9}" xr6:coauthVersionLast="47" xr6:coauthVersionMax="47" xr10:uidLastSave="{11BE287A-DF15-4D5E-A001-5F5474D1C7F2}"/>
  <bookViews>
    <workbookView xWindow="-120" yWindow="-120" windowWidth="20730" windowHeight="11160" firstSheet="1" activeTab="2" xr2:uid="{81B9DAE4-E8F8-4EAB-AD77-066D07151473}"/>
  </bookViews>
  <sheets>
    <sheet name="Paramet" sheetId="2" r:id="rId1"/>
    <sheet name="COL. CONS.$" sheetId="3" r:id="rId2"/>
    <sheet name="COLOMB$ " sheetId="4" r:id="rId3"/>
    <sheet name="PROY SAT$" sheetId="5" r:id="rId4"/>
    <sheet name="COLOMBIA USD" sheetId="6" r:id="rId5"/>
    <sheet name="EL SALVADOR USD" sheetId="7" r:id="rId6"/>
    <sheet name="VZLA BFS" sheetId="8" r:id="rId7"/>
    <sheet name="VENEZUELA USD" sheetId="9" r:id="rId8"/>
    <sheet name="PANAMA USD" sheetId="10" r:id="rId9"/>
    <sheet name="CONS USD" sheetId="11" r:id="rId10"/>
    <sheet name="ctas" sheetId="12" r:id="rId11"/>
  </sheets>
  <definedNames>
    <definedName name="__BIA_0237574" localSheetId="10" hidden="1">#REF!(11,"Presupuesto por Cuenta","Zoom","Cuenta","IN",ctas!$A$187:$A$222,"Periodo","=",201605)</definedName>
    <definedName name="__BIA_4422336" localSheetId="10" hidden="1">"-"</definedName>
    <definedName name="__BIA_4423615" localSheetId="10" hidden="1">Paramet!$B$3&amp;Paramet!$B$4</definedName>
    <definedName name="__BIA_8159523" localSheetId="10" hidden="1">#REF!(4,"Presupuesto por flujo de efectivo","Zoom","Periodo","R",Paramet!$B$3,Paramet!$B$4,"Cpto Flujo de Efectivo","IN",ctas!$A$544:$A$551)</definedName>
    <definedName name="b2w">'COLOMB$ '!$H$2</definedName>
  </definedNames>
  <calcPr calcId="191029"/>
  <pivotCaches>
    <pivotCache cacheId="4" r:id="rId12"/>
    <pivotCache cacheId="5" r:id="rId13"/>
    <pivotCache cacheId="6" r:id="rId1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K25" i="11" l="1"/>
  <c r="AK17" i="11"/>
  <c r="AE17" i="11"/>
  <c r="V7" i="11"/>
  <c r="P7" i="11"/>
  <c r="N7" i="11"/>
  <c r="L7" i="11"/>
  <c r="AB6" i="11"/>
  <c r="Y6" i="11"/>
  <c r="X6" i="11"/>
  <c r="AA6" i="11" s="1"/>
  <c r="W6" i="11"/>
  <c r="Z6" i="11" s="1"/>
  <c r="Z5" i="11"/>
  <c r="W5" i="11"/>
  <c r="V3" i="11"/>
  <c r="R46" i="10"/>
  <c r="J46" i="10"/>
  <c r="I46" i="10"/>
  <c r="G46" i="10"/>
  <c r="R44" i="10"/>
  <c r="I44" i="10"/>
  <c r="G44" i="10"/>
  <c r="P42" i="10"/>
  <c r="R42" i="10" s="1"/>
  <c r="J42" i="10"/>
  <c r="I42" i="10"/>
  <c r="G42" i="10"/>
  <c r="R40" i="10"/>
  <c r="I40" i="10"/>
  <c r="G40" i="10"/>
  <c r="I38" i="10"/>
  <c r="C38" i="10"/>
  <c r="G38" i="10" s="1"/>
  <c r="R37" i="10"/>
  <c r="I37" i="10"/>
  <c r="G37" i="10"/>
  <c r="R35" i="10"/>
  <c r="I35" i="10"/>
  <c r="G35" i="10"/>
  <c r="R33" i="10"/>
  <c r="I33" i="10"/>
  <c r="G33" i="10"/>
  <c r="R30" i="10"/>
  <c r="J30" i="10"/>
  <c r="I30" i="10"/>
  <c r="C30" i="10"/>
  <c r="R29" i="10"/>
  <c r="I29" i="10"/>
  <c r="G29" i="10"/>
  <c r="P28" i="10"/>
  <c r="R28" i="10" s="1"/>
  <c r="I28" i="10"/>
  <c r="H28" i="10"/>
  <c r="J28" i="10" s="1"/>
  <c r="E28" i="10"/>
  <c r="AC27" i="10"/>
  <c r="AA27" i="10"/>
  <c r="Y27" i="10"/>
  <c r="X27" i="10"/>
  <c r="R27" i="10"/>
  <c r="O27" i="10"/>
  <c r="K27" i="10"/>
  <c r="K31" i="10" s="1"/>
  <c r="J27" i="10"/>
  <c r="I27" i="10"/>
  <c r="G27" i="10"/>
  <c r="C27" i="10"/>
  <c r="R26" i="10"/>
  <c r="J26" i="10"/>
  <c r="I26" i="10"/>
  <c r="C26" i="10"/>
  <c r="G26" i="10" s="1"/>
  <c r="AC25" i="10"/>
  <c r="Y25" i="10"/>
  <c r="X25" i="10"/>
  <c r="R25" i="10"/>
  <c r="I25" i="10"/>
  <c r="G25" i="10"/>
  <c r="AC23" i="10"/>
  <c r="Y23" i="10"/>
  <c r="X23" i="10"/>
  <c r="Z23" i="10" s="1"/>
  <c r="R23" i="10"/>
  <c r="I23" i="10"/>
  <c r="G23" i="10"/>
  <c r="R22" i="10"/>
  <c r="O22" i="10"/>
  <c r="M22" i="10"/>
  <c r="J22" i="10"/>
  <c r="I22" i="10"/>
  <c r="G22" i="10"/>
  <c r="R21" i="10"/>
  <c r="I21" i="10"/>
  <c r="G21" i="10"/>
  <c r="J20" i="10"/>
  <c r="R18" i="10"/>
  <c r="I18" i="10"/>
  <c r="G18" i="10"/>
  <c r="R17" i="10"/>
  <c r="I17" i="10"/>
  <c r="G17" i="10"/>
  <c r="R16" i="10"/>
  <c r="I16" i="10"/>
  <c r="G16" i="10"/>
  <c r="AC15" i="10"/>
  <c r="AA15" i="10"/>
  <c r="Z15" i="10"/>
  <c r="R15" i="10"/>
  <c r="K15" i="10"/>
  <c r="O15" i="10" s="1"/>
  <c r="J15" i="10"/>
  <c r="I15" i="10"/>
  <c r="G15" i="10"/>
  <c r="AC14" i="10"/>
  <c r="AA14" i="10"/>
  <c r="Z14" i="10"/>
  <c r="R14" i="10"/>
  <c r="K14" i="10"/>
  <c r="O14" i="10" s="1"/>
  <c r="J14" i="10"/>
  <c r="I14" i="10"/>
  <c r="G14" i="10"/>
  <c r="AC13" i="10"/>
  <c r="AA13" i="10"/>
  <c r="Z13" i="10"/>
  <c r="R13" i="10"/>
  <c r="K13" i="10"/>
  <c r="O13" i="10" s="1"/>
  <c r="J13" i="10"/>
  <c r="I13" i="10"/>
  <c r="G13" i="10"/>
  <c r="R12" i="10"/>
  <c r="K12" i="10"/>
  <c r="O12" i="10" s="1"/>
  <c r="J12" i="10"/>
  <c r="I12" i="10"/>
  <c r="G12" i="10"/>
  <c r="R11" i="10"/>
  <c r="O11" i="10"/>
  <c r="K11" i="10"/>
  <c r="J11" i="10"/>
  <c r="I11" i="10"/>
  <c r="G11" i="10"/>
  <c r="J10" i="10"/>
  <c r="AM82" i="9"/>
  <c r="AN82" i="9" s="1"/>
  <c r="AQ82" i="9" s="1"/>
  <c r="AN81" i="9"/>
  <c r="AQ81" i="9" s="1"/>
  <c r="AM64" i="9"/>
  <c r="AN64" i="9" s="1"/>
  <c r="AQ64" i="9" s="1"/>
  <c r="AN63" i="9"/>
  <c r="AQ63" i="9" s="1"/>
  <c r="AI55" i="9"/>
  <c r="AU47" i="9"/>
  <c r="AV47" i="9" s="1"/>
  <c r="AY47" i="9" s="1"/>
  <c r="AN47" i="9"/>
  <c r="AQ47" i="9" s="1"/>
  <c r="AM47" i="9"/>
  <c r="AV46" i="9"/>
  <c r="AY46" i="9" s="1"/>
  <c r="AN46" i="9"/>
  <c r="AQ46" i="9" s="1"/>
  <c r="D46" i="9"/>
  <c r="D45" i="9"/>
  <c r="D43" i="9"/>
  <c r="D42" i="9"/>
  <c r="D41" i="9"/>
  <c r="D39" i="9"/>
  <c r="K38" i="9"/>
  <c r="D38" i="9"/>
  <c r="K36" i="9"/>
  <c r="D36" i="9"/>
  <c r="E35" i="9"/>
  <c r="K34" i="9"/>
  <c r="O34" i="9" s="1"/>
  <c r="D34" i="9"/>
  <c r="D32" i="9"/>
  <c r="D31" i="9"/>
  <c r="C31" i="9"/>
  <c r="D30" i="9"/>
  <c r="C30" i="9"/>
  <c r="U29" i="9"/>
  <c r="E29" i="9"/>
  <c r="AA28" i="9"/>
  <c r="Y28" i="9"/>
  <c r="Z28" i="9" s="1"/>
  <c r="K28" i="9"/>
  <c r="O28" i="9" s="1"/>
  <c r="D28" i="9"/>
  <c r="Y27" i="9"/>
  <c r="Z27" i="9" s="1"/>
  <c r="D27" i="9"/>
  <c r="U26" i="9"/>
  <c r="M26" i="9"/>
  <c r="K26" i="9"/>
  <c r="O26" i="9" s="1"/>
  <c r="D26" i="9"/>
  <c r="E25" i="9"/>
  <c r="U24" i="9"/>
  <c r="D24" i="9"/>
  <c r="AC23" i="9"/>
  <c r="AA23" i="9"/>
  <c r="Z23" i="9"/>
  <c r="M23" i="9"/>
  <c r="U22" i="9"/>
  <c r="E22" i="9"/>
  <c r="D22" i="9"/>
  <c r="AB21" i="9"/>
  <c r="O21" i="9"/>
  <c r="G21" i="9"/>
  <c r="AC20" i="9"/>
  <c r="D20" i="9"/>
  <c r="AB19" i="9"/>
  <c r="M19" i="9"/>
  <c r="K19" i="9"/>
  <c r="G19" i="9"/>
  <c r="D19" i="9"/>
  <c r="C19" i="9"/>
  <c r="U18" i="9"/>
  <c r="M18" i="9"/>
  <c r="R18" i="9" s="1"/>
  <c r="G18" i="9"/>
  <c r="D18" i="9"/>
  <c r="C18" i="9"/>
  <c r="M17" i="9"/>
  <c r="R17" i="9" s="1"/>
  <c r="K17" i="9"/>
  <c r="D17" i="9"/>
  <c r="C17" i="9"/>
  <c r="G17" i="9" s="1"/>
  <c r="W16" i="9"/>
  <c r="K16" i="9"/>
  <c r="D16" i="9"/>
  <c r="AB15" i="9"/>
  <c r="V15" i="9"/>
  <c r="K15" i="9"/>
  <c r="D15" i="9"/>
  <c r="C15" i="9"/>
  <c r="V14" i="9"/>
  <c r="U14" i="9"/>
  <c r="M14" i="9"/>
  <c r="R14" i="9" s="1"/>
  <c r="E14" i="9"/>
  <c r="J14" i="9" s="1"/>
  <c r="D14" i="9"/>
  <c r="W13" i="9"/>
  <c r="V13" i="9"/>
  <c r="U13" i="9"/>
  <c r="K13" i="9"/>
  <c r="E13" i="9"/>
  <c r="D13" i="9"/>
  <c r="U12" i="9"/>
  <c r="K12" i="9"/>
  <c r="E12" i="9"/>
  <c r="D12" i="9"/>
  <c r="C12" i="9"/>
  <c r="G12" i="9" s="1"/>
  <c r="Y11" i="9"/>
  <c r="V11" i="9"/>
  <c r="M11" i="9"/>
  <c r="E11" i="9"/>
  <c r="D11" i="9"/>
  <c r="Y10" i="9"/>
  <c r="X10" i="9"/>
  <c r="V10" i="9"/>
  <c r="M10" i="9"/>
  <c r="K10" i="9"/>
  <c r="E10" i="9"/>
  <c r="D10" i="9"/>
  <c r="C10" i="9"/>
  <c r="G10" i="9" s="1"/>
  <c r="G7" i="9"/>
  <c r="O7" i="9" s="1"/>
  <c r="AH4" i="9"/>
  <c r="H41" i="9" s="1"/>
  <c r="AH3" i="9"/>
  <c r="C36" i="9" s="1"/>
  <c r="R46" i="8"/>
  <c r="O46" i="8"/>
  <c r="I46" i="8"/>
  <c r="R45" i="8"/>
  <c r="Q45" i="8"/>
  <c r="J45" i="8"/>
  <c r="I45" i="8"/>
  <c r="Q43" i="8"/>
  <c r="I43" i="8"/>
  <c r="R42" i="8"/>
  <c r="Q42" i="8"/>
  <c r="O42" i="8"/>
  <c r="J42" i="8"/>
  <c r="I42" i="8"/>
  <c r="G42" i="8"/>
  <c r="Q41" i="8"/>
  <c r="I41" i="8"/>
  <c r="R39" i="8"/>
  <c r="Q39" i="8"/>
  <c r="O39" i="8"/>
  <c r="J39" i="8"/>
  <c r="I39" i="8"/>
  <c r="G39" i="8"/>
  <c r="F39" i="8"/>
  <c r="R38" i="8"/>
  <c r="Q38" i="8"/>
  <c r="K38" i="8"/>
  <c r="O38" i="8" s="1"/>
  <c r="J38" i="8"/>
  <c r="I38" i="8"/>
  <c r="G38" i="8"/>
  <c r="Q36" i="8"/>
  <c r="I36" i="8"/>
  <c r="Q34" i="8"/>
  <c r="I34" i="8"/>
  <c r="Q32" i="8"/>
  <c r="M32" i="8"/>
  <c r="K32" i="8"/>
  <c r="J32" i="8"/>
  <c r="I32" i="8"/>
  <c r="G32" i="8"/>
  <c r="E32" i="8"/>
  <c r="C32" i="8"/>
  <c r="C39" i="9" s="1"/>
  <c r="R31" i="8"/>
  <c r="Q31" i="8"/>
  <c r="O31" i="8"/>
  <c r="J31" i="8"/>
  <c r="I31" i="8"/>
  <c r="G31" i="8"/>
  <c r="R30" i="8"/>
  <c r="Q30" i="8"/>
  <c r="O30" i="8"/>
  <c r="J30" i="8"/>
  <c r="I30" i="8"/>
  <c r="G30" i="8"/>
  <c r="F30" i="8"/>
  <c r="AC28" i="8"/>
  <c r="AA28" i="8"/>
  <c r="Z28" i="8"/>
  <c r="R28" i="8"/>
  <c r="Q28" i="8"/>
  <c r="M28" i="8"/>
  <c r="K28" i="8"/>
  <c r="K34" i="8" s="1"/>
  <c r="K42" i="9" s="1"/>
  <c r="I28" i="8"/>
  <c r="E28" i="8"/>
  <c r="J28" i="8" s="1"/>
  <c r="C28" i="8"/>
  <c r="G28" i="8" s="1"/>
  <c r="AC27" i="8"/>
  <c r="X27" i="8"/>
  <c r="X27" i="9" s="1"/>
  <c r="AA27" i="9" s="1"/>
  <c r="R27" i="8"/>
  <c r="Q27" i="8"/>
  <c r="O27" i="8"/>
  <c r="J27" i="8"/>
  <c r="I27" i="8"/>
  <c r="G27" i="8"/>
  <c r="R26" i="8"/>
  <c r="Q26" i="8"/>
  <c r="O26" i="8"/>
  <c r="J26" i="8"/>
  <c r="I26" i="8"/>
  <c r="G26" i="8"/>
  <c r="Y25" i="8"/>
  <c r="AC25" i="8" s="1"/>
  <c r="X25" i="8"/>
  <c r="X25" i="9" s="1"/>
  <c r="AA25" i="9" s="1"/>
  <c r="Q24" i="8"/>
  <c r="I24" i="8"/>
  <c r="AC23" i="8"/>
  <c r="AA23" i="8"/>
  <c r="Z23" i="8"/>
  <c r="R22" i="8"/>
  <c r="Q22" i="8"/>
  <c r="K22" i="8"/>
  <c r="J22" i="8"/>
  <c r="I22" i="8"/>
  <c r="G22" i="8"/>
  <c r="AC20" i="8"/>
  <c r="Q20" i="8"/>
  <c r="M20" i="8"/>
  <c r="N45" i="8" s="1"/>
  <c r="K20" i="8"/>
  <c r="L13" i="8" s="1"/>
  <c r="I20" i="8"/>
  <c r="E20" i="8"/>
  <c r="F15" i="8" s="1"/>
  <c r="C20" i="8"/>
  <c r="D42" i="8" s="1"/>
  <c r="B19" i="8"/>
  <c r="L18" i="8"/>
  <c r="Y17" i="8"/>
  <c r="Y19" i="8" s="1"/>
  <c r="V17" i="8"/>
  <c r="U17" i="8"/>
  <c r="U17" i="9" s="1"/>
  <c r="B17" i="8"/>
  <c r="AC16" i="8"/>
  <c r="X16" i="8"/>
  <c r="AA16" i="8" s="1"/>
  <c r="B16" i="8"/>
  <c r="AC15" i="8"/>
  <c r="AA15" i="8"/>
  <c r="X15" i="8"/>
  <c r="X15" i="9" s="1"/>
  <c r="AA15" i="9" s="1"/>
  <c r="R15" i="8"/>
  <c r="Q15" i="8"/>
  <c r="J15" i="8"/>
  <c r="I15" i="8"/>
  <c r="G15" i="8"/>
  <c r="B15" i="8"/>
  <c r="AC14" i="8"/>
  <c r="X14" i="8"/>
  <c r="R14" i="8"/>
  <c r="Q14" i="8"/>
  <c r="O14" i="8"/>
  <c r="J14" i="8"/>
  <c r="I14" i="8"/>
  <c r="G14" i="8"/>
  <c r="B14" i="8"/>
  <c r="AC13" i="8"/>
  <c r="X13" i="8"/>
  <c r="R13" i="8"/>
  <c r="Q13" i="8"/>
  <c r="O13" i="8"/>
  <c r="J13" i="8"/>
  <c r="I13" i="8"/>
  <c r="G13" i="8"/>
  <c r="F13" i="8"/>
  <c r="D13" i="8"/>
  <c r="B13" i="8"/>
  <c r="R12" i="8"/>
  <c r="Q12" i="8"/>
  <c r="O12" i="8"/>
  <c r="L12" i="8"/>
  <c r="J12" i="8"/>
  <c r="I12" i="8"/>
  <c r="G12" i="8"/>
  <c r="F12" i="8"/>
  <c r="B12" i="8"/>
  <c r="AC11" i="8"/>
  <c r="AA11" i="8"/>
  <c r="X11" i="8"/>
  <c r="X11" i="9" s="1"/>
  <c r="AA11" i="9" s="1"/>
  <c r="R11" i="8"/>
  <c r="Q11" i="8"/>
  <c r="O11" i="8"/>
  <c r="J11" i="8"/>
  <c r="I11" i="8"/>
  <c r="G11" i="8"/>
  <c r="F11" i="8"/>
  <c r="D11" i="8"/>
  <c r="B11" i="8"/>
  <c r="AC10" i="8"/>
  <c r="AA10" i="8"/>
  <c r="Z10" i="8"/>
  <c r="R10" i="8"/>
  <c r="Q10" i="8"/>
  <c r="O10" i="8"/>
  <c r="L10" i="8"/>
  <c r="J10" i="8"/>
  <c r="I10" i="8"/>
  <c r="G10" i="8"/>
  <c r="F10" i="8"/>
  <c r="D10" i="8"/>
  <c r="B10" i="8"/>
  <c r="W39" i="7"/>
  <c r="V39" i="7"/>
  <c r="AD28" i="7"/>
  <c r="AA28" i="7"/>
  <c r="Z28" i="7"/>
  <c r="Y28" i="7"/>
  <c r="AB28" i="7" s="1"/>
  <c r="AD27" i="7"/>
  <c r="AB27" i="7"/>
  <c r="Z27" i="7"/>
  <c r="AA27" i="7" s="1"/>
  <c r="Y27" i="7"/>
  <c r="Z25" i="7"/>
  <c r="AD25" i="7" s="1"/>
  <c r="Y25" i="7"/>
  <c r="Z23" i="7"/>
  <c r="AD23" i="7" s="1"/>
  <c r="Y23" i="7"/>
  <c r="AB23" i="7" s="1"/>
  <c r="B19" i="7"/>
  <c r="W17" i="7"/>
  <c r="W19" i="7" s="1"/>
  <c r="W21" i="7" s="1"/>
  <c r="W30" i="7" s="1"/>
  <c r="W38" i="7" s="1"/>
  <c r="V17" i="7"/>
  <c r="V19" i="7" s="1"/>
  <c r="V21" i="7" s="1"/>
  <c r="V30" i="7" s="1"/>
  <c r="R17" i="7"/>
  <c r="O17" i="7"/>
  <c r="K17" i="7"/>
  <c r="J17" i="7"/>
  <c r="G17" i="7"/>
  <c r="B17" i="7"/>
  <c r="Z16" i="7"/>
  <c r="AD16" i="7" s="1"/>
  <c r="Y16" i="7"/>
  <c r="AA16" i="7" s="1"/>
  <c r="R16" i="7"/>
  <c r="K16" i="7"/>
  <c r="B16" i="7"/>
  <c r="Z15" i="7"/>
  <c r="AD15" i="7" s="1"/>
  <c r="Y15" i="7"/>
  <c r="B15" i="7"/>
  <c r="AD14" i="7"/>
  <c r="AB14" i="7"/>
  <c r="Z14" i="7"/>
  <c r="Y14" i="7"/>
  <c r="AA14" i="7" s="1"/>
  <c r="R14" i="7"/>
  <c r="B14" i="7"/>
  <c r="Z13" i="7"/>
  <c r="Z17" i="7" s="1"/>
  <c r="Y13" i="7"/>
  <c r="Y17" i="7" s="1"/>
  <c r="B13" i="7"/>
  <c r="B12" i="7"/>
  <c r="Z11" i="7"/>
  <c r="AD11" i="7" s="1"/>
  <c r="Y11" i="7"/>
  <c r="B11" i="7"/>
  <c r="AD10" i="7"/>
  <c r="AB10" i="7"/>
  <c r="AA10" i="7"/>
  <c r="B10" i="7"/>
  <c r="E7" i="7"/>
  <c r="M7" i="7" s="1"/>
  <c r="W7" i="7" s="1"/>
  <c r="Z7" i="7" s="1"/>
  <c r="U3" i="7"/>
  <c r="Z27" i="6"/>
  <c r="Y27" i="6"/>
  <c r="AE20" i="6"/>
  <c r="B19" i="6"/>
  <c r="B17" i="6"/>
  <c r="J16" i="6"/>
  <c r="H16" i="6"/>
  <c r="E16" i="6"/>
  <c r="B16" i="6"/>
  <c r="B15" i="6"/>
  <c r="P14" i="6"/>
  <c r="M14" i="6"/>
  <c r="M14" i="11" s="1"/>
  <c r="B14" i="6"/>
  <c r="B13" i="6"/>
  <c r="B12" i="6"/>
  <c r="B11" i="6"/>
  <c r="AD10" i="6"/>
  <c r="AA10" i="6"/>
  <c r="Z10" i="6"/>
  <c r="Y10" i="6"/>
  <c r="X10" i="6"/>
  <c r="B10" i="6"/>
  <c r="W7" i="6"/>
  <c r="Z7" i="6" s="1"/>
  <c r="M7" i="6"/>
  <c r="X7" i="6" s="1"/>
  <c r="AA7" i="6" s="1"/>
  <c r="E7" i="6"/>
  <c r="AI5" i="6"/>
  <c r="AJ5" i="6" s="1"/>
  <c r="V4" i="6"/>
  <c r="V3" i="6"/>
  <c r="R46" i="5"/>
  <c r="J46" i="5"/>
  <c r="R44" i="5"/>
  <c r="J44" i="5"/>
  <c r="R42" i="5"/>
  <c r="M42" i="5"/>
  <c r="J42" i="5"/>
  <c r="R40" i="5"/>
  <c r="J40" i="5"/>
  <c r="O39" i="5"/>
  <c r="G39" i="5"/>
  <c r="O38" i="5"/>
  <c r="G38" i="5"/>
  <c r="R37" i="5"/>
  <c r="J37" i="5"/>
  <c r="R35" i="5"/>
  <c r="J35" i="5"/>
  <c r="K32" i="5"/>
  <c r="C32" i="5"/>
  <c r="O31" i="5"/>
  <c r="G31" i="5"/>
  <c r="O30" i="5"/>
  <c r="G30" i="5"/>
  <c r="R29" i="5"/>
  <c r="J29" i="5"/>
  <c r="R25" i="5"/>
  <c r="J25" i="5"/>
  <c r="R23" i="5"/>
  <c r="J23" i="5"/>
  <c r="R21" i="5"/>
  <c r="J21" i="5"/>
  <c r="R19" i="5"/>
  <c r="J19" i="5"/>
  <c r="B19" i="5"/>
  <c r="R18" i="5"/>
  <c r="J18" i="5"/>
  <c r="B18" i="5"/>
  <c r="R17" i="5"/>
  <c r="O17" i="5"/>
  <c r="J17" i="5"/>
  <c r="G17" i="5"/>
  <c r="B17" i="5"/>
  <c r="R16" i="5"/>
  <c r="O16" i="5"/>
  <c r="J16" i="5"/>
  <c r="G16" i="5"/>
  <c r="B16" i="5"/>
  <c r="R15" i="5"/>
  <c r="O15" i="5"/>
  <c r="J15" i="5"/>
  <c r="G15" i="5"/>
  <c r="B15" i="5"/>
  <c r="P14" i="5"/>
  <c r="R14" i="5" s="1"/>
  <c r="O14" i="5"/>
  <c r="J14" i="5"/>
  <c r="G14" i="5"/>
  <c r="B14" i="5"/>
  <c r="B13" i="5"/>
  <c r="P12" i="5"/>
  <c r="R12" i="5" s="1"/>
  <c r="O12" i="5"/>
  <c r="J12" i="5"/>
  <c r="G12" i="5"/>
  <c r="B12" i="5"/>
  <c r="R11" i="5"/>
  <c r="O11" i="5"/>
  <c r="J11" i="5"/>
  <c r="G11" i="5"/>
  <c r="B11" i="5"/>
  <c r="R10" i="5"/>
  <c r="O10" i="5"/>
  <c r="J10" i="5"/>
  <c r="B10" i="5"/>
  <c r="E7" i="5"/>
  <c r="M7" i="5" s="1"/>
  <c r="C7" i="5"/>
  <c r="K7" i="5" s="1"/>
  <c r="AC20" i="4"/>
  <c r="AC10" i="4"/>
  <c r="AA10" i="4"/>
  <c r="Z10" i="4"/>
  <c r="N7" i="4"/>
  <c r="V7" i="4" s="1"/>
  <c r="Y7" i="4" s="1"/>
  <c r="I7" i="4"/>
  <c r="H7" i="3" s="1"/>
  <c r="H7" i="8" s="1"/>
  <c r="F7" i="4"/>
  <c r="E7" i="10" s="1"/>
  <c r="M7" i="10" s="1"/>
  <c r="V7" i="10" s="1"/>
  <c r="Y7" i="10" s="1"/>
  <c r="D7" i="4"/>
  <c r="C7" i="6" s="1"/>
  <c r="K7" i="6" s="1"/>
  <c r="B6" i="4"/>
  <c r="T3" i="4"/>
  <c r="X27" i="3"/>
  <c r="W27" i="3"/>
  <c r="AC20" i="3"/>
  <c r="B19" i="3"/>
  <c r="B18" i="3"/>
  <c r="B17" i="3"/>
  <c r="J16" i="3"/>
  <c r="B16" i="3"/>
  <c r="B15" i="3"/>
  <c r="R14" i="3"/>
  <c r="B14" i="3"/>
  <c r="B13" i="3"/>
  <c r="B12" i="3"/>
  <c r="B11" i="3"/>
  <c r="AB10" i="3"/>
  <c r="AA10" i="3"/>
  <c r="Y10" i="3"/>
  <c r="Z10" i="3" s="1"/>
  <c r="X10" i="3"/>
  <c r="W10" i="3"/>
  <c r="AC10" i="3" s="1"/>
  <c r="V10" i="3"/>
  <c r="U10" i="3"/>
  <c r="W10" i="6" s="1"/>
  <c r="B10" i="3"/>
  <c r="Y7" i="3"/>
  <c r="U7" i="3"/>
  <c r="X7" i="3" s="1"/>
  <c r="K7" i="3"/>
  <c r="E7" i="3"/>
  <c r="M7" i="3" s="1"/>
  <c r="V7" i="3" s="1"/>
  <c r="C7" i="3"/>
  <c r="C7" i="8" s="1"/>
  <c r="B6" i="3"/>
  <c r="T3" i="3"/>
  <c r="E33" i="2"/>
  <c r="D33" i="2"/>
  <c r="E32" i="2"/>
  <c r="D32" i="2"/>
  <c r="E31" i="2"/>
  <c r="D31" i="2"/>
  <c r="E30" i="2"/>
  <c r="D30" i="2"/>
  <c r="E29" i="2"/>
  <c r="D29" i="2"/>
  <c r="E28" i="2"/>
  <c r="D28" i="2"/>
  <c r="E27" i="2"/>
  <c r="D27" i="2"/>
  <c r="E26" i="2"/>
  <c r="D26" i="2"/>
  <c r="E25" i="2"/>
  <c r="D25" i="2"/>
  <c r="E24" i="2"/>
  <c r="D24" i="2"/>
  <c r="E23" i="2"/>
  <c r="D23" i="2"/>
  <c r="E22" i="2"/>
  <c r="A3" i="2" s="1"/>
  <c r="D22" i="2"/>
  <c r="B3" i="2" s="1"/>
  <c r="E4" i="2"/>
  <c r="D4" i="2"/>
  <c r="B4" i="2"/>
  <c r="A8" i="5" s="1"/>
  <c r="A4" i="2"/>
  <c r="A5" i="10" s="1"/>
  <c r="M30" i="6" l="1"/>
  <c r="K13" i="6"/>
  <c r="E11" i="6"/>
  <c r="E11" i="11" s="1"/>
  <c r="C13" i="6"/>
  <c r="H10" i="6"/>
  <c r="E18" i="6"/>
  <c r="P10" i="6"/>
  <c r="E12" i="6"/>
  <c r="M18" i="6"/>
  <c r="M18" i="11" s="1"/>
  <c r="E30" i="6"/>
  <c r="P27" i="6"/>
  <c r="M39" i="6"/>
  <c r="M42" i="6"/>
  <c r="M46" i="6"/>
  <c r="H11" i="6"/>
  <c r="P11" i="6"/>
  <c r="E13" i="6"/>
  <c r="E13" i="11" s="1"/>
  <c r="M13" i="6"/>
  <c r="C14" i="6"/>
  <c r="K14" i="6"/>
  <c r="C15" i="6"/>
  <c r="C15" i="11" s="1"/>
  <c r="K15" i="6"/>
  <c r="K15" i="11" s="1"/>
  <c r="K16" i="6"/>
  <c r="C22" i="6"/>
  <c r="K22" i="6"/>
  <c r="M12" i="6"/>
  <c r="H27" i="6"/>
  <c r="M32" i="6"/>
  <c r="E38" i="6"/>
  <c r="M38" i="6"/>
  <c r="E39" i="6"/>
  <c r="E42" i="6"/>
  <c r="E46" i="6"/>
  <c r="C10" i="6"/>
  <c r="K10" i="6"/>
  <c r="H18" i="6"/>
  <c r="P18" i="6"/>
  <c r="H30" i="6"/>
  <c r="P30" i="6"/>
  <c r="P17" i="6"/>
  <c r="E32" i="6"/>
  <c r="H12" i="6"/>
  <c r="E14" i="6"/>
  <c r="C16" i="6"/>
  <c r="K17" i="6"/>
  <c r="K17" i="11" s="1"/>
  <c r="E22" i="6"/>
  <c r="M22" i="6"/>
  <c r="C26" i="6"/>
  <c r="K26" i="6"/>
  <c r="C27" i="6"/>
  <c r="K27" i="6"/>
  <c r="H32" i="6"/>
  <c r="P32" i="6"/>
  <c r="R32" i="6" s="1"/>
  <c r="H38" i="6"/>
  <c r="P38" i="6"/>
  <c r="H39" i="6"/>
  <c r="P39" i="6"/>
  <c r="H42" i="6"/>
  <c r="P42" i="6"/>
  <c r="H46" i="6"/>
  <c r="P46" i="6"/>
  <c r="H17" i="6"/>
  <c r="H26" i="6"/>
  <c r="P12" i="6"/>
  <c r="P12" i="11" s="1"/>
  <c r="M15" i="6"/>
  <c r="C17" i="6"/>
  <c r="H19" i="6"/>
  <c r="E10" i="6"/>
  <c r="M10" i="6"/>
  <c r="C11" i="6"/>
  <c r="K11" i="6"/>
  <c r="H13" i="6"/>
  <c r="P13" i="6"/>
  <c r="P26" i="6"/>
  <c r="E15" i="6"/>
  <c r="E17" i="6"/>
  <c r="M17" i="6"/>
  <c r="C18" i="6"/>
  <c r="K18" i="6"/>
  <c r="E26" i="6"/>
  <c r="M26" i="6"/>
  <c r="E27" i="6"/>
  <c r="M27" i="6"/>
  <c r="C30" i="6"/>
  <c r="K30" i="6"/>
  <c r="M11" i="6"/>
  <c r="C12" i="6"/>
  <c r="K12" i="6"/>
  <c r="H14" i="6"/>
  <c r="H15" i="6"/>
  <c r="P15" i="6"/>
  <c r="H22" i="6"/>
  <c r="P22" i="6"/>
  <c r="C32" i="6"/>
  <c r="G32" i="6" s="1"/>
  <c r="K32" i="6"/>
  <c r="O32" i="6" s="1"/>
  <c r="C38" i="6"/>
  <c r="K38" i="6"/>
  <c r="C39" i="6"/>
  <c r="K39" i="6"/>
  <c r="C42" i="6"/>
  <c r="K42" i="6"/>
  <c r="C46" i="6"/>
  <c r="K46" i="6"/>
  <c r="X11" i="6"/>
  <c r="V11" i="3"/>
  <c r="W13" i="6"/>
  <c r="U13" i="3"/>
  <c r="AD14" i="6"/>
  <c r="AB14" i="3"/>
  <c r="Z23" i="6"/>
  <c r="X23" i="3"/>
  <c r="Y25" i="6"/>
  <c r="W25" i="3"/>
  <c r="X27" i="6"/>
  <c r="V27" i="3"/>
  <c r="Y28" i="6"/>
  <c r="W28" i="3"/>
  <c r="X25" i="6"/>
  <c r="V25" i="3"/>
  <c r="Y11" i="6"/>
  <c r="W11" i="3"/>
  <c r="X13" i="6"/>
  <c r="V13" i="3"/>
  <c r="W14" i="6"/>
  <c r="W11" i="11" s="1"/>
  <c r="U14" i="3"/>
  <c r="AD15" i="6"/>
  <c r="AB15" i="3"/>
  <c r="AD16" i="6"/>
  <c r="AB16" i="3"/>
  <c r="Y23" i="3"/>
  <c r="Z23" i="3" s="1"/>
  <c r="AA23" i="6"/>
  <c r="Z25" i="6"/>
  <c r="X25" i="3"/>
  <c r="AA27" i="6"/>
  <c r="Y27" i="3"/>
  <c r="Z28" i="6"/>
  <c r="X28" i="3"/>
  <c r="W11" i="6"/>
  <c r="U11" i="3"/>
  <c r="P16" i="3"/>
  <c r="Y23" i="6"/>
  <c r="W23" i="3"/>
  <c r="Z11" i="6"/>
  <c r="X11" i="3"/>
  <c r="Y13" i="6"/>
  <c r="W13" i="3"/>
  <c r="X14" i="6"/>
  <c r="V14" i="3"/>
  <c r="W15" i="6"/>
  <c r="W12" i="11" s="1"/>
  <c r="U15" i="3"/>
  <c r="W16" i="6"/>
  <c r="U16" i="3"/>
  <c r="U17" i="3" s="1"/>
  <c r="U19" i="3" s="1"/>
  <c r="U21" i="3" s="1"/>
  <c r="AA25" i="6"/>
  <c r="Y25" i="3"/>
  <c r="AA28" i="6"/>
  <c r="Y28" i="3"/>
  <c r="AD13" i="6"/>
  <c r="AB13" i="3"/>
  <c r="Y11" i="3"/>
  <c r="AA11" i="6"/>
  <c r="X13" i="3"/>
  <c r="Z13" i="6"/>
  <c r="W14" i="3"/>
  <c r="Y14" i="6"/>
  <c r="X15" i="6"/>
  <c r="V15" i="3"/>
  <c r="X16" i="6"/>
  <c r="V16" i="3"/>
  <c r="Y15" i="6"/>
  <c r="W15" i="3"/>
  <c r="Y16" i="6"/>
  <c r="W16" i="3"/>
  <c r="AD23" i="6"/>
  <c r="AB23" i="3"/>
  <c r="AC23" i="3" s="1"/>
  <c r="AB27" i="3"/>
  <c r="AD27" i="6"/>
  <c r="X14" i="3"/>
  <c r="Z14" i="3" s="1"/>
  <c r="Z14" i="6"/>
  <c r="AA14" i="6"/>
  <c r="Y14" i="3"/>
  <c r="X15" i="3"/>
  <c r="Z15" i="6"/>
  <c r="Z16" i="6"/>
  <c r="X16" i="3"/>
  <c r="W23" i="6"/>
  <c r="W19" i="11" s="1"/>
  <c r="U23" i="3"/>
  <c r="AD25" i="6"/>
  <c r="AB25" i="3"/>
  <c r="AD28" i="6"/>
  <c r="AB28" i="3"/>
  <c r="AC28" i="3" s="1"/>
  <c r="AA13" i="6"/>
  <c r="Y13" i="3"/>
  <c r="AD11" i="6"/>
  <c r="AB11" i="3"/>
  <c r="AA15" i="6"/>
  <c r="Y15" i="3"/>
  <c r="AA16" i="6"/>
  <c r="Y16" i="3"/>
  <c r="X23" i="6"/>
  <c r="V23" i="3"/>
  <c r="W25" i="6"/>
  <c r="U25" i="3"/>
  <c r="W28" i="6"/>
  <c r="U28" i="3"/>
  <c r="W27" i="6"/>
  <c r="W21" i="11" s="1"/>
  <c r="U27" i="3"/>
  <c r="X28" i="6"/>
  <c r="V28" i="3"/>
  <c r="C438" i="12"/>
  <c r="A4" i="10"/>
  <c r="A5" i="5"/>
  <c r="P7" i="8"/>
  <c r="H7" i="9"/>
  <c r="W7" i="9" s="1"/>
  <c r="AB7" i="9" s="1"/>
  <c r="AB10" i="6"/>
  <c r="F11" i="9"/>
  <c r="A6" i="10"/>
  <c r="A7" i="5"/>
  <c r="T6" i="3"/>
  <c r="B6" i="11"/>
  <c r="B6" i="8"/>
  <c r="B6" i="7"/>
  <c r="U6" i="7" s="1"/>
  <c r="B6" i="10"/>
  <c r="T6" i="10" s="1"/>
  <c r="B6" i="5"/>
  <c r="K7" i="8"/>
  <c r="U7" i="8"/>
  <c r="X7" i="8" s="1"/>
  <c r="C7" i="9"/>
  <c r="K7" i="9" s="1"/>
  <c r="B18" i="7"/>
  <c r="B18" i="6"/>
  <c r="T6" i="4"/>
  <c r="J13" i="9"/>
  <c r="AA27" i="3"/>
  <c r="B6" i="6"/>
  <c r="V6" i="6" s="1"/>
  <c r="A6" i="5"/>
  <c r="B5" i="2"/>
  <c r="C59" i="12"/>
  <c r="A7" i="10"/>
  <c r="P7" i="4"/>
  <c r="H7" i="10"/>
  <c r="P7" i="10" s="1"/>
  <c r="H7" i="5"/>
  <c r="P7" i="5" s="1"/>
  <c r="H7" i="7"/>
  <c r="P7" i="7" s="1"/>
  <c r="W7" i="4"/>
  <c r="AB7" i="4" s="1"/>
  <c r="H7" i="6"/>
  <c r="Y7" i="6" s="1"/>
  <c r="AD7" i="6" s="1"/>
  <c r="AE10" i="6"/>
  <c r="X8" i="11"/>
  <c r="AG8" i="11"/>
  <c r="D12" i="8"/>
  <c r="F14" i="8"/>
  <c r="AA14" i="8"/>
  <c r="X14" i="9"/>
  <c r="L15" i="8"/>
  <c r="L16" i="8"/>
  <c r="AC17" i="8"/>
  <c r="F20" i="8"/>
  <c r="D31" i="8"/>
  <c r="F32" i="8"/>
  <c r="E32" i="9"/>
  <c r="U10" i="9"/>
  <c r="K11" i="9"/>
  <c r="O11" i="9" s="1"/>
  <c r="AB11" i="9"/>
  <c r="AC11" i="9" s="1"/>
  <c r="C13" i="9"/>
  <c r="G13" i="9" s="1"/>
  <c r="P13" i="9"/>
  <c r="K14" i="9"/>
  <c r="W15" i="9"/>
  <c r="P16" i="9"/>
  <c r="E21" i="9"/>
  <c r="H22" i="9"/>
  <c r="U25" i="9"/>
  <c r="H29" i="9"/>
  <c r="H31" i="9"/>
  <c r="H31" i="11" s="1"/>
  <c r="H39" i="9"/>
  <c r="AC10" i="6"/>
  <c r="E7" i="8"/>
  <c r="O42" i="9"/>
  <c r="H10" i="9"/>
  <c r="O17" i="9"/>
  <c r="P22" i="9"/>
  <c r="Q22" i="9" s="1"/>
  <c r="Y25" i="9"/>
  <c r="Z25" i="9" s="1"/>
  <c r="E28" i="9"/>
  <c r="C32" i="9"/>
  <c r="G32" i="9" s="1"/>
  <c r="P39" i="9"/>
  <c r="C7" i="7"/>
  <c r="O22" i="8"/>
  <c r="K24" i="9"/>
  <c r="O24" i="9" s="1"/>
  <c r="M34" i="8"/>
  <c r="H18" i="9"/>
  <c r="O19" i="9"/>
  <c r="H24" i="9"/>
  <c r="P40" i="9"/>
  <c r="AA8" i="11"/>
  <c r="AJ8" i="11"/>
  <c r="AA13" i="7"/>
  <c r="AA23" i="7"/>
  <c r="X17" i="8"/>
  <c r="X17" i="9" s="1"/>
  <c r="AA17" i="9" s="1"/>
  <c r="X13" i="9"/>
  <c r="D15" i="8"/>
  <c r="L19" i="8"/>
  <c r="L20" i="8"/>
  <c r="D27" i="8"/>
  <c r="Z27" i="8"/>
  <c r="O28" i="8"/>
  <c r="F42" i="8"/>
  <c r="P11" i="9"/>
  <c r="R11" i="9" s="1"/>
  <c r="F12" i="9"/>
  <c r="X16" i="9"/>
  <c r="K20" i="9"/>
  <c r="L17" i="9" s="1"/>
  <c r="P21" i="9"/>
  <c r="H27" i="9"/>
  <c r="M28" i="9"/>
  <c r="N28" i="9" s="1"/>
  <c r="K32" i="9"/>
  <c r="H37" i="9"/>
  <c r="AG21" i="11"/>
  <c r="X21" i="11"/>
  <c r="Y19" i="7"/>
  <c r="Z11" i="8"/>
  <c r="Z13" i="8"/>
  <c r="L14" i="8"/>
  <c r="Z15" i="8"/>
  <c r="D17" i="8"/>
  <c r="U19" i="8"/>
  <c r="AA25" i="8"/>
  <c r="AA27" i="8"/>
  <c r="O32" i="8"/>
  <c r="K39" i="9"/>
  <c r="E42" i="9"/>
  <c r="J42" i="9" s="1"/>
  <c r="M39" i="9"/>
  <c r="U27" i="9"/>
  <c r="W25" i="9"/>
  <c r="C24" i="9"/>
  <c r="G24" i="9" s="1"/>
  <c r="E23" i="9"/>
  <c r="C22" i="9"/>
  <c r="G22" i="9" s="1"/>
  <c r="U16" i="9"/>
  <c r="M15" i="9"/>
  <c r="W14" i="9"/>
  <c r="M46" i="9"/>
  <c r="C41" i="9"/>
  <c r="G41" i="9" s="1"/>
  <c r="M38" i="9"/>
  <c r="M37" i="9"/>
  <c r="M33" i="9"/>
  <c r="K46" i="9"/>
  <c r="O46" i="9" s="1"/>
  <c r="M45" i="9"/>
  <c r="N45" i="9" s="1"/>
  <c r="M44" i="9"/>
  <c r="C43" i="9"/>
  <c r="M40" i="9"/>
  <c r="E37" i="9"/>
  <c r="E33" i="9"/>
  <c r="C28" i="9"/>
  <c r="G28" i="9" s="1"/>
  <c r="M27" i="9"/>
  <c r="C26" i="9"/>
  <c r="G26" i="9" s="1"/>
  <c r="M25" i="9"/>
  <c r="M22" i="9"/>
  <c r="W21" i="9"/>
  <c r="W30" i="9" s="1"/>
  <c r="W17" i="9"/>
  <c r="U15" i="9"/>
  <c r="AB14" i="9"/>
  <c r="AC14" i="9" s="1"/>
  <c r="C14" i="9"/>
  <c r="G14" i="9" s="1"/>
  <c r="C11" i="9"/>
  <c r="G11" i="9" s="1"/>
  <c r="E44" i="9"/>
  <c r="E39" i="9"/>
  <c r="G39" i="9" s="1"/>
  <c r="M35" i="9"/>
  <c r="M31" i="9"/>
  <c r="M30" i="9"/>
  <c r="M29" i="9"/>
  <c r="AB27" i="9"/>
  <c r="AB25" i="9"/>
  <c r="U23" i="9"/>
  <c r="K22" i="9"/>
  <c r="O22" i="9" s="1"/>
  <c r="U20" i="9"/>
  <c r="W19" i="9"/>
  <c r="E18" i="9"/>
  <c r="Y16" i="9"/>
  <c r="M16" i="9"/>
  <c r="R16" i="9" s="1"/>
  <c r="C16" i="9"/>
  <c r="G16" i="9" s="1"/>
  <c r="AB13" i="9"/>
  <c r="AC13" i="9" s="1"/>
  <c r="M12" i="9"/>
  <c r="E46" i="9"/>
  <c r="F46" i="9" s="1"/>
  <c r="M42" i="9"/>
  <c r="R42" i="9" s="1"/>
  <c r="K41" i="9"/>
  <c r="O41" i="9" s="1"/>
  <c r="E40" i="9"/>
  <c r="E38" i="9"/>
  <c r="K31" i="9"/>
  <c r="O31" i="9" s="1"/>
  <c r="K30" i="9"/>
  <c r="L30" i="9" s="1"/>
  <c r="E45" i="9"/>
  <c r="C46" i="9"/>
  <c r="G46" i="9" s="1"/>
  <c r="K43" i="9"/>
  <c r="O43" i="9" s="1"/>
  <c r="C38" i="9"/>
  <c r="G38" i="9" s="1"/>
  <c r="C34" i="9"/>
  <c r="G34" i="9" s="1"/>
  <c r="E31" i="9"/>
  <c r="J31" i="9" s="1"/>
  <c r="E30" i="9"/>
  <c r="AB28" i="9"/>
  <c r="AC28" i="9" s="1"/>
  <c r="E27" i="9"/>
  <c r="M21" i="9"/>
  <c r="R21" i="9" s="1"/>
  <c r="E19" i="9"/>
  <c r="K18" i="9"/>
  <c r="O18" i="9" s="1"/>
  <c r="AB17" i="9"/>
  <c r="E17" i="9"/>
  <c r="V16" i="9"/>
  <c r="Y15" i="9"/>
  <c r="E15" i="9"/>
  <c r="M13" i="9"/>
  <c r="O13" i="9" s="1"/>
  <c r="W11" i="9"/>
  <c r="W10" i="9"/>
  <c r="AB10" i="9"/>
  <c r="U11" i="9"/>
  <c r="Y13" i="9"/>
  <c r="Y14" i="9"/>
  <c r="E16" i="9"/>
  <c r="AB16" i="9"/>
  <c r="AC16" i="9" s="1"/>
  <c r="R19" i="9"/>
  <c r="M20" i="9"/>
  <c r="P23" i="9"/>
  <c r="E26" i="9"/>
  <c r="U28" i="9"/>
  <c r="H30" i="9"/>
  <c r="I30" i="9" s="1"/>
  <c r="H33" i="9"/>
  <c r="AC27" i="6"/>
  <c r="Z21" i="11"/>
  <c r="R32" i="8"/>
  <c r="M32" i="9"/>
  <c r="R32" i="9" s="1"/>
  <c r="AI7" i="9"/>
  <c r="AI8" i="9" s="1"/>
  <c r="P45" i="9"/>
  <c r="H43" i="9"/>
  <c r="P37" i="9"/>
  <c r="P33" i="9"/>
  <c r="P24" i="9"/>
  <c r="H21" i="9"/>
  <c r="H14" i="9"/>
  <c r="P44" i="9"/>
  <c r="H46" i="9"/>
  <c r="H44" i="9"/>
  <c r="P41" i="9"/>
  <c r="H38" i="9"/>
  <c r="P35" i="9"/>
  <c r="H34" i="9"/>
  <c r="P31" i="9"/>
  <c r="P30" i="9"/>
  <c r="P29" i="9"/>
  <c r="P28" i="9"/>
  <c r="P26" i="9"/>
  <c r="P12" i="9"/>
  <c r="P10" i="9"/>
  <c r="P47" i="9"/>
  <c r="H45" i="9"/>
  <c r="P42" i="9"/>
  <c r="H40" i="9"/>
  <c r="P36" i="9"/>
  <c r="Q36" i="9" s="1"/>
  <c r="P32" i="9"/>
  <c r="H25" i="9"/>
  <c r="H20" i="9"/>
  <c r="H19" i="9"/>
  <c r="P18" i="9"/>
  <c r="Q18" i="9" s="1"/>
  <c r="H17" i="9"/>
  <c r="H15" i="9"/>
  <c r="I15" i="9" s="1"/>
  <c r="P14" i="9"/>
  <c r="P14" i="11" s="1"/>
  <c r="H13" i="9"/>
  <c r="P43" i="9"/>
  <c r="H35" i="9"/>
  <c r="P46" i="9"/>
  <c r="H42" i="9"/>
  <c r="P38" i="9"/>
  <c r="H36" i="9"/>
  <c r="P34" i="9"/>
  <c r="Q34" i="9" s="1"/>
  <c r="H32" i="9"/>
  <c r="H28" i="9"/>
  <c r="I28" i="9" s="1"/>
  <c r="H26" i="9"/>
  <c r="H23" i="9"/>
  <c r="P19" i="9"/>
  <c r="P17" i="9"/>
  <c r="H16" i="9"/>
  <c r="H16" i="11" s="1"/>
  <c r="H12" i="9"/>
  <c r="J12" i="9" s="1"/>
  <c r="H11" i="9"/>
  <c r="J11" i="9" s="1"/>
  <c r="N10" i="9"/>
  <c r="L12" i="9"/>
  <c r="P20" i="9"/>
  <c r="AB30" i="9"/>
  <c r="P27" i="9"/>
  <c r="O38" i="9"/>
  <c r="R14" i="6"/>
  <c r="E16" i="11"/>
  <c r="AA11" i="7"/>
  <c r="AA15" i="7"/>
  <c r="V19" i="8"/>
  <c r="V21" i="8" s="1"/>
  <c r="V30" i="8" s="1"/>
  <c r="V17" i="9"/>
  <c r="V19" i="9" s="1"/>
  <c r="V21" i="9" s="1"/>
  <c r="V30" i="9" s="1"/>
  <c r="D20" i="8"/>
  <c r="O10" i="9"/>
  <c r="P15" i="9"/>
  <c r="Q15" i="9" s="1"/>
  <c r="Y17" i="9"/>
  <c r="Z17" i="9" s="1"/>
  <c r="N26" i="9"/>
  <c r="G31" i="9"/>
  <c r="U7" i="4"/>
  <c r="X7" i="4" s="1"/>
  <c r="C7" i="10"/>
  <c r="L11" i="8"/>
  <c r="D14" i="8"/>
  <c r="F26" i="8"/>
  <c r="E20" i="9"/>
  <c r="C34" i="8"/>
  <c r="C42" i="9" s="1"/>
  <c r="G42" i="9" s="1"/>
  <c r="F10" i="9"/>
  <c r="Y19" i="9"/>
  <c r="Y21" i="9" s="1"/>
  <c r="L16" i="9"/>
  <c r="O16" i="9"/>
  <c r="C20" i="9"/>
  <c r="G20" i="9" s="1"/>
  <c r="F22" i="9"/>
  <c r="P25" i="9"/>
  <c r="Z25" i="10"/>
  <c r="Z27" i="10"/>
  <c r="C28" i="10"/>
  <c r="J31" i="10"/>
  <c r="H32" i="10"/>
  <c r="J32" i="10" s="1"/>
  <c r="J38" i="10"/>
  <c r="J39" i="10"/>
  <c r="H24" i="10"/>
  <c r="O31" i="10"/>
  <c r="K36" i="10"/>
  <c r="AA23" i="10"/>
  <c r="AA25" i="10"/>
  <c r="W7" i="10"/>
  <c r="AB7" i="10" s="1"/>
  <c r="G28" i="10"/>
  <c r="G30" i="10"/>
  <c r="H34" i="10"/>
  <c r="J34" i="10" s="1"/>
  <c r="P7" i="9"/>
  <c r="AA10" i="9"/>
  <c r="Z11" i="9"/>
  <c r="O12" i="9"/>
  <c r="I26" i="9"/>
  <c r="Q26" i="9"/>
  <c r="F30" i="9"/>
  <c r="N30" i="9"/>
  <c r="I34" i="9"/>
  <c r="I38" i="9"/>
  <c r="Q38" i="9"/>
  <c r="I39" i="9"/>
  <c r="Q39" i="9"/>
  <c r="I45" i="9"/>
  <c r="Q45" i="9"/>
  <c r="I46" i="9"/>
  <c r="Q46" i="9"/>
  <c r="U7" i="9"/>
  <c r="X7" i="9" s="1"/>
  <c r="AH9" i="9"/>
  <c r="J10" i="9"/>
  <c r="R10" i="9"/>
  <c r="I11" i="9"/>
  <c r="Q11" i="9"/>
  <c r="F14" i="9"/>
  <c r="N14" i="9"/>
  <c r="L18" i="9"/>
  <c r="L19" i="9"/>
  <c r="L20" i="9"/>
  <c r="Q21" i="9"/>
  <c r="J26" i="9"/>
  <c r="R26" i="9"/>
  <c r="I27" i="9"/>
  <c r="J28" i="9"/>
  <c r="G30" i="9"/>
  <c r="O30" i="9"/>
  <c r="F31" i="9"/>
  <c r="N31" i="9"/>
  <c r="F32" i="9"/>
  <c r="N32" i="9"/>
  <c r="J38" i="9"/>
  <c r="R38" i="9"/>
  <c r="J39" i="9"/>
  <c r="F42" i="9"/>
  <c r="N42" i="9"/>
  <c r="J45" i="9"/>
  <c r="R45" i="9"/>
  <c r="J46" i="9"/>
  <c r="R46" i="9"/>
  <c r="O14" i="9"/>
  <c r="I22" i="9"/>
  <c r="R12" i="9"/>
  <c r="J22" i="9"/>
  <c r="R22" i="9"/>
  <c r="I24" i="9"/>
  <c r="Q24" i="9"/>
  <c r="L26" i="9"/>
  <c r="L28" i="9"/>
  <c r="Q30" i="9"/>
  <c r="L34" i="9"/>
  <c r="L38" i="9"/>
  <c r="L39" i="9"/>
  <c r="L46" i="9"/>
  <c r="I31" i="9"/>
  <c r="Q31" i="9"/>
  <c r="I32" i="9"/>
  <c r="Q32" i="9"/>
  <c r="I36" i="9"/>
  <c r="I41" i="9"/>
  <c r="Q41" i="9"/>
  <c r="I42" i="9"/>
  <c r="Q42" i="9"/>
  <c r="L21" i="9"/>
  <c r="L22" i="9"/>
  <c r="Z10" i="9"/>
  <c r="L31" i="9"/>
  <c r="L36" i="9"/>
  <c r="L41" i="9"/>
  <c r="L42" i="9"/>
  <c r="X19" i="8"/>
  <c r="X19" i="9" s="1"/>
  <c r="AA19" i="9" s="1"/>
  <c r="Z17" i="8"/>
  <c r="AA17" i="8"/>
  <c r="AC19" i="8"/>
  <c r="Y21" i="8"/>
  <c r="L34" i="8"/>
  <c r="Z14" i="8"/>
  <c r="N20" i="8"/>
  <c r="F27" i="8"/>
  <c r="F28" i="8"/>
  <c r="F31" i="8"/>
  <c r="D34" i="8"/>
  <c r="F45" i="8"/>
  <c r="W7" i="8"/>
  <c r="AB7" i="8" s="1"/>
  <c r="N12" i="8"/>
  <c r="O20" i="8"/>
  <c r="K24" i="8"/>
  <c r="K27" i="9" s="1"/>
  <c r="O27" i="9" s="1"/>
  <c r="L32" i="8"/>
  <c r="E34" i="8"/>
  <c r="E34" i="9" s="1"/>
  <c r="F34" i="9" s="1"/>
  <c r="L38" i="8"/>
  <c r="N11" i="8"/>
  <c r="AA13" i="8"/>
  <c r="N15" i="8"/>
  <c r="D16" i="8"/>
  <c r="L17" i="8"/>
  <c r="D18" i="8"/>
  <c r="G20" i="8"/>
  <c r="L22" i="8"/>
  <c r="C24" i="8"/>
  <c r="C27" i="9" s="1"/>
  <c r="G27" i="9" s="1"/>
  <c r="Z25" i="8"/>
  <c r="L26" i="8"/>
  <c r="D32" i="8"/>
  <c r="N38" i="8"/>
  <c r="F46" i="8"/>
  <c r="N14" i="8"/>
  <c r="R20" i="8"/>
  <c r="N22" i="8"/>
  <c r="M24" i="8"/>
  <c r="M24" i="9" s="1"/>
  <c r="N26" i="8"/>
  <c r="L30" i="8"/>
  <c r="N32" i="8"/>
  <c r="D38" i="8"/>
  <c r="L39" i="8"/>
  <c r="L42" i="8"/>
  <c r="N28" i="8"/>
  <c r="N10" i="8"/>
  <c r="N13" i="8"/>
  <c r="J20" i="8"/>
  <c r="D22" i="8"/>
  <c r="E24" i="8"/>
  <c r="E24" i="9" s="1"/>
  <c r="J24" i="9" s="1"/>
  <c r="L27" i="8"/>
  <c r="N30" i="8"/>
  <c r="L31" i="8"/>
  <c r="F38" i="8"/>
  <c r="N39" i="8"/>
  <c r="N42" i="8"/>
  <c r="N46" i="8"/>
  <c r="Z16" i="8"/>
  <c r="D19" i="8"/>
  <c r="F22" i="8"/>
  <c r="D26" i="8"/>
  <c r="N27" i="8"/>
  <c r="L28" i="8"/>
  <c r="N31" i="8"/>
  <c r="D28" i="8"/>
  <c r="D30" i="8"/>
  <c r="D39" i="8"/>
  <c r="J11" i="7"/>
  <c r="R11" i="7"/>
  <c r="O13" i="7"/>
  <c r="J15" i="7"/>
  <c r="J22" i="7"/>
  <c r="R22" i="7"/>
  <c r="E20" i="7"/>
  <c r="F12" i="7" s="1"/>
  <c r="M20" i="7"/>
  <c r="N10" i="7" s="1"/>
  <c r="G12" i="7"/>
  <c r="O12" i="7"/>
  <c r="F30" i="7"/>
  <c r="E32" i="7"/>
  <c r="N30" i="7"/>
  <c r="M32" i="7"/>
  <c r="G39" i="7"/>
  <c r="O39" i="7"/>
  <c r="G13" i="7"/>
  <c r="O15" i="7"/>
  <c r="H28" i="7"/>
  <c r="J26" i="7"/>
  <c r="P28" i="7"/>
  <c r="R26" i="7"/>
  <c r="J27" i="7"/>
  <c r="R27" i="7"/>
  <c r="G46" i="7"/>
  <c r="O46" i="7"/>
  <c r="G11" i="7"/>
  <c r="O11" i="7"/>
  <c r="G22" i="7"/>
  <c r="O22" i="7"/>
  <c r="J31" i="7"/>
  <c r="R31" i="7"/>
  <c r="J38" i="7"/>
  <c r="R38" i="7"/>
  <c r="J10" i="7"/>
  <c r="H20" i="7"/>
  <c r="I38" i="7" s="1"/>
  <c r="R10" i="7"/>
  <c r="P20" i="7"/>
  <c r="Q12" i="7" s="1"/>
  <c r="G15" i="7"/>
  <c r="J30" i="7"/>
  <c r="H32" i="7"/>
  <c r="R30" i="7"/>
  <c r="P32" i="7"/>
  <c r="J42" i="7"/>
  <c r="R42" i="7"/>
  <c r="F46" i="7"/>
  <c r="F11" i="7"/>
  <c r="R13" i="7"/>
  <c r="R15" i="7"/>
  <c r="F22" i="7"/>
  <c r="C28" i="7"/>
  <c r="G26" i="7"/>
  <c r="L26" i="7"/>
  <c r="K28" i="7"/>
  <c r="O26" i="7"/>
  <c r="G27" i="7"/>
  <c r="L27" i="7"/>
  <c r="O27" i="7"/>
  <c r="J12" i="7"/>
  <c r="R12" i="7"/>
  <c r="J13" i="7"/>
  <c r="G31" i="7"/>
  <c r="O31" i="7"/>
  <c r="G38" i="7"/>
  <c r="O38" i="7"/>
  <c r="J39" i="7"/>
  <c r="R39" i="7"/>
  <c r="C20" i="7"/>
  <c r="D15" i="7" s="1"/>
  <c r="G10" i="7"/>
  <c r="K20" i="7"/>
  <c r="L22" i="7" s="1"/>
  <c r="O10" i="7"/>
  <c r="L10" i="7"/>
  <c r="E28" i="7"/>
  <c r="F26" i="7"/>
  <c r="M28" i="7"/>
  <c r="F27" i="7"/>
  <c r="C32" i="7"/>
  <c r="G30" i="7"/>
  <c r="K32" i="7"/>
  <c r="O30" i="7"/>
  <c r="L30" i="7"/>
  <c r="G42" i="7"/>
  <c r="O42" i="7"/>
  <c r="L42" i="7"/>
  <c r="J46" i="7"/>
  <c r="R46" i="7"/>
  <c r="V38" i="7"/>
  <c r="AB30" i="7"/>
  <c r="AA17" i="7"/>
  <c r="AD17" i="7"/>
  <c r="Y21" i="7"/>
  <c r="X38" i="7"/>
  <c r="AB17" i="7"/>
  <c r="Z19" i="7"/>
  <c r="X7" i="7"/>
  <c r="AC7" i="7" s="1"/>
  <c r="AB13" i="7"/>
  <c r="AB15" i="7"/>
  <c r="AB16" i="7"/>
  <c r="AA25" i="7"/>
  <c r="AD13" i="7"/>
  <c r="AB25" i="7"/>
  <c r="AB11" i="7"/>
  <c r="P7" i="6"/>
  <c r="G15" i="6"/>
  <c r="O15" i="6"/>
  <c r="AB15" i="6"/>
  <c r="AB25" i="6"/>
  <c r="O26" i="6"/>
  <c r="M28" i="6"/>
  <c r="J30" i="6"/>
  <c r="R30" i="6"/>
  <c r="C20" i="5"/>
  <c r="D42" i="5" s="1"/>
  <c r="G10" i="5"/>
  <c r="E20" i="5"/>
  <c r="G26" i="5"/>
  <c r="C28" i="5"/>
  <c r="G27" i="5"/>
  <c r="D27" i="5"/>
  <c r="J13" i="5"/>
  <c r="H20" i="5"/>
  <c r="M32" i="5"/>
  <c r="O42" i="5"/>
  <c r="J22" i="5"/>
  <c r="I20" i="5"/>
  <c r="E28" i="5"/>
  <c r="M28" i="5"/>
  <c r="G46" i="5"/>
  <c r="D46" i="5"/>
  <c r="G13" i="5"/>
  <c r="K20" i="5"/>
  <c r="L18" i="5" s="1"/>
  <c r="E32" i="5"/>
  <c r="G42" i="5"/>
  <c r="D18" i="5"/>
  <c r="G22" i="5"/>
  <c r="O22" i="5"/>
  <c r="D32" i="5"/>
  <c r="G32" i="5"/>
  <c r="O32" i="5"/>
  <c r="G11" i="4"/>
  <c r="J15" i="4"/>
  <c r="C28" i="4"/>
  <c r="G26" i="4"/>
  <c r="O12" i="4"/>
  <c r="G13" i="4"/>
  <c r="O13" i="4"/>
  <c r="U17" i="4"/>
  <c r="AC14" i="4"/>
  <c r="J17" i="4"/>
  <c r="R17" i="4"/>
  <c r="Q19" i="4"/>
  <c r="AA23" i="4"/>
  <c r="G31" i="4"/>
  <c r="O31" i="4"/>
  <c r="G38" i="4"/>
  <c r="O38" i="4"/>
  <c r="G39" i="4"/>
  <c r="O39" i="4"/>
  <c r="G42" i="4"/>
  <c r="O42" i="4"/>
  <c r="G46" i="4"/>
  <c r="O46" i="4"/>
  <c r="O11" i="4"/>
  <c r="R15" i="4"/>
  <c r="J10" i="4"/>
  <c r="H20" i="4"/>
  <c r="I17" i="4" s="1"/>
  <c r="R10" i="4"/>
  <c r="Q10" i="4"/>
  <c r="P20" i="4"/>
  <c r="Q15" i="4" s="1"/>
  <c r="V17" i="4"/>
  <c r="G14" i="4"/>
  <c r="O14" i="4"/>
  <c r="AC15" i="4"/>
  <c r="AC16" i="4"/>
  <c r="J18" i="4"/>
  <c r="R18" i="4"/>
  <c r="Q18" i="4"/>
  <c r="J19" i="4"/>
  <c r="Z23" i="4"/>
  <c r="AA25" i="4"/>
  <c r="E28" i="4"/>
  <c r="M28" i="4"/>
  <c r="AA27" i="4"/>
  <c r="Z27" i="4"/>
  <c r="AA28" i="4"/>
  <c r="E32" i="4"/>
  <c r="M32" i="4"/>
  <c r="R16" i="4"/>
  <c r="Q16" i="4"/>
  <c r="G12" i="4"/>
  <c r="AA11" i="4"/>
  <c r="W17" i="4"/>
  <c r="G15" i="4"/>
  <c r="O15" i="4"/>
  <c r="O16" i="4"/>
  <c r="J22" i="4"/>
  <c r="I20" i="4"/>
  <c r="R22" i="4"/>
  <c r="Z25" i="4"/>
  <c r="Z28" i="4"/>
  <c r="AB17" i="4"/>
  <c r="AC13" i="4"/>
  <c r="J16" i="4"/>
  <c r="Y19" i="4"/>
  <c r="Z11" i="4"/>
  <c r="X17" i="4"/>
  <c r="Z17" i="6" s="1"/>
  <c r="AA13" i="4"/>
  <c r="Z13" i="4"/>
  <c r="G16" i="4"/>
  <c r="G17" i="4"/>
  <c r="O17" i="4"/>
  <c r="O19" i="4"/>
  <c r="G18" i="4"/>
  <c r="L18" i="4"/>
  <c r="O18" i="4"/>
  <c r="G19" i="4"/>
  <c r="AC23" i="4"/>
  <c r="J26" i="4"/>
  <c r="I26" i="4"/>
  <c r="H28" i="4"/>
  <c r="R26" i="4"/>
  <c r="P28" i="4"/>
  <c r="J27" i="4"/>
  <c r="I27" i="4"/>
  <c r="R27" i="4"/>
  <c r="Q27" i="4"/>
  <c r="AC27" i="4"/>
  <c r="J30" i="4"/>
  <c r="H32" i="4"/>
  <c r="R30" i="4"/>
  <c r="P32" i="4"/>
  <c r="Q30" i="4"/>
  <c r="L10" i="4"/>
  <c r="K20" i="4"/>
  <c r="L13" i="4" s="1"/>
  <c r="O10" i="4"/>
  <c r="R11" i="4"/>
  <c r="Z14" i="4"/>
  <c r="AA14" i="4"/>
  <c r="I12" i="4"/>
  <c r="J12" i="4"/>
  <c r="Q12" i="4"/>
  <c r="R12" i="4"/>
  <c r="J13" i="4"/>
  <c r="Q13" i="4"/>
  <c r="R13" i="4"/>
  <c r="AA15" i="4"/>
  <c r="Z15" i="4"/>
  <c r="AA16" i="4"/>
  <c r="Z16" i="4"/>
  <c r="G22" i="4"/>
  <c r="L22" i="4"/>
  <c r="O22" i="4"/>
  <c r="AC25" i="4"/>
  <c r="AC28" i="4"/>
  <c r="J31" i="4"/>
  <c r="I31" i="4"/>
  <c r="R31" i="4"/>
  <c r="Q31" i="4"/>
  <c r="J38" i="4"/>
  <c r="I38" i="4"/>
  <c r="R38" i="4"/>
  <c r="J39" i="4"/>
  <c r="I39" i="4"/>
  <c r="R39" i="4"/>
  <c r="Q39" i="4"/>
  <c r="J42" i="4"/>
  <c r="I42" i="4"/>
  <c r="R42" i="4"/>
  <c r="J46" i="4"/>
  <c r="I46" i="4"/>
  <c r="R46" i="4"/>
  <c r="Q46" i="4"/>
  <c r="C20" i="4"/>
  <c r="D15" i="4" s="1"/>
  <c r="G10" i="4"/>
  <c r="J11" i="4"/>
  <c r="Y17" i="4"/>
  <c r="E20" i="4"/>
  <c r="F22" i="4" s="1"/>
  <c r="M20" i="4"/>
  <c r="N38" i="4" s="1"/>
  <c r="AC11" i="4"/>
  <c r="AB19" i="4"/>
  <c r="I14" i="4"/>
  <c r="J14" i="4"/>
  <c r="Q14" i="4"/>
  <c r="R14" i="4"/>
  <c r="K28" i="4"/>
  <c r="O26" i="4"/>
  <c r="L26" i="4"/>
  <c r="G27" i="4"/>
  <c r="O27" i="4"/>
  <c r="G30" i="4"/>
  <c r="C32" i="4"/>
  <c r="O30" i="4"/>
  <c r="K32" i="4"/>
  <c r="L30" i="4"/>
  <c r="L7" i="4"/>
  <c r="M32" i="3"/>
  <c r="O13" i="3"/>
  <c r="G13" i="3"/>
  <c r="H20" i="3"/>
  <c r="I11" i="3" s="1"/>
  <c r="J10" i="3"/>
  <c r="P20" i="3"/>
  <c r="Q27" i="3" s="1"/>
  <c r="R10" i="3"/>
  <c r="E32" i="3"/>
  <c r="R27" i="3"/>
  <c r="J11" i="3"/>
  <c r="R11" i="3"/>
  <c r="Q11" i="3"/>
  <c r="G14" i="3"/>
  <c r="O14" i="3"/>
  <c r="G15" i="3"/>
  <c r="D15" i="3"/>
  <c r="O15" i="3"/>
  <c r="G22" i="3"/>
  <c r="O22" i="3"/>
  <c r="J27" i="3"/>
  <c r="C20" i="3"/>
  <c r="D18" i="3" s="1"/>
  <c r="G10" i="3"/>
  <c r="O10" i="3"/>
  <c r="K20" i="3"/>
  <c r="L15" i="3" s="1"/>
  <c r="J18" i="3"/>
  <c r="I18" i="3"/>
  <c r="R18" i="3"/>
  <c r="J30" i="3"/>
  <c r="H32" i="3"/>
  <c r="R30" i="3"/>
  <c r="P32" i="3"/>
  <c r="Q30" i="3"/>
  <c r="R17" i="3"/>
  <c r="F31" i="3"/>
  <c r="J12" i="3"/>
  <c r="G16" i="3"/>
  <c r="D16" i="3"/>
  <c r="L17" i="3"/>
  <c r="O17" i="3"/>
  <c r="R19" i="3"/>
  <c r="Q19" i="3"/>
  <c r="C28" i="3"/>
  <c r="D26" i="3"/>
  <c r="G26" i="3"/>
  <c r="K28" i="3"/>
  <c r="L26" i="3"/>
  <c r="O26" i="3"/>
  <c r="G27" i="3"/>
  <c r="L27" i="3"/>
  <c r="O27" i="3"/>
  <c r="J31" i="3"/>
  <c r="R31" i="3"/>
  <c r="J38" i="3"/>
  <c r="R38" i="3"/>
  <c r="Q38" i="3"/>
  <c r="J39" i="3"/>
  <c r="I39" i="3"/>
  <c r="R39" i="3"/>
  <c r="J42" i="3"/>
  <c r="R42" i="3"/>
  <c r="Q42" i="3"/>
  <c r="J46" i="3"/>
  <c r="R46" i="3"/>
  <c r="J17" i="3"/>
  <c r="I17" i="3"/>
  <c r="J26" i="3"/>
  <c r="H28" i="3"/>
  <c r="H28" i="6" s="1"/>
  <c r="I26" i="3"/>
  <c r="R12" i="3"/>
  <c r="Q12" i="3"/>
  <c r="G17" i="3"/>
  <c r="J19" i="3"/>
  <c r="F10" i="3"/>
  <c r="E20" i="3"/>
  <c r="F15" i="3" s="1"/>
  <c r="G11" i="3"/>
  <c r="L11" i="3"/>
  <c r="O11" i="3"/>
  <c r="J13" i="3"/>
  <c r="I13" i="3"/>
  <c r="R13" i="3"/>
  <c r="Q13" i="3"/>
  <c r="R26" i="3"/>
  <c r="P28" i="3"/>
  <c r="Q26" i="3"/>
  <c r="F17" i="3"/>
  <c r="G18" i="3"/>
  <c r="L18" i="3"/>
  <c r="O18" i="3"/>
  <c r="E28" i="3"/>
  <c r="F26" i="3"/>
  <c r="M28" i="3"/>
  <c r="F27" i="3"/>
  <c r="C32" i="3"/>
  <c r="G30" i="3"/>
  <c r="K32" i="3"/>
  <c r="L30" i="3"/>
  <c r="O30" i="3"/>
  <c r="G12" i="3"/>
  <c r="D12" i="3"/>
  <c r="O12" i="3"/>
  <c r="L12" i="3"/>
  <c r="J14" i="3"/>
  <c r="I14" i="3"/>
  <c r="J15" i="3"/>
  <c r="I15" i="3"/>
  <c r="R15" i="3"/>
  <c r="Q15" i="3"/>
  <c r="G19" i="3"/>
  <c r="O19" i="3"/>
  <c r="L19" i="3"/>
  <c r="I20" i="3"/>
  <c r="J22" i="3"/>
  <c r="I22" i="3"/>
  <c r="R22" i="3"/>
  <c r="Q22" i="3"/>
  <c r="G31" i="3"/>
  <c r="O31" i="3"/>
  <c r="L31" i="3"/>
  <c r="G38" i="3"/>
  <c r="D38" i="3"/>
  <c r="O38" i="3"/>
  <c r="L38" i="3"/>
  <c r="G39" i="3"/>
  <c r="O39" i="3"/>
  <c r="L39" i="3"/>
  <c r="G42" i="3"/>
  <c r="D42" i="3"/>
  <c r="O42" i="3"/>
  <c r="L42" i="3"/>
  <c r="G46" i="3"/>
  <c r="O46" i="3"/>
  <c r="L46" i="3"/>
  <c r="W7" i="3"/>
  <c r="AB7" i="3" s="1"/>
  <c r="P7" i="3"/>
  <c r="AC27" i="3"/>
  <c r="Z27" i="3"/>
  <c r="Z28" i="3"/>
  <c r="AA11" i="3"/>
  <c r="AC11" i="3"/>
  <c r="R27" i="5" l="1"/>
  <c r="J27" i="5"/>
  <c r="I27" i="5"/>
  <c r="P28" i="5"/>
  <c r="R26" i="5"/>
  <c r="H28" i="5"/>
  <c r="J26" i="5"/>
  <c r="I26" i="5"/>
  <c r="P32" i="5"/>
  <c r="R30" i="5"/>
  <c r="J38" i="5"/>
  <c r="R38" i="5"/>
  <c r="J31" i="5"/>
  <c r="R22" i="5"/>
  <c r="J39" i="5"/>
  <c r="R31" i="5"/>
  <c r="P20" i="5"/>
  <c r="Q14" i="5" s="1"/>
  <c r="R13" i="5"/>
  <c r="R39" i="5"/>
  <c r="Q39" i="5"/>
  <c r="J30" i="5"/>
  <c r="H32" i="5"/>
  <c r="O13" i="5"/>
  <c r="M20" i="5"/>
  <c r="M16" i="3"/>
  <c r="O46" i="5"/>
  <c r="O27" i="5"/>
  <c r="O26" i="5"/>
  <c r="K28" i="5"/>
  <c r="U28" i="10"/>
  <c r="AH8" i="11"/>
  <c r="Y8" i="11"/>
  <c r="U10" i="10"/>
  <c r="W8" i="11" s="1"/>
  <c r="Y17" i="10"/>
  <c r="X16" i="10"/>
  <c r="AC16" i="10"/>
  <c r="C39" i="10"/>
  <c r="G39" i="10" s="1"/>
  <c r="I39" i="10"/>
  <c r="C31" i="10"/>
  <c r="E32" i="10"/>
  <c r="I31" i="10"/>
  <c r="U16" i="10"/>
  <c r="U17" i="10" s="1"/>
  <c r="V17" i="10"/>
  <c r="M32" i="10"/>
  <c r="M34" i="10" s="1"/>
  <c r="Y19" i="10"/>
  <c r="AC11" i="10"/>
  <c r="X11" i="10"/>
  <c r="X28" i="10"/>
  <c r="AA28" i="10" s="1"/>
  <c r="AC28" i="10"/>
  <c r="C19" i="10"/>
  <c r="C19" i="11" s="1"/>
  <c r="E24" i="10"/>
  <c r="I19" i="10"/>
  <c r="V19" i="10"/>
  <c r="V21" i="10" s="1"/>
  <c r="V30" i="10" s="1"/>
  <c r="W40" i="7" s="1"/>
  <c r="W41" i="7" s="1"/>
  <c r="W42" i="7" s="1"/>
  <c r="U11" i="10"/>
  <c r="K19" i="10"/>
  <c r="M19" i="11"/>
  <c r="M24" i="10"/>
  <c r="M36" i="10" s="1"/>
  <c r="M20" i="10"/>
  <c r="K10" i="10"/>
  <c r="E20" i="10"/>
  <c r="C10" i="10"/>
  <c r="I10" i="10"/>
  <c r="X10" i="10"/>
  <c r="AB8" i="11"/>
  <c r="AC10" i="10"/>
  <c r="AK8" i="11"/>
  <c r="Y21" i="10"/>
  <c r="Q10" i="10"/>
  <c r="R10" i="10"/>
  <c r="P20" i="10"/>
  <c r="Q39" i="10" s="1"/>
  <c r="P24" i="10"/>
  <c r="R19" i="10"/>
  <c r="R39" i="10"/>
  <c r="R38" i="10"/>
  <c r="R31" i="10"/>
  <c r="P32" i="10"/>
  <c r="U30" i="3"/>
  <c r="W21" i="6"/>
  <c r="W30" i="6" s="1"/>
  <c r="G38" i="6"/>
  <c r="C38" i="11"/>
  <c r="J13" i="6"/>
  <c r="H13" i="11"/>
  <c r="G22" i="6"/>
  <c r="C22" i="11"/>
  <c r="R14" i="11"/>
  <c r="R28" i="9"/>
  <c r="Q28" i="9"/>
  <c r="AC15" i="9"/>
  <c r="Z15" i="9"/>
  <c r="N39" i="9"/>
  <c r="R39" i="9"/>
  <c r="O32" i="9"/>
  <c r="L32" i="9"/>
  <c r="Y22" i="11"/>
  <c r="AH22" i="11"/>
  <c r="AH19" i="11"/>
  <c r="Y19" i="11"/>
  <c r="AK10" i="11"/>
  <c r="AB10" i="11"/>
  <c r="AB13" i="6"/>
  <c r="AI10" i="11" s="1"/>
  <c r="AC16" i="6"/>
  <c r="AB16" i="6"/>
  <c r="AB9" i="11"/>
  <c r="AK9" i="11"/>
  <c r="AE11" i="6"/>
  <c r="AC11" i="6"/>
  <c r="AB11" i="6"/>
  <c r="Z22" i="11"/>
  <c r="AC28" i="6"/>
  <c r="K12" i="11"/>
  <c r="O12" i="6"/>
  <c r="J12" i="6"/>
  <c r="E12" i="11"/>
  <c r="G12" i="6"/>
  <c r="D46" i="3"/>
  <c r="D39" i="3"/>
  <c r="D31" i="3"/>
  <c r="I38" i="3"/>
  <c r="J16" i="11"/>
  <c r="M34" i="9"/>
  <c r="O34" i="8"/>
  <c r="R34" i="8"/>
  <c r="N34" i="8"/>
  <c r="R11" i="6"/>
  <c r="P11" i="11"/>
  <c r="H20" i="6"/>
  <c r="I13" i="6" s="1"/>
  <c r="I19" i="3"/>
  <c r="I10" i="3"/>
  <c r="I27" i="3"/>
  <c r="W17" i="6"/>
  <c r="U19" i="4"/>
  <c r="U21" i="4" s="1"/>
  <c r="U30" i="4" s="1"/>
  <c r="D30" i="3"/>
  <c r="I42" i="3"/>
  <c r="R27" i="9"/>
  <c r="Q27" i="9"/>
  <c r="R17" i="6"/>
  <c r="P17" i="11"/>
  <c r="P31" i="11"/>
  <c r="C26" i="11"/>
  <c r="C28" i="6"/>
  <c r="G26" i="6"/>
  <c r="Z11" i="3"/>
  <c r="I31" i="3"/>
  <c r="I30" i="3"/>
  <c r="AC21" i="9"/>
  <c r="Y30" i="9"/>
  <c r="X9" i="11"/>
  <c r="AG9" i="11"/>
  <c r="E42" i="11"/>
  <c r="T29" i="6"/>
  <c r="R24" i="9"/>
  <c r="N24" i="9"/>
  <c r="AA14" i="9"/>
  <c r="AA13" i="11" s="1"/>
  <c r="AE13" i="11" s="1"/>
  <c r="Z14" i="9"/>
  <c r="Z13" i="11" s="1"/>
  <c r="AC13" i="11" s="1"/>
  <c r="AE16" i="6"/>
  <c r="Y9" i="11"/>
  <c r="AH9" i="11"/>
  <c r="J26" i="6"/>
  <c r="E26" i="11"/>
  <c r="T13" i="6"/>
  <c r="E28" i="6"/>
  <c r="J39" i="6"/>
  <c r="H39" i="11"/>
  <c r="I12" i="3"/>
  <c r="D17" i="3"/>
  <c r="D11" i="3"/>
  <c r="D19" i="3"/>
  <c r="D10" i="3"/>
  <c r="D27" i="3"/>
  <c r="I46" i="3"/>
  <c r="Q17" i="3"/>
  <c r="Q18" i="3"/>
  <c r="AD17" i="6"/>
  <c r="AB17" i="3"/>
  <c r="V19" i="4"/>
  <c r="V21" i="4" s="1"/>
  <c r="V30" i="4" s="1"/>
  <c r="X17" i="6"/>
  <c r="AH14" i="11" s="1"/>
  <c r="AI12" i="11"/>
  <c r="L24" i="8"/>
  <c r="J30" i="9"/>
  <c r="AC25" i="9"/>
  <c r="AK24" i="11"/>
  <c r="R15" i="9"/>
  <c r="N15" i="9"/>
  <c r="O15" i="9"/>
  <c r="Q16" i="9"/>
  <c r="J32" i="9"/>
  <c r="K31" i="11"/>
  <c r="AC15" i="6"/>
  <c r="Z12" i="11"/>
  <c r="Y13" i="11"/>
  <c r="AH13" i="11"/>
  <c r="W13" i="11"/>
  <c r="Z19" i="6"/>
  <c r="Z9" i="11"/>
  <c r="AC15" i="3"/>
  <c r="AA23" i="3"/>
  <c r="O46" i="6"/>
  <c r="C12" i="11"/>
  <c r="O18" i="6"/>
  <c r="K18" i="11"/>
  <c r="O11" i="6"/>
  <c r="K11" i="11"/>
  <c r="H26" i="11"/>
  <c r="R38" i="6"/>
  <c r="P38" i="11"/>
  <c r="M22" i="11"/>
  <c r="P33" i="6"/>
  <c r="P30" i="11"/>
  <c r="T27" i="6"/>
  <c r="E39" i="11"/>
  <c r="K16" i="11"/>
  <c r="O16" i="6"/>
  <c r="J11" i="6"/>
  <c r="H11" i="11"/>
  <c r="P10" i="11"/>
  <c r="R10" i="6"/>
  <c r="Q46" i="3"/>
  <c r="Q39" i="3"/>
  <c r="Q31" i="3"/>
  <c r="W19" i="4"/>
  <c r="W21" i="4" s="1"/>
  <c r="Y17" i="6"/>
  <c r="AG14" i="11" s="1"/>
  <c r="D10" i="5"/>
  <c r="F42" i="7"/>
  <c r="AC19" i="9"/>
  <c r="Q43" i="9"/>
  <c r="Q14" i="9"/>
  <c r="Q13" i="9"/>
  <c r="Q10" i="9"/>
  <c r="Q20" i="9"/>
  <c r="Q12" i="9"/>
  <c r="Q17" i="9"/>
  <c r="F26" i="9"/>
  <c r="J17" i="9"/>
  <c r="F17" i="9"/>
  <c r="F38" i="9"/>
  <c r="AC27" i="9"/>
  <c r="AK26" i="11"/>
  <c r="N27" i="9"/>
  <c r="O39" i="9"/>
  <c r="J27" i="9"/>
  <c r="Z13" i="9"/>
  <c r="AA13" i="9"/>
  <c r="AK13" i="11"/>
  <c r="AB13" i="11"/>
  <c r="AA22" i="11"/>
  <c r="AE22" i="11" s="1"/>
  <c r="AE28" i="6"/>
  <c r="Z15" i="3"/>
  <c r="AA15" i="3"/>
  <c r="AA19" i="11"/>
  <c r="AE23" i="6"/>
  <c r="AC13" i="3"/>
  <c r="AB21" i="11"/>
  <c r="AK21" i="11"/>
  <c r="AB27" i="6"/>
  <c r="AI21" i="11" s="1"/>
  <c r="AA12" i="11"/>
  <c r="AE12" i="11" s="1"/>
  <c r="AE15" i="6"/>
  <c r="Y20" i="11"/>
  <c r="AH20" i="11"/>
  <c r="Z19" i="11"/>
  <c r="AC23" i="6"/>
  <c r="G46" i="6"/>
  <c r="C46" i="11"/>
  <c r="M11" i="11"/>
  <c r="G18" i="6"/>
  <c r="C18" i="11"/>
  <c r="G11" i="6"/>
  <c r="C11" i="11"/>
  <c r="J17" i="6"/>
  <c r="H17" i="11"/>
  <c r="I17" i="6"/>
  <c r="J38" i="6"/>
  <c r="H38" i="11"/>
  <c r="E22" i="11"/>
  <c r="T11" i="6"/>
  <c r="H33" i="6"/>
  <c r="H30" i="11"/>
  <c r="M38" i="11"/>
  <c r="M46" i="11"/>
  <c r="E18" i="11"/>
  <c r="G18" i="11" s="1"/>
  <c r="M34" i="5"/>
  <c r="D26" i="7"/>
  <c r="J34" i="9"/>
  <c r="Q19" i="9"/>
  <c r="P19" i="11"/>
  <c r="AC17" i="9"/>
  <c r="V7" i="7"/>
  <c r="Y7" i="7" s="1"/>
  <c r="K7" i="7"/>
  <c r="L14" i="9"/>
  <c r="T6" i="8"/>
  <c r="B6" i="9"/>
  <c r="AA14" i="3"/>
  <c r="Y12" i="11"/>
  <c r="AH12" i="11"/>
  <c r="AE13" i="6"/>
  <c r="AA10" i="11"/>
  <c r="AE10" i="11" s="1"/>
  <c r="AG19" i="11"/>
  <c r="X19" i="11"/>
  <c r="AA25" i="3"/>
  <c r="AC14" i="3"/>
  <c r="O42" i="6"/>
  <c r="R22" i="6"/>
  <c r="P22" i="11"/>
  <c r="K33" i="6"/>
  <c r="O30" i="6"/>
  <c r="O17" i="6"/>
  <c r="M17" i="11"/>
  <c r="O17" i="11" s="1"/>
  <c r="M10" i="11"/>
  <c r="R46" i="6"/>
  <c r="P46" i="11"/>
  <c r="R18" i="6"/>
  <c r="P18" i="11"/>
  <c r="E38" i="11"/>
  <c r="T26" i="6"/>
  <c r="M42" i="11"/>
  <c r="I10" i="6"/>
  <c r="H10" i="11"/>
  <c r="J10" i="6"/>
  <c r="E34" i="5"/>
  <c r="Z19" i="9"/>
  <c r="R20" i="9"/>
  <c r="N20" i="9"/>
  <c r="AC10" i="9"/>
  <c r="J18" i="9"/>
  <c r="F18" i="9"/>
  <c r="R30" i="9"/>
  <c r="L43" i="9"/>
  <c r="O20" i="9"/>
  <c r="L13" i="9"/>
  <c r="L15" i="9"/>
  <c r="L10" i="9"/>
  <c r="L24" i="9"/>
  <c r="L11" i="9"/>
  <c r="W22" i="11"/>
  <c r="AB12" i="11"/>
  <c r="AK12" i="11"/>
  <c r="AB11" i="11"/>
  <c r="AK11" i="11"/>
  <c r="X13" i="11"/>
  <c r="AG13" i="11"/>
  <c r="X11" i="11"/>
  <c r="AG11" i="11"/>
  <c r="P16" i="6"/>
  <c r="P20" i="6" s="1"/>
  <c r="R16" i="3"/>
  <c r="AC25" i="6"/>
  <c r="X22" i="11"/>
  <c r="AG22" i="11"/>
  <c r="AE14" i="6"/>
  <c r="AA11" i="11"/>
  <c r="G42" i="6"/>
  <c r="C42" i="11"/>
  <c r="J22" i="6"/>
  <c r="H22" i="11"/>
  <c r="C30" i="11"/>
  <c r="G30" i="6"/>
  <c r="C33" i="6"/>
  <c r="E17" i="11"/>
  <c r="E20" i="6"/>
  <c r="F42" i="6" s="1"/>
  <c r="E10" i="11"/>
  <c r="J46" i="6"/>
  <c r="H46" i="11"/>
  <c r="J32" i="6"/>
  <c r="C16" i="11"/>
  <c r="G16" i="11" s="1"/>
  <c r="G16" i="6"/>
  <c r="J18" i="6"/>
  <c r="H18" i="11"/>
  <c r="O14" i="6"/>
  <c r="K14" i="11"/>
  <c r="M39" i="11"/>
  <c r="G13" i="6"/>
  <c r="C13" i="11"/>
  <c r="Z17" i="4"/>
  <c r="AA17" i="6"/>
  <c r="AC17" i="6" s="1"/>
  <c r="D13" i="5"/>
  <c r="D26" i="5"/>
  <c r="F39" i="7"/>
  <c r="G34" i="8"/>
  <c r="I43" i="9"/>
  <c r="I18" i="9"/>
  <c r="I20" i="9"/>
  <c r="I19" i="9"/>
  <c r="I17" i="9"/>
  <c r="I13" i="9"/>
  <c r="I14" i="9"/>
  <c r="I16" i="9"/>
  <c r="I12" i="9"/>
  <c r="I10" i="9"/>
  <c r="AD21" i="11"/>
  <c r="J19" i="9"/>
  <c r="E19" i="11"/>
  <c r="F19" i="9"/>
  <c r="R31" i="9"/>
  <c r="N38" i="9"/>
  <c r="M31" i="11"/>
  <c r="AB19" i="3"/>
  <c r="AC14" i="6"/>
  <c r="Z11" i="11"/>
  <c r="AB14" i="6"/>
  <c r="AI11" i="11" s="1"/>
  <c r="AB28" i="6"/>
  <c r="AB22" i="11"/>
  <c r="AC22" i="11" s="1"/>
  <c r="AK22" i="11"/>
  <c r="Y11" i="11"/>
  <c r="AH11" i="11"/>
  <c r="AB23" i="6"/>
  <c r="AI19" i="11" s="1"/>
  <c r="AB19" i="11"/>
  <c r="AK19" i="11"/>
  <c r="V17" i="3"/>
  <c r="V19" i="3" s="1"/>
  <c r="V21" i="3" s="1"/>
  <c r="V30" i="3" s="1"/>
  <c r="O39" i="6"/>
  <c r="R15" i="6"/>
  <c r="P15" i="11"/>
  <c r="O27" i="6"/>
  <c r="M27" i="11"/>
  <c r="E15" i="11"/>
  <c r="G15" i="11" s="1"/>
  <c r="H19" i="11"/>
  <c r="J19" i="11" s="1"/>
  <c r="R42" i="6"/>
  <c r="P42" i="11"/>
  <c r="K27" i="11"/>
  <c r="F14" i="6"/>
  <c r="E14" i="11"/>
  <c r="K20" i="6"/>
  <c r="K10" i="11"/>
  <c r="O10" i="6"/>
  <c r="J27" i="6"/>
  <c r="H27" i="11"/>
  <c r="G14" i="6"/>
  <c r="C14" i="11"/>
  <c r="R27" i="6"/>
  <c r="P27" i="11"/>
  <c r="O28" i="6"/>
  <c r="V41" i="7"/>
  <c r="V42" i="7" s="1"/>
  <c r="F24" i="9"/>
  <c r="U7" i="10"/>
  <c r="K7" i="10"/>
  <c r="X7" i="10" s="1"/>
  <c r="R13" i="9"/>
  <c r="N13" i="9"/>
  <c r="U21" i="8"/>
  <c r="U19" i="9"/>
  <c r="AA16" i="9"/>
  <c r="Z16" i="9"/>
  <c r="F28" i="9"/>
  <c r="E31" i="11"/>
  <c r="J31" i="11" s="1"/>
  <c r="W20" i="11"/>
  <c r="AD19" i="6"/>
  <c r="AA9" i="11"/>
  <c r="AC13" i="6"/>
  <c r="Z10" i="11"/>
  <c r="AC25" i="3"/>
  <c r="Z25" i="3"/>
  <c r="W17" i="3"/>
  <c r="W19" i="6"/>
  <c r="W9" i="11"/>
  <c r="W15" i="11" s="1"/>
  <c r="Y10" i="11"/>
  <c r="AH10" i="11"/>
  <c r="AH21" i="11"/>
  <c r="Y21" i="11"/>
  <c r="W10" i="11"/>
  <c r="W14" i="11" s="1"/>
  <c r="G39" i="6"/>
  <c r="C39" i="11"/>
  <c r="J15" i="6"/>
  <c r="H15" i="11"/>
  <c r="G27" i="6"/>
  <c r="E27" i="11"/>
  <c r="T19" i="6"/>
  <c r="P28" i="6"/>
  <c r="P34" i="6" s="1"/>
  <c r="P26" i="11"/>
  <c r="G17" i="6"/>
  <c r="C17" i="11"/>
  <c r="J42" i="6"/>
  <c r="H42" i="11"/>
  <c r="C27" i="11"/>
  <c r="H12" i="11"/>
  <c r="I12" i="6"/>
  <c r="C20" i="6"/>
  <c r="D26" i="6" s="1"/>
  <c r="C10" i="11"/>
  <c r="G10" i="6"/>
  <c r="R12" i="6"/>
  <c r="M12" i="11"/>
  <c r="R12" i="11" s="1"/>
  <c r="M13" i="11"/>
  <c r="E30" i="11"/>
  <c r="E32" i="11" s="1"/>
  <c r="E33" i="6"/>
  <c r="T21" i="6"/>
  <c r="O13" i="6"/>
  <c r="K13" i="11"/>
  <c r="L17" i="4"/>
  <c r="D22" i="5"/>
  <c r="AI20" i="11"/>
  <c r="N11" i="7"/>
  <c r="Z19" i="8"/>
  <c r="L27" i="9"/>
  <c r="J20" i="9"/>
  <c r="F20" i="9"/>
  <c r="J16" i="9"/>
  <c r="F16" i="9"/>
  <c r="J15" i="9"/>
  <c r="G15" i="9"/>
  <c r="F15" i="9"/>
  <c r="F27" i="9"/>
  <c r="F45" i="9"/>
  <c r="N12" i="9"/>
  <c r="F39" i="9"/>
  <c r="N22" i="9"/>
  <c r="G43" i="9"/>
  <c r="N46" i="9"/>
  <c r="F13" i="9"/>
  <c r="N11" i="9"/>
  <c r="M7" i="8"/>
  <c r="V7" i="8" s="1"/>
  <c r="Y7" i="8" s="1"/>
  <c r="E7" i="9"/>
  <c r="M7" i="9" s="1"/>
  <c r="V7" i="9" s="1"/>
  <c r="Y7" i="9" s="1"/>
  <c r="AE8" i="11"/>
  <c r="AA13" i="3"/>
  <c r="Y17" i="3"/>
  <c r="AA16" i="3"/>
  <c r="Z16" i="3"/>
  <c r="AA21" i="11"/>
  <c r="AE27" i="6"/>
  <c r="X12" i="11"/>
  <c r="AG12" i="11"/>
  <c r="Z13" i="3"/>
  <c r="X17" i="3"/>
  <c r="AA17" i="3" s="1"/>
  <c r="AE25" i="6"/>
  <c r="AK20" i="11"/>
  <c r="AB20" i="11"/>
  <c r="X10" i="11"/>
  <c r="X14" i="11" s="1"/>
  <c r="AG10" i="11"/>
  <c r="AA28" i="3"/>
  <c r="AC16" i="3"/>
  <c r="W19" i="3"/>
  <c r="O38" i="6"/>
  <c r="J14" i="6"/>
  <c r="H14" i="11"/>
  <c r="R26" i="6"/>
  <c r="M26" i="11"/>
  <c r="M28" i="11" s="1"/>
  <c r="R13" i="6"/>
  <c r="P13" i="11"/>
  <c r="M15" i="11"/>
  <c r="O15" i="11" s="1"/>
  <c r="R39" i="6"/>
  <c r="P39" i="11"/>
  <c r="K28" i="6"/>
  <c r="T22" i="6"/>
  <c r="T32" i="6"/>
  <c r="E46" i="11"/>
  <c r="O22" i="6"/>
  <c r="K22" i="11"/>
  <c r="G13" i="11"/>
  <c r="O18" i="11"/>
  <c r="M30" i="11"/>
  <c r="M32" i="11" s="1"/>
  <c r="M33" i="6"/>
  <c r="M34" i="11"/>
  <c r="AC30" i="10"/>
  <c r="AC19" i="10"/>
  <c r="U19" i="10"/>
  <c r="U21" i="10" s="1"/>
  <c r="U30" i="10" s="1"/>
  <c r="V40" i="7" s="1"/>
  <c r="X19" i="10"/>
  <c r="AA19" i="10" s="1"/>
  <c r="AA11" i="10"/>
  <c r="R24" i="10"/>
  <c r="Q24" i="10"/>
  <c r="M45" i="10"/>
  <c r="M41" i="10"/>
  <c r="M43" i="10" s="1"/>
  <c r="I32" i="10"/>
  <c r="E34" i="10"/>
  <c r="I34" i="10" s="1"/>
  <c r="Z11" i="10"/>
  <c r="AA10" i="10"/>
  <c r="N17" i="10"/>
  <c r="N14" i="10"/>
  <c r="N22" i="10"/>
  <c r="N18" i="10"/>
  <c r="N39" i="10"/>
  <c r="N38" i="10"/>
  <c r="N32" i="10"/>
  <c r="N31" i="10"/>
  <c r="N27" i="10"/>
  <c r="N20" i="10"/>
  <c r="N12" i="10"/>
  <c r="N21" i="10"/>
  <c r="N43" i="10"/>
  <c r="N42" i="10"/>
  <c r="N24" i="10"/>
  <c r="N46" i="10"/>
  <c r="N36" i="10"/>
  <c r="N11" i="10"/>
  <c r="N23" i="10"/>
  <c r="N15" i="10"/>
  <c r="N26" i="10"/>
  <c r="N41" i="10"/>
  <c r="N34" i="10"/>
  <c r="N28" i="10"/>
  <c r="N19" i="10"/>
  <c r="N16" i="10"/>
  <c r="N13" i="10"/>
  <c r="N10" i="10"/>
  <c r="N45" i="10"/>
  <c r="N30" i="10"/>
  <c r="H36" i="10"/>
  <c r="J24" i="10"/>
  <c r="Q22" i="10"/>
  <c r="Q15" i="10"/>
  <c r="Q46" i="10"/>
  <c r="Q11" i="10"/>
  <c r="Q26" i="10"/>
  <c r="Q13" i="10"/>
  <c r="Q30" i="10"/>
  <c r="R20" i="10"/>
  <c r="Q20" i="10"/>
  <c r="Q14" i="10"/>
  <c r="Q27" i="10"/>
  <c r="Q12" i="10"/>
  <c r="Y30" i="10"/>
  <c r="AC21" i="10"/>
  <c r="P34" i="10"/>
  <c r="P36" i="10" s="1"/>
  <c r="R32" i="10"/>
  <c r="Q32" i="10"/>
  <c r="K20" i="10"/>
  <c r="O10" i="10"/>
  <c r="Z16" i="10"/>
  <c r="X17" i="10"/>
  <c r="AA17" i="10" s="1"/>
  <c r="AA16" i="10"/>
  <c r="K41" i="10"/>
  <c r="O36" i="10"/>
  <c r="AC17" i="10"/>
  <c r="I24" i="10"/>
  <c r="C20" i="10"/>
  <c r="G10" i="10"/>
  <c r="Q19" i="10"/>
  <c r="G19" i="10"/>
  <c r="C24" i="10"/>
  <c r="F42" i="10"/>
  <c r="F22" i="10"/>
  <c r="F20" i="10"/>
  <c r="F15" i="10"/>
  <c r="F46" i="10"/>
  <c r="F39" i="10"/>
  <c r="F38" i="10"/>
  <c r="F32" i="10"/>
  <c r="F31" i="10"/>
  <c r="F11" i="10"/>
  <c r="F43" i="10"/>
  <c r="F16" i="10"/>
  <c r="F36" i="10"/>
  <c r="F26" i="10"/>
  <c r="F17" i="10"/>
  <c r="F13" i="10"/>
  <c r="F30" i="10"/>
  <c r="F28" i="10"/>
  <c r="F19" i="10"/>
  <c r="F41" i="10"/>
  <c r="F34" i="10"/>
  <c r="I20" i="10"/>
  <c r="F18" i="10"/>
  <c r="F14" i="10"/>
  <c r="F10" i="10"/>
  <c r="F24" i="10"/>
  <c r="F45" i="10"/>
  <c r="F27" i="10"/>
  <c r="F12" i="10"/>
  <c r="AC30" i="9"/>
  <c r="G24" i="8"/>
  <c r="C36" i="8"/>
  <c r="C45" i="9" s="1"/>
  <c r="G45" i="9" s="1"/>
  <c r="F24" i="8"/>
  <c r="E36" i="8"/>
  <c r="E36" i="9" s="1"/>
  <c r="J24" i="8"/>
  <c r="Y30" i="8"/>
  <c r="AC21" i="8"/>
  <c r="Z21" i="8"/>
  <c r="J34" i="8"/>
  <c r="F34" i="8"/>
  <c r="M36" i="8"/>
  <c r="M36" i="9" s="1"/>
  <c r="N24" i="8"/>
  <c r="R24" i="8"/>
  <c r="D24" i="8"/>
  <c r="O24" i="8"/>
  <c r="K36" i="8"/>
  <c r="K45" i="9" s="1"/>
  <c r="AA19" i="8"/>
  <c r="X21" i="8"/>
  <c r="X21" i="9" s="1"/>
  <c r="Z21" i="9" s="1"/>
  <c r="Z20" i="11" s="1"/>
  <c r="AD20" i="11" s="1"/>
  <c r="Z21" i="7"/>
  <c r="AD19" i="7"/>
  <c r="AA19" i="7"/>
  <c r="D42" i="7"/>
  <c r="N27" i="7"/>
  <c r="L20" i="7"/>
  <c r="K24" i="7"/>
  <c r="O20" i="7"/>
  <c r="D27" i="7"/>
  <c r="I10" i="7"/>
  <c r="I26" i="7"/>
  <c r="F20" i="7"/>
  <c r="E24" i="7"/>
  <c r="D10" i="7"/>
  <c r="L38" i="7"/>
  <c r="I42" i="7"/>
  <c r="N39" i="7"/>
  <c r="I31" i="7"/>
  <c r="L11" i="7"/>
  <c r="Q27" i="7"/>
  <c r="L39" i="7"/>
  <c r="L12" i="7"/>
  <c r="N38" i="7"/>
  <c r="Q46" i="7"/>
  <c r="N26" i="7"/>
  <c r="K34" i="7"/>
  <c r="O28" i="7"/>
  <c r="L28" i="7"/>
  <c r="H34" i="7"/>
  <c r="J28" i="7"/>
  <c r="I28" i="7"/>
  <c r="F38" i="7"/>
  <c r="L13" i="7"/>
  <c r="N28" i="7"/>
  <c r="M34" i="7"/>
  <c r="N34" i="7" s="1"/>
  <c r="D20" i="7"/>
  <c r="C24" i="7"/>
  <c r="G20" i="7"/>
  <c r="D38" i="7"/>
  <c r="R32" i="7"/>
  <c r="Q32" i="7"/>
  <c r="P24" i="7"/>
  <c r="R20" i="7"/>
  <c r="Q20" i="7"/>
  <c r="Q38" i="7"/>
  <c r="D11" i="7"/>
  <c r="I27" i="7"/>
  <c r="D39" i="7"/>
  <c r="D12" i="7"/>
  <c r="N31" i="7"/>
  <c r="AB19" i="7"/>
  <c r="I46" i="7"/>
  <c r="L32" i="7"/>
  <c r="O32" i="7"/>
  <c r="I12" i="7"/>
  <c r="Q30" i="7"/>
  <c r="Q10" i="7"/>
  <c r="N13" i="7"/>
  <c r="F31" i="7"/>
  <c r="Q11" i="7"/>
  <c r="Y30" i="7"/>
  <c r="AB21" i="7"/>
  <c r="D30" i="7"/>
  <c r="F28" i="7"/>
  <c r="E34" i="7"/>
  <c r="F34" i="7" s="1"/>
  <c r="Q39" i="7"/>
  <c r="L31" i="7"/>
  <c r="C34" i="7"/>
  <c r="G28" i="7"/>
  <c r="D28" i="7"/>
  <c r="N46" i="7"/>
  <c r="D22" i="7"/>
  <c r="L46" i="7"/>
  <c r="Q26" i="7"/>
  <c r="D13" i="7"/>
  <c r="N32" i="7"/>
  <c r="Q22" i="7"/>
  <c r="J32" i="7"/>
  <c r="I32" i="7"/>
  <c r="H24" i="7"/>
  <c r="J20" i="7"/>
  <c r="I20" i="7"/>
  <c r="N20" i="7"/>
  <c r="M24" i="7"/>
  <c r="I11" i="7"/>
  <c r="D32" i="7"/>
  <c r="G32" i="7"/>
  <c r="I39" i="7"/>
  <c r="D31" i="7"/>
  <c r="N22" i="7"/>
  <c r="Q42" i="7"/>
  <c r="I30" i="7"/>
  <c r="Q31" i="7"/>
  <c r="N12" i="7"/>
  <c r="D46" i="7"/>
  <c r="P34" i="7"/>
  <c r="R28" i="7"/>
  <c r="Q28" i="7"/>
  <c r="N42" i="7"/>
  <c r="F32" i="7"/>
  <c r="F10" i="7"/>
  <c r="I22" i="7"/>
  <c r="F28" i="6"/>
  <c r="T20" i="6"/>
  <c r="E34" i="6"/>
  <c r="J28" i="6"/>
  <c r="R34" i="6"/>
  <c r="G28" i="6"/>
  <c r="M34" i="6"/>
  <c r="R28" i="6"/>
  <c r="J28" i="5"/>
  <c r="I28" i="5"/>
  <c r="L22" i="5"/>
  <c r="N12" i="5"/>
  <c r="N10" i="5"/>
  <c r="N42" i="5"/>
  <c r="N39" i="5"/>
  <c r="N16" i="5"/>
  <c r="N28" i="5"/>
  <c r="N27" i="5"/>
  <c r="N26" i="5"/>
  <c r="N18" i="5"/>
  <c r="N14" i="5"/>
  <c r="N46" i="5"/>
  <c r="N30" i="5"/>
  <c r="N19" i="5"/>
  <c r="N11" i="5"/>
  <c r="N38" i="5"/>
  <c r="M24" i="5"/>
  <c r="M36" i="5" s="1"/>
  <c r="N22" i="5"/>
  <c r="N15" i="5"/>
  <c r="N17" i="5"/>
  <c r="N34" i="5"/>
  <c r="N32" i="5"/>
  <c r="N31" i="5"/>
  <c r="N20" i="5"/>
  <c r="N13" i="5"/>
  <c r="L13" i="5"/>
  <c r="L27" i="5"/>
  <c r="I15" i="5"/>
  <c r="H24" i="5"/>
  <c r="J20" i="5"/>
  <c r="I12" i="5"/>
  <c r="I10" i="5"/>
  <c r="I16" i="5"/>
  <c r="I14" i="5"/>
  <c r="I11" i="5"/>
  <c r="I46" i="5"/>
  <c r="D16" i="5"/>
  <c r="D20" i="5"/>
  <c r="D14" i="5"/>
  <c r="D11" i="5"/>
  <c r="D30" i="5"/>
  <c r="D17" i="5"/>
  <c r="D15" i="5"/>
  <c r="D38" i="5"/>
  <c r="G20" i="5"/>
  <c r="C24" i="5"/>
  <c r="D12" i="5"/>
  <c r="I13" i="5"/>
  <c r="I38" i="5"/>
  <c r="Q46" i="5"/>
  <c r="P24" i="5"/>
  <c r="Q11" i="5"/>
  <c r="R20" i="5"/>
  <c r="Q15" i="5"/>
  <c r="Q20" i="5"/>
  <c r="Q17" i="5"/>
  <c r="Q12" i="5"/>
  <c r="Q10" i="5"/>
  <c r="Q42" i="5"/>
  <c r="Q16" i="5"/>
  <c r="L17" i="5"/>
  <c r="L31" i="5"/>
  <c r="L20" i="5"/>
  <c r="L12" i="5"/>
  <c r="L10" i="5"/>
  <c r="L39" i="5"/>
  <c r="L16" i="5"/>
  <c r="L14" i="5"/>
  <c r="L30" i="5"/>
  <c r="L19" i="5"/>
  <c r="O20" i="5"/>
  <c r="L11" i="5"/>
  <c r="L38" i="5"/>
  <c r="K24" i="5"/>
  <c r="L15" i="5"/>
  <c r="P34" i="5"/>
  <c r="R28" i="5"/>
  <c r="Q28" i="5"/>
  <c r="I22" i="5"/>
  <c r="L46" i="5"/>
  <c r="O28" i="5"/>
  <c r="K34" i="5"/>
  <c r="L28" i="5"/>
  <c r="Q13" i="5"/>
  <c r="Q31" i="5"/>
  <c r="G28" i="5"/>
  <c r="C34" i="5"/>
  <c r="D28" i="5"/>
  <c r="L32" i="5"/>
  <c r="R32" i="5"/>
  <c r="Q32" i="5"/>
  <c r="L26" i="5"/>
  <c r="L42" i="5"/>
  <c r="F45" i="5"/>
  <c r="F42" i="5"/>
  <c r="F46" i="5"/>
  <c r="F30" i="5"/>
  <c r="F43" i="5"/>
  <c r="F28" i="5"/>
  <c r="F27" i="5"/>
  <c r="F26" i="5"/>
  <c r="F11" i="5"/>
  <c r="F17" i="5"/>
  <c r="F15" i="5"/>
  <c r="F38" i="5"/>
  <c r="F24" i="5"/>
  <c r="F36" i="5"/>
  <c r="F31" i="5"/>
  <c r="E24" i="5"/>
  <c r="E36" i="5" s="1"/>
  <c r="F22" i="5"/>
  <c r="F12" i="5"/>
  <c r="F10" i="5"/>
  <c r="F14" i="5"/>
  <c r="F41" i="5"/>
  <c r="F39" i="5"/>
  <c r="F34" i="5"/>
  <c r="F32" i="5"/>
  <c r="F20" i="5"/>
  <c r="F19" i="5"/>
  <c r="F18" i="5"/>
  <c r="F16" i="5"/>
  <c r="F13" i="5"/>
  <c r="J32" i="5"/>
  <c r="I32" i="5"/>
  <c r="H34" i="5"/>
  <c r="D30" i="4"/>
  <c r="AB21" i="4"/>
  <c r="AC19" i="4"/>
  <c r="N17" i="4"/>
  <c r="F19" i="4"/>
  <c r="Q42" i="4"/>
  <c r="Q38" i="4"/>
  <c r="F17" i="4"/>
  <c r="I13" i="4"/>
  <c r="Q11" i="4"/>
  <c r="I30" i="4"/>
  <c r="P34" i="4"/>
  <c r="R28" i="4"/>
  <c r="Q28" i="4"/>
  <c r="D19" i="4"/>
  <c r="L19" i="4"/>
  <c r="I16" i="4"/>
  <c r="N39" i="4"/>
  <c r="Q22" i="4"/>
  <c r="D12" i="4"/>
  <c r="F32" i="4"/>
  <c r="E34" i="4"/>
  <c r="F34" i="4" s="1"/>
  <c r="F28" i="4"/>
  <c r="D26" i="4"/>
  <c r="O32" i="4"/>
  <c r="L32" i="4"/>
  <c r="R32" i="4"/>
  <c r="Q32" i="4"/>
  <c r="F16" i="4"/>
  <c r="F12" i="4"/>
  <c r="N42" i="4"/>
  <c r="L28" i="4"/>
  <c r="O28" i="4"/>
  <c r="K34" i="4"/>
  <c r="L27" i="4"/>
  <c r="N18" i="4"/>
  <c r="N10" i="4"/>
  <c r="J32" i="4"/>
  <c r="I32" i="4"/>
  <c r="Q26" i="4"/>
  <c r="F39" i="4"/>
  <c r="F26" i="4"/>
  <c r="N11" i="4"/>
  <c r="L42" i="4"/>
  <c r="L38" i="4"/>
  <c r="F18" i="4"/>
  <c r="C24" i="4"/>
  <c r="D20" i="4"/>
  <c r="G20" i="4"/>
  <c r="AA17" i="4"/>
  <c r="F11" i="4"/>
  <c r="D28" i="4"/>
  <c r="G28" i="4"/>
  <c r="C34" i="4"/>
  <c r="N20" i="4"/>
  <c r="M24" i="4"/>
  <c r="D27" i="4"/>
  <c r="F10" i="4"/>
  <c r="D10" i="4"/>
  <c r="K24" i="4"/>
  <c r="L20" i="4"/>
  <c r="O20" i="4"/>
  <c r="H34" i="4"/>
  <c r="J28" i="4"/>
  <c r="I28" i="4"/>
  <c r="AC17" i="4"/>
  <c r="F38" i="4"/>
  <c r="I22" i="4"/>
  <c r="L14" i="4"/>
  <c r="P24" i="4"/>
  <c r="R20" i="4"/>
  <c r="Q20" i="4"/>
  <c r="L11" i="4"/>
  <c r="D42" i="4"/>
  <c r="D38" i="4"/>
  <c r="Q17" i="4"/>
  <c r="D13" i="4"/>
  <c r="D18" i="4"/>
  <c r="D17" i="4"/>
  <c r="Z19" i="4"/>
  <c r="Y21" i="4"/>
  <c r="N46" i="4"/>
  <c r="N31" i="4"/>
  <c r="N13" i="4"/>
  <c r="AA30" i="4"/>
  <c r="N27" i="4"/>
  <c r="I15" i="4"/>
  <c r="F20" i="4"/>
  <c r="E24" i="4"/>
  <c r="N15" i="4"/>
  <c r="N16" i="4"/>
  <c r="F13" i="4"/>
  <c r="F46" i="4"/>
  <c r="F31" i="4"/>
  <c r="L16" i="4"/>
  <c r="N12" i="4"/>
  <c r="N30" i="4"/>
  <c r="F27" i="4"/>
  <c r="D14" i="4"/>
  <c r="L46" i="4"/>
  <c r="L39" i="4"/>
  <c r="L31" i="4"/>
  <c r="L12" i="4"/>
  <c r="N14" i="4"/>
  <c r="X19" i="4"/>
  <c r="N32" i="4"/>
  <c r="M34" i="4"/>
  <c r="N34" i="4" s="1"/>
  <c r="N28" i="4"/>
  <c r="H24" i="4"/>
  <c r="J20" i="4"/>
  <c r="D11" i="4"/>
  <c r="F15" i="4"/>
  <c r="D22" i="4"/>
  <c r="N19" i="4"/>
  <c r="G32" i="4"/>
  <c r="D32" i="4"/>
  <c r="I11" i="4"/>
  <c r="F14" i="4"/>
  <c r="N22" i="4"/>
  <c r="F42" i="4"/>
  <c r="L15" i="4"/>
  <c r="F30" i="4"/>
  <c r="N26" i="4"/>
  <c r="I18" i="4"/>
  <c r="I10" i="4"/>
  <c r="D46" i="4"/>
  <c r="D39" i="4"/>
  <c r="D31" i="4"/>
  <c r="F16" i="3"/>
  <c r="E24" i="3"/>
  <c r="F20" i="3"/>
  <c r="K34" i="3"/>
  <c r="L28" i="3"/>
  <c r="O28" i="3"/>
  <c r="G20" i="3"/>
  <c r="D20" i="3"/>
  <c r="C24" i="3"/>
  <c r="L16" i="3"/>
  <c r="D14" i="3"/>
  <c r="J20" i="3"/>
  <c r="H24" i="3"/>
  <c r="H24" i="6" s="1"/>
  <c r="I16" i="3"/>
  <c r="M34" i="3"/>
  <c r="F12" i="3"/>
  <c r="D13" i="3"/>
  <c r="O32" i="3"/>
  <c r="L32" i="3"/>
  <c r="H34" i="3"/>
  <c r="J28" i="3"/>
  <c r="I28" i="3"/>
  <c r="F46" i="3"/>
  <c r="Q10" i="3"/>
  <c r="E34" i="3"/>
  <c r="F34" i="3" s="1"/>
  <c r="F28" i="3"/>
  <c r="C34" i="3"/>
  <c r="D28" i="3"/>
  <c r="G28" i="3"/>
  <c r="R32" i="3"/>
  <c r="Q32" i="3"/>
  <c r="F42" i="3"/>
  <c r="F13" i="3"/>
  <c r="F11" i="3"/>
  <c r="AA30" i="3"/>
  <c r="P34" i="3"/>
  <c r="R28" i="3"/>
  <c r="Q28" i="3"/>
  <c r="F14" i="3"/>
  <c r="K24" i="3"/>
  <c r="L20" i="3"/>
  <c r="F39" i="3"/>
  <c r="L22" i="3"/>
  <c r="Q20" i="3"/>
  <c r="Q14" i="3"/>
  <c r="Q16" i="3"/>
  <c r="P24" i="3"/>
  <c r="L13" i="3"/>
  <c r="G32" i="3"/>
  <c r="D32" i="3"/>
  <c r="F22" i="3"/>
  <c r="F19" i="3"/>
  <c r="F18" i="3"/>
  <c r="J32" i="3"/>
  <c r="I32" i="3"/>
  <c r="L10" i="3"/>
  <c r="F38" i="3"/>
  <c r="D22" i="3"/>
  <c r="L14" i="3"/>
  <c r="F30" i="3"/>
  <c r="F32" i="3"/>
  <c r="Q28" i="6" l="1"/>
  <c r="Q39" i="6"/>
  <c r="Q42" i="6"/>
  <c r="Q18" i="6"/>
  <c r="Q15" i="6"/>
  <c r="Q22" i="6"/>
  <c r="Q38" i="6"/>
  <c r="Q34" i="6"/>
  <c r="Q30" i="6"/>
  <c r="Q33" i="6"/>
  <c r="Q32" i="6"/>
  <c r="Q20" i="6"/>
  <c r="P24" i="6"/>
  <c r="Q13" i="6"/>
  <c r="Q27" i="6"/>
  <c r="Q14" i="6"/>
  <c r="Q17" i="6"/>
  <c r="Q11" i="6"/>
  <c r="Q26" i="6"/>
  <c r="Q16" i="6"/>
  <c r="Q12" i="6"/>
  <c r="Q10" i="6"/>
  <c r="Q46" i="6"/>
  <c r="N34" i="3"/>
  <c r="R39" i="11"/>
  <c r="AC20" i="11"/>
  <c r="C20" i="11"/>
  <c r="G10" i="11"/>
  <c r="D10" i="11"/>
  <c r="G39" i="11"/>
  <c r="D39" i="11"/>
  <c r="G14" i="11"/>
  <c r="D14" i="11"/>
  <c r="R15" i="11"/>
  <c r="G33" i="6"/>
  <c r="D33" i="6"/>
  <c r="Z14" i="11"/>
  <c r="R18" i="11"/>
  <c r="J33" i="6"/>
  <c r="I33" i="6"/>
  <c r="G11" i="11"/>
  <c r="D11" i="11"/>
  <c r="AE21" i="11"/>
  <c r="AC21" i="11"/>
  <c r="AD13" i="11"/>
  <c r="W30" i="4"/>
  <c r="Y21" i="6"/>
  <c r="W21" i="3"/>
  <c r="W30" i="3" s="1"/>
  <c r="AC17" i="3"/>
  <c r="Y19" i="6"/>
  <c r="AG15" i="11" s="1"/>
  <c r="L12" i="11"/>
  <c r="O12" i="11"/>
  <c r="AA19" i="6"/>
  <c r="W24" i="11"/>
  <c r="Q38" i="5"/>
  <c r="D11" i="6"/>
  <c r="G20" i="6"/>
  <c r="C24" i="6"/>
  <c r="D42" i="6"/>
  <c r="D10" i="6"/>
  <c r="D46" i="6"/>
  <c r="D15" i="6"/>
  <c r="D30" i="6"/>
  <c r="D20" i="6"/>
  <c r="D32" i="6"/>
  <c r="D14" i="6"/>
  <c r="D27" i="6"/>
  <c r="D39" i="6"/>
  <c r="D13" i="6"/>
  <c r="R26" i="11"/>
  <c r="P28" i="11"/>
  <c r="O27" i="11"/>
  <c r="L27" i="11"/>
  <c r="D13" i="11"/>
  <c r="T6" i="9"/>
  <c r="AF3" i="9"/>
  <c r="AD19" i="11"/>
  <c r="O16" i="11"/>
  <c r="J26" i="11"/>
  <c r="H28" i="11"/>
  <c r="AD12" i="11"/>
  <c r="AC12" i="11"/>
  <c r="AE17" i="6"/>
  <c r="AA14" i="11"/>
  <c r="AE14" i="11" s="1"/>
  <c r="E28" i="11"/>
  <c r="C34" i="6"/>
  <c r="D28" i="6"/>
  <c r="I32" i="6"/>
  <c r="I20" i="6"/>
  <c r="I14" i="6"/>
  <c r="I16" i="6"/>
  <c r="I42" i="6"/>
  <c r="I11" i="6"/>
  <c r="I30" i="6"/>
  <c r="I18" i="6"/>
  <c r="I15" i="6"/>
  <c r="I26" i="6"/>
  <c r="I22" i="6"/>
  <c r="I46" i="6"/>
  <c r="J20" i="6"/>
  <c r="I27" i="6"/>
  <c r="I38" i="6"/>
  <c r="N34" i="9"/>
  <c r="R34" i="9"/>
  <c r="AI13" i="11"/>
  <c r="J13" i="11"/>
  <c r="G19" i="11"/>
  <c r="D19" i="11"/>
  <c r="Q26" i="5"/>
  <c r="AD21" i="6"/>
  <c r="AB21" i="3"/>
  <c r="O22" i="11"/>
  <c r="I24" i="6"/>
  <c r="R36" i="9"/>
  <c r="O36" i="9"/>
  <c r="N36" i="9"/>
  <c r="T23" i="6"/>
  <c r="F33" i="6"/>
  <c r="J27" i="11"/>
  <c r="R42" i="11"/>
  <c r="G30" i="11"/>
  <c r="D30" i="11"/>
  <c r="O33" i="6"/>
  <c r="L33" i="6"/>
  <c r="D18" i="11"/>
  <c r="O11" i="11"/>
  <c r="L11" i="11"/>
  <c r="Z30" i="9"/>
  <c r="G26" i="11"/>
  <c r="C28" i="11"/>
  <c r="D26" i="11"/>
  <c r="F12" i="6"/>
  <c r="AD22" i="11"/>
  <c r="Z28" i="10"/>
  <c r="J36" i="9"/>
  <c r="G36" i="9"/>
  <c r="F36" i="9"/>
  <c r="N24" i="5"/>
  <c r="AA21" i="9"/>
  <c r="AA20" i="11" s="1"/>
  <c r="AE20" i="11" s="1"/>
  <c r="X30" i="9"/>
  <c r="R13" i="11"/>
  <c r="Y19" i="3"/>
  <c r="AC19" i="3" s="1"/>
  <c r="Z17" i="3"/>
  <c r="I12" i="11"/>
  <c r="J46" i="11"/>
  <c r="I20" i="11"/>
  <c r="I22" i="11"/>
  <c r="J22" i="11"/>
  <c r="H20" i="11"/>
  <c r="I10" i="11" s="1"/>
  <c r="J10" i="11"/>
  <c r="R46" i="11"/>
  <c r="J38" i="11"/>
  <c r="I38" i="11"/>
  <c r="O31" i="11"/>
  <c r="L31" i="11"/>
  <c r="I39" i="6"/>
  <c r="R11" i="11"/>
  <c r="AI9" i="11"/>
  <c r="D38" i="6"/>
  <c r="X19" i="3"/>
  <c r="AC8" i="11"/>
  <c r="W18" i="11"/>
  <c r="W23" i="11" s="1"/>
  <c r="M16" i="6"/>
  <c r="M20" i="3"/>
  <c r="O16" i="3"/>
  <c r="O13" i="11"/>
  <c r="G27" i="11"/>
  <c r="D27" i="11"/>
  <c r="AD10" i="11"/>
  <c r="AC10" i="11"/>
  <c r="AI22" i="11"/>
  <c r="O14" i="11"/>
  <c r="L14" i="11"/>
  <c r="R22" i="11"/>
  <c r="R30" i="11"/>
  <c r="P32" i="11"/>
  <c r="AD9" i="11"/>
  <c r="Z15" i="11"/>
  <c r="J39" i="11"/>
  <c r="I39" i="11"/>
  <c r="R31" i="11"/>
  <c r="J12" i="11"/>
  <c r="G38" i="11"/>
  <c r="D38" i="11"/>
  <c r="Q38" i="10"/>
  <c r="Q28" i="10"/>
  <c r="Q42" i="10"/>
  <c r="AI8" i="11"/>
  <c r="Z8" i="11"/>
  <c r="K24" i="10"/>
  <c r="K19" i="11"/>
  <c r="O45" i="9"/>
  <c r="L45" i="9"/>
  <c r="J42" i="11"/>
  <c r="K20" i="11"/>
  <c r="O10" i="11"/>
  <c r="L10" i="11"/>
  <c r="E20" i="11"/>
  <c r="F18" i="11" s="1"/>
  <c r="G42" i="11"/>
  <c r="D42" i="11"/>
  <c r="R10" i="11"/>
  <c r="R33" i="6"/>
  <c r="AC19" i="6"/>
  <c r="X19" i="6"/>
  <c r="F42" i="11"/>
  <c r="H34" i="6"/>
  <c r="I34" i="6" s="1"/>
  <c r="D22" i="6"/>
  <c r="Q31" i="10"/>
  <c r="G31" i="10"/>
  <c r="C32" i="10"/>
  <c r="C31" i="11"/>
  <c r="C32" i="11" s="1"/>
  <c r="Q30" i="5"/>
  <c r="L28" i="6"/>
  <c r="K34" i="6"/>
  <c r="L34" i="6" s="1"/>
  <c r="J15" i="11"/>
  <c r="AA15" i="11"/>
  <c r="U30" i="8"/>
  <c r="U21" i="9"/>
  <c r="R27" i="11"/>
  <c r="L13" i="6"/>
  <c r="L39" i="6"/>
  <c r="L26" i="6"/>
  <c r="L10" i="6"/>
  <c r="L46" i="6"/>
  <c r="L42" i="6"/>
  <c r="L30" i="6"/>
  <c r="L20" i="6"/>
  <c r="L32" i="6"/>
  <c r="L18" i="6"/>
  <c r="L15" i="6"/>
  <c r="L14" i="6"/>
  <c r="L27" i="6"/>
  <c r="L16" i="6"/>
  <c r="L11" i="6"/>
  <c r="L38" i="6"/>
  <c r="K24" i="6"/>
  <c r="L22" i="6"/>
  <c r="L17" i="6"/>
  <c r="AE19" i="11"/>
  <c r="AC19" i="11"/>
  <c r="AC11" i="11"/>
  <c r="AD11" i="11"/>
  <c r="J18" i="11"/>
  <c r="F20" i="6"/>
  <c r="F10" i="6"/>
  <c r="F13" i="6"/>
  <c r="E24" i="6"/>
  <c r="J24" i="6" s="1"/>
  <c r="F38" i="6"/>
  <c r="F32" i="6"/>
  <c r="F27" i="6"/>
  <c r="F11" i="6"/>
  <c r="F17" i="6"/>
  <c r="F16" i="6"/>
  <c r="F15" i="6"/>
  <c r="F30" i="6"/>
  <c r="F39" i="6"/>
  <c r="F22" i="6"/>
  <c r="F18" i="6"/>
  <c r="F46" i="6"/>
  <c r="P16" i="11"/>
  <c r="R16" i="6"/>
  <c r="I17" i="11"/>
  <c r="J17" i="11"/>
  <c r="G46" i="11"/>
  <c r="D46" i="11"/>
  <c r="J11" i="11"/>
  <c r="D12" i="11"/>
  <c r="G12" i="11"/>
  <c r="F26" i="6"/>
  <c r="R17" i="11"/>
  <c r="I28" i="6"/>
  <c r="G22" i="11"/>
  <c r="D22" i="11"/>
  <c r="AG20" i="11"/>
  <c r="X42" i="7"/>
  <c r="Q27" i="5"/>
  <c r="J14" i="11"/>
  <c r="L13" i="11"/>
  <c r="G17" i="11"/>
  <c r="D17" i="11"/>
  <c r="AE19" i="6"/>
  <c r="AB14" i="11"/>
  <c r="AB15" i="11" s="1"/>
  <c r="AK14" i="11"/>
  <c r="AB17" i="6"/>
  <c r="AI14" i="11" s="1"/>
  <c r="AE11" i="11"/>
  <c r="Y14" i="11"/>
  <c r="Y15" i="11" s="1"/>
  <c r="Y18" i="11" s="1"/>
  <c r="Y23" i="11" s="1"/>
  <c r="AC23" i="11" s="1"/>
  <c r="J30" i="11"/>
  <c r="H32" i="11"/>
  <c r="I30" i="11"/>
  <c r="R38" i="11"/>
  <c r="D12" i="6"/>
  <c r="X15" i="11"/>
  <c r="L12" i="6"/>
  <c r="AE9" i="11"/>
  <c r="AC9" i="11"/>
  <c r="X20" i="11"/>
  <c r="Z10" i="10"/>
  <c r="Q36" i="10"/>
  <c r="P41" i="10"/>
  <c r="P45" i="10"/>
  <c r="R36" i="10"/>
  <c r="AA30" i="10"/>
  <c r="Z30" i="10"/>
  <c r="D41" i="10"/>
  <c r="D34" i="10"/>
  <c r="D27" i="10"/>
  <c r="D12" i="10"/>
  <c r="D10" i="10"/>
  <c r="D45" i="10"/>
  <c r="D42" i="10"/>
  <c r="D22" i="10"/>
  <c r="D15" i="10"/>
  <c r="D46" i="10"/>
  <c r="D38" i="10"/>
  <c r="D39" i="10"/>
  <c r="D32" i="10"/>
  <c r="D31" i="10"/>
  <c r="D16" i="10"/>
  <c r="D20" i="10"/>
  <c r="D43" i="10"/>
  <c r="D26" i="10"/>
  <c r="D24" i="10"/>
  <c r="D36" i="10"/>
  <c r="D17" i="10"/>
  <c r="D13" i="10"/>
  <c r="D30" i="10"/>
  <c r="D11" i="10"/>
  <c r="D28" i="10"/>
  <c r="G20" i="10"/>
  <c r="D19" i="10"/>
  <c r="D18" i="10"/>
  <c r="D14" i="10"/>
  <c r="X21" i="10"/>
  <c r="E36" i="10"/>
  <c r="Z17" i="10"/>
  <c r="L41" i="10"/>
  <c r="L34" i="10"/>
  <c r="L30" i="10"/>
  <c r="O20" i="10"/>
  <c r="L19" i="10"/>
  <c r="L10" i="10"/>
  <c r="L45" i="10"/>
  <c r="L17" i="10"/>
  <c r="L14" i="10"/>
  <c r="L27" i="10"/>
  <c r="L42" i="10"/>
  <c r="L39" i="10"/>
  <c r="L38" i="10"/>
  <c r="L32" i="10"/>
  <c r="L31" i="10"/>
  <c r="L20" i="10"/>
  <c r="L18" i="10"/>
  <c r="L15" i="10"/>
  <c r="L46" i="10"/>
  <c r="L43" i="10"/>
  <c r="L24" i="10"/>
  <c r="L22" i="10"/>
  <c r="L11" i="10"/>
  <c r="L36" i="10"/>
  <c r="L12" i="10"/>
  <c r="L26" i="10"/>
  <c r="L28" i="10"/>
  <c r="K26" i="10"/>
  <c r="K26" i="11" s="1"/>
  <c r="L16" i="10"/>
  <c r="L13" i="10"/>
  <c r="G24" i="10"/>
  <c r="K45" i="10"/>
  <c r="O45" i="10" s="1"/>
  <c r="O41" i="10"/>
  <c r="Q34" i="10"/>
  <c r="R34" i="10"/>
  <c r="Z19" i="10"/>
  <c r="H41" i="10"/>
  <c r="H45" i="10"/>
  <c r="J45" i="10" s="1"/>
  <c r="J36" i="10"/>
  <c r="AC30" i="8"/>
  <c r="J36" i="8"/>
  <c r="E41" i="8"/>
  <c r="E41" i="9" s="1"/>
  <c r="F36" i="8"/>
  <c r="R36" i="8"/>
  <c r="M41" i="8"/>
  <c r="M41" i="9" s="1"/>
  <c r="N36" i="8"/>
  <c r="X30" i="8"/>
  <c r="Z30" i="8" s="1"/>
  <c r="AA21" i="8"/>
  <c r="G36" i="8"/>
  <c r="C41" i="8"/>
  <c r="D36" i="8"/>
  <c r="K41" i="8"/>
  <c r="O36" i="8"/>
  <c r="L36" i="8"/>
  <c r="K36" i="7"/>
  <c r="O24" i="7"/>
  <c r="L24" i="7"/>
  <c r="C36" i="7"/>
  <c r="G24" i="7"/>
  <c r="D24" i="7"/>
  <c r="J34" i="7"/>
  <c r="I34" i="7"/>
  <c r="F24" i="7"/>
  <c r="E36" i="7"/>
  <c r="N24" i="7"/>
  <c r="M36" i="7"/>
  <c r="D34" i="7"/>
  <c r="G34" i="7"/>
  <c r="J24" i="7"/>
  <c r="I24" i="7"/>
  <c r="H36" i="7"/>
  <c r="R24" i="7"/>
  <c r="Q24" i="7"/>
  <c r="P36" i="7"/>
  <c r="L34" i="7"/>
  <c r="O34" i="7"/>
  <c r="R34" i="7"/>
  <c r="Q34" i="7"/>
  <c r="Z30" i="7"/>
  <c r="AD21" i="7"/>
  <c r="AA21" i="7"/>
  <c r="F34" i="6"/>
  <c r="T24" i="6"/>
  <c r="P36" i="6"/>
  <c r="Q24" i="6"/>
  <c r="E36" i="6"/>
  <c r="O34" i="6"/>
  <c r="J34" i="6"/>
  <c r="M41" i="5"/>
  <c r="D34" i="5"/>
  <c r="G34" i="5"/>
  <c r="N36" i="5"/>
  <c r="C36" i="5"/>
  <c r="G24" i="5"/>
  <c r="D24" i="5"/>
  <c r="J34" i="5"/>
  <c r="I34" i="5"/>
  <c r="E41" i="5"/>
  <c r="E43" i="5" s="1"/>
  <c r="J24" i="5"/>
  <c r="I24" i="5"/>
  <c r="H36" i="5"/>
  <c r="R34" i="5"/>
  <c r="Q34" i="5"/>
  <c r="R24" i="5"/>
  <c r="Q24" i="5"/>
  <c r="P36" i="5"/>
  <c r="L34" i="5"/>
  <c r="O34" i="5"/>
  <c r="K36" i="5"/>
  <c r="O24" i="5"/>
  <c r="L24" i="5"/>
  <c r="M36" i="4"/>
  <c r="N24" i="4"/>
  <c r="D24" i="4"/>
  <c r="G24" i="4"/>
  <c r="C36" i="4"/>
  <c r="H36" i="4"/>
  <c r="J24" i="4"/>
  <c r="I24" i="4"/>
  <c r="J34" i="4"/>
  <c r="I34" i="4"/>
  <c r="P36" i="4"/>
  <c r="R24" i="4"/>
  <c r="Q24" i="4"/>
  <c r="G34" i="4"/>
  <c r="D34" i="4"/>
  <c r="L24" i="4"/>
  <c r="O24" i="4"/>
  <c r="K36" i="4"/>
  <c r="R34" i="4"/>
  <c r="Q34" i="4"/>
  <c r="O34" i="4"/>
  <c r="L34" i="4"/>
  <c r="AB30" i="4"/>
  <c r="AC30" i="4" s="1"/>
  <c r="AC21" i="4"/>
  <c r="X21" i="4"/>
  <c r="Z21" i="6" s="1"/>
  <c r="AA19" i="4"/>
  <c r="E36" i="4"/>
  <c r="F24" i="4"/>
  <c r="Y30" i="4"/>
  <c r="C36" i="3"/>
  <c r="G24" i="3"/>
  <c r="D24" i="3"/>
  <c r="R34" i="3"/>
  <c r="Q34" i="3"/>
  <c r="P36" i="3"/>
  <c r="Q24" i="3"/>
  <c r="K36" i="3"/>
  <c r="L24" i="3"/>
  <c r="G34" i="3"/>
  <c r="D34" i="3"/>
  <c r="O34" i="3"/>
  <c r="L34" i="3"/>
  <c r="F24" i="3"/>
  <c r="E36" i="3"/>
  <c r="J34" i="3"/>
  <c r="I34" i="3"/>
  <c r="H36" i="3"/>
  <c r="I24" i="3"/>
  <c r="J24" i="3"/>
  <c r="G32" i="11" l="1"/>
  <c r="D32" i="11"/>
  <c r="AC15" i="11"/>
  <c r="AB18" i="11"/>
  <c r="O26" i="11"/>
  <c r="L26" i="11"/>
  <c r="K28" i="11"/>
  <c r="J32" i="11"/>
  <c r="I32" i="11"/>
  <c r="R16" i="11"/>
  <c r="I15" i="11"/>
  <c r="L15" i="11"/>
  <c r="L20" i="11"/>
  <c r="L17" i="11"/>
  <c r="K24" i="11"/>
  <c r="L19" i="11"/>
  <c r="H36" i="6"/>
  <c r="F28" i="11"/>
  <c r="E34" i="11"/>
  <c r="F34" i="11" s="1"/>
  <c r="L16" i="11"/>
  <c r="P34" i="11"/>
  <c r="R28" i="11"/>
  <c r="AD14" i="11"/>
  <c r="AC14" i="11"/>
  <c r="AA19" i="3"/>
  <c r="X21" i="3"/>
  <c r="G34" i="6"/>
  <c r="D34" i="6"/>
  <c r="I11" i="11"/>
  <c r="I18" i="11"/>
  <c r="L24" i="6"/>
  <c r="K36" i="6"/>
  <c r="P20" i="11"/>
  <c r="I42" i="11"/>
  <c r="K28" i="10"/>
  <c r="O24" i="10"/>
  <c r="L18" i="11"/>
  <c r="N38" i="3"/>
  <c r="N11" i="3"/>
  <c r="N27" i="3"/>
  <c r="N10" i="3"/>
  <c r="N42" i="3"/>
  <c r="N19" i="3"/>
  <c r="N32" i="3"/>
  <c r="N22" i="3"/>
  <c r="N15" i="3"/>
  <c r="N12" i="3"/>
  <c r="O20" i="3"/>
  <c r="N46" i="3"/>
  <c r="N13" i="3"/>
  <c r="N28" i="3"/>
  <c r="N18" i="3"/>
  <c r="M24" i="3"/>
  <c r="N30" i="3"/>
  <c r="N31" i="3"/>
  <c r="N39" i="3"/>
  <c r="N14" i="3"/>
  <c r="N17" i="3"/>
  <c r="N26" i="3"/>
  <c r="R20" i="3"/>
  <c r="N20" i="3"/>
  <c r="I46" i="11"/>
  <c r="I27" i="11"/>
  <c r="D20" i="11"/>
  <c r="D15" i="11"/>
  <c r="C24" i="11"/>
  <c r="G20" i="11"/>
  <c r="AE15" i="11"/>
  <c r="AA18" i="11"/>
  <c r="AD15" i="11"/>
  <c r="Z21" i="4"/>
  <c r="Z18" i="11"/>
  <c r="AD8" i="11"/>
  <c r="N16" i="3"/>
  <c r="I13" i="11"/>
  <c r="Y30" i="6"/>
  <c r="AG18" i="11"/>
  <c r="X18" i="11"/>
  <c r="X23" i="11" s="1"/>
  <c r="AE23" i="11" s="1"/>
  <c r="R32" i="11"/>
  <c r="M16" i="11"/>
  <c r="N16" i="6"/>
  <c r="M20" i="6"/>
  <c r="L22" i="11"/>
  <c r="J41" i="9"/>
  <c r="F41" i="9"/>
  <c r="R41" i="9"/>
  <c r="N41" i="9"/>
  <c r="I14" i="11"/>
  <c r="AH15" i="11"/>
  <c r="X21" i="6"/>
  <c r="AD23" i="11"/>
  <c r="G28" i="11"/>
  <c r="D28" i="11"/>
  <c r="C34" i="11"/>
  <c r="AB19" i="6"/>
  <c r="AI15" i="11" s="1"/>
  <c r="AK15" i="11"/>
  <c r="F24" i="6"/>
  <c r="T12" i="6"/>
  <c r="G31" i="11"/>
  <c r="D31" i="11"/>
  <c r="J20" i="11"/>
  <c r="F13" i="11"/>
  <c r="F12" i="11"/>
  <c r="F14" i="11"/>
  <c r="F20" i="11"/>
  <c r="F19" i="11"/>
  <c r="F38" i="11"/>
  <c r="F17" i="11"/>
  <c r="F32" i="11"/>
  <c r="F16" i="11"/>
  <c r="F46" i="11"/>
  <c r="F11" i="11"/>
  <c r="F26" i="11"/>
  <c r="F31" i="11"/>
  <c r="E24" i="11"/>
  <c r="F10" i="11"/>
  <c r="F15" i="11"/>
  <c r="F27" i="11"/>
  <c r="F30" i="11"/>
  <c r="F22" i="11"/>
  <c r="F39" i="11"/>
  <c r="H24" i="11"/>
  <c r="I24" i="11" s="1"/>
  <c r="I31" i="11"/>
  <c r="I16" i="11"/>
  <c r="Y21" i="3"/>
  <c r="Z19" i="3"/>
  <c r="AB30" i="3"/>
  <c r="AC21" i="3"/>
  <c r="I26" i="11"/>
  <c r="AA30" i="8"/>
  <c r="U30" i="9"/>
  <c r="AA30" i="9" s="1"/>
  <c r="G32" i="10"/>
  <c r="C34" i="10"/>
  <c r="AD30" i="6"/>
  <c r="I28" i="11"/>
  <c r="H34" i="11"/>
  <c r="J28" i="11"/>
  <c r="G24" i="6"/>
  <c r="D24" i="6"/>
  <c r="C36" i="6"/>
  <c r="R45" i="10"/>
  <c r="Q45" i="10"/>
  <c r="K30" i="10"/>
  <c r="K30" i="11" s="1"/>
  <c r="O26" i="10"/>
  <c r="P43" i="10"/>
  <c r="R41" i="10"/>
  <c r="Q41" i="10"/>
  <c r="E45" i="10"/>
  <c r="I45" i="10" s="1"/>
  <c r="I36" i="10"/>
  <c r="E41" i="10"/>
  <c r="H43" i="10"/>
  <c r="J43" i="10" s="1"/>
  <c r="J41" i="10"/>
  <c r="X30" i="10"/>
  <c r="AA21" i="10"/>
  <c r="Z21" i="10"/>
  <c r="R41" i="8"/>
  <c r="N41" i="8"/>
  <c r="M43" i="8"/>
  <c r="M43" i="9" s="1"/>
  <c r="G41" i="8"/>
  <c r="C43" i="8"/>
  <c r="D41" i="8"/>
  <c r="J41" i="8"/>
  <c r="F41" i="8"/>
  <c r="E43" i="8"/>
  <c r="E43" i="9" s="1"/>
  <c r="O41" i="8"/>
  <c r="K43" i="8"/>
  <c r="L41" i="8"/>
  <c r="L36" i="7"/>
  <c r="K41" i="7"/>
  <c r="O36" i="7"/>
  <c r="E41" i="7"/>
  <c r="F36" i="7"/>
  <c r="J36" i="7"/>
  <c r="I36" i="7"/>
  <c r="H41" i="7"/>
  <c r="AD30" i="7"/>
  <c r="AA30" i="7"/>
  <c r="R36" i="7"/>
  <c r="Q36" i="7"/>
  <c r="P41" i="7"/>
  <c r="M41" i="7"/>
  <c r="N36" i="7"/>
  <c r="D36" i="7"/>
  <c r="C41" i="7"/>
  <c r="G36" i="7"/>
  <c r="Q36" i="6"/>
  <c r="P41" i="6"/>
  <c r="P41" i="11" s="1"/>
  <c r="F36" i="6"/>
  <c r="E41" i="6"/>
  <c r="N45" i="5"/>
  <c r="M43" i="5"/>
  <c r="N43" i="5" s="1"/>
  <c r="N41" i="5"/>
  <c r="K41" i="5"/>
  <c r="O36" i="5"/>
  <c r="L36" i="5"/>
  <c r="J36" i="5"/>
  <c r="I36" i="5"/>
  <c r="H41" i="5"/>
  <c r="C41" i="5"/>
  <c r="G36" i="5"/>
  <c r="D36" i="5"/>
  <c r="R36" i="5"/>
  <c r="Q36" i="5"/>
  <c r="P41" i="5"/>
  <c r="F36" i="4"/>
  <c r="E41" i="4"/>
  <c r="R36" i="4"/>
  <c r="Q36" i="4"/>
  <c r="P41" i="4"/>
  <c r="O36" i="4"/>
  <c r="L36" i="4"/>
  <c r="K41" i="4"/>
  <c r="X30" i="4"/>
  <c r="Z30" i="6" s="1"/>
  <c r="AA21" i="4"/>
  <c r="N36" i="4"/>
  <c r="M41" i="4"/>
  <c r="J36" i="4"/>
  <c r="I36" i="4"/>
  <c r="H41" i="4"/>
  <c r="Z30" i="4"/>
  <c r="G36" i="4"/>
  <c r="D36" i="4"/>
  <c r="C41" i="4"/>
  <c r="Q36" i="3"/>
  <c r="P41" i="3"/>
  <c r="C41" i="3"/>
  <c r="G36" i="3"/>
  <c r="D36" i="3"/>
  <c r="F36" i="3"/>
  <c r="E41" i="3"/>
  <c r="K41" i="3"/>
  <c r="L36" i="3"/>
  <c r="J36" i="3"/>
  <c r="I36" i="3"/>
  <c r="H41" i="3"/>
  <c r="P45" i="6" l="1"/>
  <c r="E45" i="6"/>
  <c r="C45" i="6"/>
  <c r="H45" i="6"/>
  <c r="K45" i="6"/>
  <c r="R43" i="9"/>
  <c r="N43" i="9"/>
  <c r="J24" i="11"/>
  <c r="E36" i="11"/>
  <c r="F24" i="11"/>
  <c r="AG23" i="11"/>
  <c r="X24" i="11"/>
  <c r="L24" i="11"/>
  <c r="Z24" i="11"/>
  <c r="H36" i="11"/>
  <c r="J34" i="11"/>
  <c r="I34" i="11"/>
  <c r="X30" i="6"/>
  <c r="AH18" i="11"/>
  <c r="N18" i="6"/>
  <c r="M24" i="6"/>
  <c r="N32" i="6"/>
  <c r="N30" i="6"/>
  <c r="N38" i="6"/>
  <c r="N10" i="6"/>
  <c r="N27" i="6"/>
  <c r="N46" i="6"/>
  <c r="N26" i="6"/>
  <c r="N17" i="6"/>
  <c r="N13" i="6"/>
  <c r="N15" i="6"/>
  <c r="N39" i="6"/>
  <c r="N42" i="6"/>
  <c r="N14" i="6"/>
  <c r="N12" i="6"/>
  <c r="N22" i="6"/>
  <c r="N20" i="6"/>
  <c r="N28" i="6"/>
  <c r="N11" i="6"/>
  <c r="N34" i="6"/>
  <c r="N33" i="6"/>
  <c r="O20" i="6"/>
  <c r="R20" i="6"/>
  <c r="K32" i="10"/>
  <c r="O28" i="10"/>
  <c r="R34" i="11"/>
  <c r="Q34" i="11"/>
  <c r="O28" i="11"/>
  <c r="L28" i="11"/>
  <c r="Q41" i="11"/>
  <c r="P43" i="11"/>
  <c r="J43" i="9"/>
  <c r="F43" i="9"/>
  <c r="D24" i="11"/>
  <c r="G24" i="11"/>
  <c r="C36" i="11"/>
  <c r="G36" i="6"/>
  <c r="D36" i="6"/>
  <c r="C41" i="6"/>
  <c r="T25" i="6"/>
  <c r="AA24" i="11"/>
  <c r="M20" i="11"/>
  <c r="Q20" i="11"/>
  <c r="P24" i="11"/>
  <c r="Q14" i="11"/>
  <c r="Q12" i="11"/>
  <c r="Q13" i="11"/>
  <c r="Q22" i="11"/>
  <c r="Q38" i="11"/>
  <c r="Q17" i="11"/>
  <c r="Q39" i="11"/>
  <c r="Q18" i="11"/>
  <c r="Q27" i="11"/>
  <c r="Q11" i="11"/>
  <c r="Q30" i="11"/>
  <c r="Q31" i="11"/>
  <c r="Q19" i="11"/>
  <c r="Q15" i="11"/>
  <c r="Q26" i="11"/>
  <c r="Q46" i="11"/>
  <c r="Q42" i="11"/>
  <c r="Q10" i="11"/>
  <c r="Z21" i="3"/>
  <c r="X30" i="3"/>
  <c r="Z30" i="3" s="1"/>
  <c r="AA21" i="3"/>
  <c r="G34" i="10"/>
  <c r="C36" i="10"/>
  <c r="O30" i="11"/>
  <c r="L30" i="11"/>
  <c r="K32" i="11"/>
  <c r="K34" i="11" s="1"/>
  <c r="Q32" i="11"/>
  <c r="Z23" i="11"/>
  <c r="AD18" i="11"/>
  <c r="L36" i="6"/>
  <c r="K41" i="6"/>
  <c r="AB23" i="11"/>
  <c r="AC18" i="11"/>
  <c r="J36" i="6"/>
  <c r="I36" i="6"/>
  <c r="H41" i="6"/>
  <c r="Q16" i="11"/>
  <c r="G34" i="11"/>
  <c r="D34" i="11"/>
  <c r="AA21" i="6"/>
  <c r="Y30" i="3"/>
  <c r="AA30" i="6" s="1"/>
  <c r="AB30" i="6" s="1"/>
  <c r="AA23" i="11"/>
  <c r="AE18" i="11"/>
  <c r="N24" i="3"/>
  <c r="R24" i="3"/>
  <c r="M36" i="3"/>
  <c r="O24" i="3"/>
  <c r="Q28" i="11"/>
  <c r="K34" i="10"/>
  <c r="O30" i="10"/>
  <c r="E43" i="10"/>
  <c r="I41" i="10"/>
  <c r="R43" i="10"/>
  <c r="Q43" i="10"/>
  <c r="C45" i="8"/>
  <c r="G43" i="8"/>
  <c r="D43" i="8"/>
  <c r="K45" i="8"/>
  <c r="O43" i="8"/>
  <c r="L43" i="8"/>
  <c r="R43" i="8"/>
  <c r="N43" i="8"/>
  <c r="J43" i="8"/>
  <c r="F43" i="8"/>
  <c r="G45" i="7"/>
  <c r="D45" i="7"/>
  <c r="R45" i="7"/>
  <c r="Q45" i="7"/>
  <c r="F45" i="7"/>
  <c r="N45" i="7"/>
  <c r="O45" i="7"/>
  <c r="L45" i="7"/>
  <c r="J45" i="7"/>
  <c r="I45" i="7"/>
  <c r="L41" i="7"/>
  <c r="K43" i="7"/>
  <c r="O41" i="7"/>
  <c r="E43" i="7"/>
  <c r="F41" i="7"/>
  <c r="H43" i="7"/>
  <c r="J41" i="7"/>
  <c r="I41" i="7"/>
  <c r="M43" i="7"/>
  <c r="N43" i="7" s="1"/>
  <c r="N41" i="7"/>
  <c r="P43" i="7"/>
  <c r="R41" i="7"/>
  <c r="Q41" i="7"/>
  <c r="D41" i="7"/>
  <c r="C43" i="7"/>
  <c r="G41" i="7"/>
  <c r="Q41" i="6"/>
  <c r="P43" i="6"/>
  <c r="F41" i="6"/>
  <c r="E43" i="6"/>
  <c r="T28" i="6"/>
  <c r="J41" i="6"/>
  <c r="R45" i="5"/>
  <c r="Q45" i="5"/>
  <c r="L45" i="5"/>
  <c r="O45" i="5"/>
  <c r="D45" i="5"/>
  <c r="G45" i="5"/>
  <c r="H43" i="5"/>
  <c r="J41" i="5"/>
  <c r="I41" i="5"/>
  <c r="I42" i="5" s="1"/>
  <c r="L41" i="5"/>
  <c r="K43" i="5"/>
  <c r="O41" i="5"/>
  <c r="D41" i="5"/>
  <c r="C43" i="5"/>
  <c r="G41" i="5"/>
  <c r="P43" i="5"/>
  <c r="R41" i="5"/>
  <c r="Q41" i="5"/>
  <c r="O45" i="4"/>
  <c r="L45" i="4"/>
  <c r="F45" i="4"/>
  <c r="G45" i="4"/>
  <c r="D45" i="4"/>
  <c r="N45" i="4"/>
  <c r="R45" i="4"/>
  <c r="Q45" i="4"/>
  <c r="J41" i="4"/>
  <c r="I41" i="4"/>
  <c r="H43" i="4"/>
  <c r="O41" i="4"/>
  <c r="L41" i="4"/>
  <c r="K43" i="4"/>
  <c r="F41" i="4"/>
  <c r="E43" i="4"/>
  <c r="F43" i="4" s="1"/>
  <c r="G41" i="4"/>
  <c r="D41" i="4"/>
  <c r="C43" i="4"/>
  <c r="N41" i="4"/>
  <c r="M43" i="4"/>
  <c r="N43" i="4" s="1"/>
  <c r="R41" i="4"/>
  <c r="Q41" i="4"/>
  <c r="P43" i="4"/>
  <c r="Q45" i="3"/>
  <c r="F45" i="3"/>
  <c r="G45" i="3"/>
  <c r="D45" i="3"/>
  <c r="J45" i="3"/>
  <c r="I45" i="3"/>
  <c r="L45" i="3"/>
  <c r="J41" i="3"/>
  <c r="I41" i="3"/>
  <c r="H43" i="3"/>
  <c r="C43" i="3"/>
  <c r="G41" i="3"/>
  <c r="D41" i="3"/>
  <c r="K43" i="3"/>
  <c r="L41" i="3"/>
  <c r="Q41" i="3"/>
  <c r="P43" i="3"/>
  <c r="E43" i="3"/>
  <c r="F41" i="3"/>
  <c r="M45" i="6" l="1"/>
  <c r="R45" i="3"/>
  <c r="N45" i="3"/>
  <c r="O45" i="3"/>
  <c r="O34" i="11"/>
  <c r="L34" i="11"/>
  <c r="K36" i="11"/>
  <c r="AC24" i="11"/>
  <c r="AI23" i="11"/>
  <c r="H43" i="6"/>
  <c r="I41" i="6"/>
  <c r="Q43" i="11"/>
  <c r="N24" i="6"/>
  <c r="M36" i="6"/>
  <c r="R24" i="6"/>
  <c r="O24" i="6"/>
  <c r="N13" i="11"/>
  <c r="N10" i="11"/>
  <c r="N19" i="11"/>
  <c r="N32" i="11"/>
  <c r="M24" i="11"/>
  <c r="N38" i="11"/>
  <c r="N30" i="11"/>
  <c r="N28" i="11"/>
  <c r="N20" i="11"/>
  <c r="N18" i="11"/>
  <c r="N27" i="11"/>
  <c r="N17" i="11"/>
  <c r="N14" i="11"/>
  <c r="N39" i="11"/>
  <c r="N15" i="11"/>
  <c r="N22" i="11"/>
  <c r="N42" i="11"/>
  <c r="N12" i="11"/>
  <c r="N46" i="11"/>
  <c r="N31" i="11"/>
  <c r="N26" i="11"/>
  <c r="N11" i="11"/>
  <c r="N34" i="11"/>
  <c r="O20" i="11"/>
  <c r="G36" i="11"/>
  <c r="D36" i="11"/>
  <c r="C41" i="11"/>
  <c r="O32" i="10"/>
  <c r="K38" i="10"/>
  <c r="N16" i="11"/>
  <c r="AK23" i="11"/>
  <c r="AB24" i="11"/>
  <c r="AC30" i="3"/>
  <c r="AH23" i="11"/>
  <c r="Y24" i="11"/>
  <c r="AC30" i="6"/>
  <c r="O45" i="6"/>
  <c r="K45" i="11"/>
  <c r="L45" i="6"/>
  <c r="AK18" i="11"/>
  <c r="AB21" i="6"/>
  <c r="AI18" i="11" s="1"/>
  <c r="AE21" i="6"/>
  <c r="AC21" i="6"/>
  <c r="O32" i="11"/>
  <c r="L32" i="11"/>
  <c r="R20" i="11"/>
  <c r="AE30" i="6"/>
  <c r="J45" i="6"/>
  <c r="H45" i="11"/>
  <c r="I45" i="6"/>
  <c r="I43" i="10"/>
  <c r="G45" i="6"/>
  <c r="D45" i="6"/>
  <c r="R36" i="3"/>
  <c r="N36" i="3"/>
  <c r="M41" i="3"/>
  <c r="O36" i="3"/>
  <c r="K43" i="6"/>
  <c r="L41" i="6"/>
  <c r="G41" i="6"/>
  <c r="C43" i="6"/>
  <c r="D41" i="6"/>
  <c r="I36" i="11"/>
  <c r="H41" i="11"/>
  <c r="T31" i="6"/>
  <c r="E45" i="11"/>
  <c r="F45" i="11" s="1"/>
  <c r="F45" i="6"/>
  <c r="G36" i="10"/>
  <c r="C41" i="10"/>
  <c r="C45" i="10"/>
  <c r="G45" i="10" s="1"/>
  <c r="Q24" i="11"/>
  <c r="P36" i="11"/>
  <c r="J36" i="11"/>
  <c r="E41" i="11"/>
  <c r="F36" i="11"/>
  <c r="R45" i="6"/>
  <c r="P45" i="11"/>
  <c r="Q45" i="6"/>
  <c r="K39" i="10"/>
  <c r="K39" i="11" s="1"/>
  <c r="O34" i="10"/>
  <c r="O45" i="8"/>
  <c r="L45" i="8"/>
  <c r="G45" i="8"/>
  <c r="D45" i="8"/>
  <c r="J43" i="7"/>
  <c r="I43" i="7"/>
  <c r="F43" i="7"/>
  <c r="O43" i="7"/>
  <c r="L43" i="7"/>
  <c r="R43" i="7"/>
  <c r="Q43" i="7"/>
  <c r="G43" i="7"/>
  <c r="D43" i="7"/>
  <c r="Q43" i="6"/>
  <c r="T30" i="6"/>
  <c r="F43" i="6"/>
  <c r="R43" i="5"/>
  <c r="Q43" i="5"/>
  <c r="J43" i="5"/>
  <c r="I43" i="5"/>
  <c r="G43" i="5"/>
  <c r="D43" i="5"/>
  <c r="O43" i="5"/>
  <c r="L43" i="5"/>
  <c r="R43" i="4"/>
  <c r="Q43" i="4"/>
  <c r="O43" i="4"/>
  <c r="L43" i="4"/>
  <c r="J43" i="4"/>
  <c r="I43" i="4"/>
  <c r="G43" i="4"/>
  <c r="D43" i="4"/>
  <c r="E50" i="3"/>
  <c r="F43" i="3"/>
  <c r="Q43" i="3"/>
  <c r="G43" i="3"/>
  <c r="D43" i="3"/>
  <c r="J43" i="3"/>
  <c r="I43" i="3"/>
  <c r="L43" i="3"/>
  <c r="O39" i="11" l="1"/>
  <c r="L39" i="11"/>
  <c r="F41" i="11"/>
  <c r="E43" i="11"/>
  <c r="F43" i="11" s="1"/>
  <c r="C45" i="11"/>
  <c r="L45" i="11"/>
  <c r="N36" i="6"/>
  <c r="M41" i="6"/>
  <c r="R36" i="6"/>
  <c r="O36" i="6"/>
  <c r="L36" i="11"/>
  <c r="J45" i="11"/>
  <c r="I45" i="11"/>
  <c r="K38" i="11"/>
  <c r="O38" i="10"/>
  <c r="K42" i="10"/>
  <c r="R24" i="11"/>
  <c r="M36" i="11"/>
  <c r="N36" i="11" s="1"/>
  <c r="N24" i="11"/>
  <c r="O24" i="11"/>
  <c r="Q36" i="11"/>
  <c r="L43" i="6"/>
  <c r="Q45" i="11"/>
  <c r="J41" i="11"/>
  <c r="I41" i="11"/>
  <c r="H43" i="11"/>
  <c r="G41" i="11"/>
  <c r="D41" i="11"/>
  <c r="C43" i="11"/>
  <c r="O41" i="3"/>
  <c r="N41" i="3"/>
  <c r="R41" i="3"/>
  <c r="M43" i="3"/>
  <c r="J43" i="6"/>
  <c r="I43" i="6"/>
  <c r="C43" i="10"/>
  <c r="G41" i="10"/>
  <c r="D43" i="6"/>
  <c r="G43" i="6"/>
  <c r="M45" i="11"/>
  <c r="N45" i="11" s="1"/>
  <c r="N45" i="6"/>
  <c r="O39" i="10"/>
  <c r="K43" i="10"/>
  <c r="O43" i="10" s="1"/>
  <c r="J45" i="5"/>
  <c r="I45" i="5"/>
  <c r="J45" i="4"/>
  <c r="I45" i="4"/>
  <c r="O38" i="11" l="1"/>
  <c r="L38" i="11"/>
  <c r="M41" i="11"/>
  <c r="N41" i="6"/>
  <c r="M43" i="6"/>
  <c r="R41" i="6"/>
  <c r="O41" i="6"/>
  <c r="R36" i="11"/>
  <c r="N43" i="3"/>
  <c r="R43" i="3"/>
  <c r="O43" i="3"/>
  <c r="I43" i="11"/>
  <c r="J43" i="11"/>
  <c r="O36" i="11"/>
  <c r="O45" i="11"/>
  <c r="G45" i="11"/>
  <c r="D45" i="11"/>
  <c r="R45" i="11"/>
  <c r="K41" i="11"/>
  <c r="G43" i="11"/>
  <c r="D43" i="11"/>
  <c r="K42" i="11"/>
  <c r="O42" i="10"/>
  <c r="K46" i="10"/>
  <c r="G43" i="10"/>
  <c r="M43" i="11" l="1"/>
  <c r="N41" i="11"/>
  <c r="R41" i="11"/>
  <c r="O46" i="10"/>
  <c r="K46" i="11"/>
  <c r="K43" i="11"/>
  <c r="O41" i="11"/>
  <c r="L41" i="11"/>
  <c r="N43" i="6"/>
  <c r="R43" i="6"/>
  <c r="O43" i="6"/>
  <c r="O42" i="11"/>
  <c r="L42" i="11"/>
  <c r="N43" i="11" l="1"/>
  <c r="R43" i="11"/>
  <c r="L43" i="11"/>
  <c r="O43" i="11"/>
  <c r="O46" i="11"/>
  <c r="L46" i="1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Juan guillermo Múnera Angus</author>
  </authors>
  <commentList>
    <comment ref="AE6" authorId="0" shapeId="0" xr:uid="{197D351B-41DD-47E1-B8CB-A389EFCB0BDF}">
      <text>
        <r>
          <rPr>
            <b/>
            <sz val="9"/>
            <color indexed="81"/>
            <rFont val="Tahoma"/>
            <family val="2"/>
          </rPr>
          <t>Crecimiento frente al mismo mes del año anterior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exión" type="7" refreshedVersion="6"/>
  <connection id="2" xr16:uid="{BF4CFD5B-B91F-4E0D-95AD-9D37000E7071}" name="Conexión2" type="7" refreshedVersion="6"/>
  <connection id="3" xr16:uid="{C7F74B4F-9495-40A8-AAF5-7A79AF052AD4}" name="Conexión3" type="7" refreshedVersion="8"/>
</connections>
</file>

<file path=xl/sharedStrings.xml><?xml version="1.0" encoding="utf-8"?>
<sst xmlns="http://schemas.openxmlformats.org/spreadsheetml/2006/main" count="1426" uniqueCount="576">
  <si>
    <t>Periodo ant</t>
  </si>
  <si>
    <t>Periodo Actual</t>
  </si>
  <si>
    <t>MES INIC</t>
  </si>
  <si>
    <t>MES FIN</t>
  </si>
  <si>
    <t>AÑO</t>
  </si>
  <si>
    <t>TRM</t>
  </si>
  <si>
    <t>ENERO</t>
  </si>
  <si>
    <t>JUNIO</t>
  </si>
  <si>
    <t>PPTO</t>
  </si>
  <si>
    <t>FEBRERO</t>
  </si>
  <si>
    <t>MARZO</t>
  </si>
  <si>
    <t>ABRIL</t>
  </si>
  <si>
    <t>MAYO</t>
  </si>
  <si>
    <t>JULIO</t>
  </si>
  <si>
    <t>AGOSTO</t>
  </si>
  <si>
    <t>SEPTIEMBRE</t>
  </si>
  <si>
    <t>OCTUBRE</t>
  </si>
  <si>
    <t>NOVIEMBRE</t>
  </si>
  <si>
    <t>DICIEMBRE</t>
  </si>
  <si>
    <t>MUSICAR S.A. COLOMBIA CONSOLIDADO</t>
  </si>
  <si>
    <t>Estado de resultados</t>
  </si>
  <si>
    <t xml:space="preserve">Flujo de Caja </t>
  </si>
  <si>
    <t>Cifras en miles de Pesos Colombianos</t>
  </si>
  <si>
    <t>ACUMULADO</t>
  </si>
  <si>
    <t>Cump</t>
  </si>
  <si>
    <t>Crec</t>
  </si>
  <si>
    <t>Exe/def</t>
  </si>
  <si>
    <t>Item</t>
  </si>
  <si>
    <t>Valor</t>
  </si>
  <si>
    <t>%/Ing</t>
  </si>
  <si>
    <t>%</t>
  </si>
  <si>
    <t>Saldo Inicial</t>
  </si>
  <si>
    <t>Ingresos</t>
  </si>
  <si>
    <t>Materiales</t>
  </si>
  <si>
    <t>Servicios</t>
  </si>
  <si>
    <t>Nómina</t>
  </si>
  <si>
    <t>Egresos Generales</t>
  </si>
  <si>
    <t>Total Egresos</t>
  </si>
  <si>
    <t>Flujo Operacional</t>
  </si>
  <si>
    <t>Total Ingresos</t>
  </si>
  <si>
    <t>Disponible antes de CAPEX</t>
  </si>
  <si>
    <t>Costos</t>
  </si>
  <si>
    <t>CAPEX (Inversión)</t>
  </si>
  <si>
    <t>Margen de Contribución</t>
  </si>
  <si>
    <t>Impuestos</t>
  </si>
  <si>
    <t>Gastos Variables de Venta</t>
  </si>
  <si>
    <t>Gastos Fijos de Venta</t>
  </si>
  <si>
    <t>Movimiento Financiero</t>
  </si>
  <si>
    <t>Total Gastos de Venta</t>
  </si>
  <si>
    <t>Dividendos Pagados</t>
  </si>
  <si>
    <t>Gastos Operación</t>
  </si>
  <si>
    <t xml:space="preserve">Saldo Final </t>
  </si>
  <si>
    <t>Gastos Administrativos Distribuidos</t>
  </si>
  <si>
    <t>Total Gastos Administrativos</t>
  </si>
  <si>
    <t>Total Gastos Operacionales</t>
  </si>
  <si>
    <t>Utilidad Operacional</t>
  </si>
  <si>
    <t>Ingresos no Operacionales</t>
  </si>
  <si>
    <t>Gastos no Operacionales</t>
  </si>
  <si>
    <t>Utilidad antes de Impuestos</t>
  </si>
  <si>
    <t>Utilidad Neta</t>
  </si>
  <si>
    <t>EBITDA</t>
  </si>
  <si>
    <t>ok</t>
  </si>
  <si>
    <t>MUSICAR COLOMBIA</t>
  </si>
  <si>
    <t>450,460,461,462,463,464,465,466,467,471,472,475,476,477,478,470</t>
  </si>
  <si>
    <t>4155900000,4155900100,4155900500,4155900600,4170250000,4170250100,4170250200,4170251500,4170251600,4170251700,4170251900,4170251800,4170252000,4170253000,4170253500,4170252100,4170253700,4155900700,4170253800,4155900800</t>
  </si>
  <si>
    <t>Musical Experience  (Ambiental)</t>
  </si>
  <si>
    <t>4155950500,4170250300,4170250400,4155950600,4155952500,4155952600,4170252600</t>
  </si>
  <si>
    <t>Instalaciones</t>
  </si>
  <si>
    <t>4155950000,4155950100,4155950200,4170250900,4175080000</t>
  </si>
  <si>
    <t>Voice Experience (Publihold)</t>
  </si>
  <si>
    <t>4135950000,4135950100,4135950200,4135950800,4175090000,4175090100,4245010000,4245050000,4135950500</t>
  </si>
  <si>
    <t>Service &amp; Equipment Experience</t>
  </si>
  <si>
    <t>POP Satelital</t>
  </si>
  <si>
    <t>4170250800,4170251100</t>
  </si>
  <si>
    <t>Voice Experience (Audicóm)</t>
  </si>
  <si>
    <t>Fact. Servicio Satelital</t>
  </si>
  <si>
    <t>Visual Experience</t>
  </si>
  <si>
    <t>4155951800,4155952000,4135950600,4135950700</t>
  </si>
  <si>
    <t>Olfa Experience</t>
  </si>
  <si>
    <t>4170252500</t>
  </si>
  <si>
    <t>Locutor virtual</t>
  </si>
  <si>
    <t xml:space="preserve"> </t>
  </si>
  <si>
    <t>OK</t>
  </si>
  <si>
    <t>5260050000,5260100000,5260150000,5260200000,5260350000,5260980000,5265980000,5160050000,5160100000,5160150000,5160200000,5160350000,5160980000,5165980000,5165100000,5165150000,5165950000,5265100000</t>
  </si>
  <si>
    <t>Ebitda</t>
  </si>
  <si>
    <t>depre</t>
  </si>
  <si>
    <t>MUSICAR S.A. COLOMBIA</t>
  </si>
  <si>
    <t>Estado de Resultados</t>
  </si>
  <si>
    <t>080,469,090,100</t>
  </si>
  <si>
    <t>MUSICAR  COLOMBIA</t>
  </si>
  <si>
    <t>Estado de Reultados</t>
  </si>
  <si>
    <t>Cifras en miles de Dólares Americanos</t>
  </si>
  <si>
    <t>esta no se cambia</t>
  </si>
  <si>
    <t>% Cump</t>
  </si>
  <si>
    <t>SALDOINI</t>
  </si>
  <si>
    <t>INGRESOS</t>
  </si>
  <si>
    <t>MATERIALES</t>
  </si>
  <si>
    <t>PERSONAL</t>
  </si>
  <si>
    <t>GENERALES</t>
  </si>
  <si>
    <t>IMPUESTOS</t>
  </si>
  <si>
    <t>FINANCIERO</t>
  </si>
  <si>
    <t>DIVIDENDO</t>
  </si>
  <si>
    <t>MUSICAR S.A. EL SALVADOR</t>
  </si>
  <si>
    <t>Estado de Ganancias y pérdidas</t>
  </si>
  <si>
    <t>ACUMULADO MES ANTERIOR</t>
  </si>
  <si>
    <t>Ppto 2024</t>
  </si>
  <si>
    <t>Real 2023</t>
  </si>
  <si>
    <t>real 2024</t>
  </si>
  <si>
    <t>FLUJO DE CAJA LIBRE</t>
  </si>
  <si>
    <t>REAL</t>
  </si>
  <si>
    <t>Salvador</t>
  </si>
  <si>
    <t>Venezuela</t>
  </si>
  <si>
    <t>Musicar internacionall</t>
  </si>
  <si>
    <t>Total</t>
  </si>
  <si>
    <t>&lt;------- el valor total del ppto y del real se digita en la pagina de indicadores</t>
  </si>
  <si>
    <t>Sin Venezuela</t>
  </si>
  <si>
    <t>MUSICAR S.A. VENEZUELA</t>
  </si>
  <si>
    <t>Cifras en miles de Bolivares Fuertes</t>
  </si>
  <si>
    <t>Fact.Olfa experience</t>
  </si>
  <si>
    <t>TRM 2024</t>
  </si>
  <si>
    <t>Dólar implicito tomado dolar today</t>
  </si>
  <si>
    <t>TRM 2023</t>
  </si>
  <si>
    <t>Cifras en Dólares Americanos</t>
  </si>
  <si>
    <t>Cifras en Dolares americanos</t>
  </si>
  <si>
    <t>Año 2021</t>
  </si>
  <si>
    <t>Año 2022</t>
  </si>
  <si>
    <t>Utild vene en Bolivares</t>
  </si>
  <si>
    <t>utilidad venez en usd</t>
  </si>
  <si>
    <t>Cierre</t>
  </si>
  <si>
    <t>promedio</t>
  </si>
  <si>
    <t>Prom año</t>
  </si>
  <si>
    <t>Año 2023</t>
  </si>
  <si>
    <t>Año 2024</t>
  </si>
  <si>
    <t>MUSICAR INTERNACIONAL</t>
  </si>
  <si>
    <t>Cifras en  Dolares Americanos</t>
  </si>
  <si>
    <t>Dividendos Pagados (Descapitalizacion)</t>
  </si>
  <si>
    <t xml:space="preserve">Gastos Administrativos </t>
  </si>
  <si>
    <t>MUSICAR S.A. COLOMBIA CONSOLIDADO USD</t>
  </si>
  <si>
    <t>Ppto 2022</t>
  </si>
  <si>
    <t>Real 2022</t>
  </si>
  <si>
    <t>Real 2021</t>
  </si>
  <si>
    <t>acumulado</t>
  </si>
  <si>
    <t xml:space="preserve">   Facturación Musical Experience (Ambiental)</t>
  </si>
  <si>
    <t xml:space="preserve">   Facturación Instalación</t>
  </si>
  <si>
    <t xml:space="preserve">   Facturación Voice Experience (Publihold)</t>
  </si>
  <si>
    <t xml:space="preserve">   Facturación Olfa Experience</t>
  </si>
  <si>
    <t>4135950000,4135950100,4135950200,4135950800,4175090000,4175090100,4245010000,4245050000,4135950500,4135950500</t>
  </si>
  <si>
    <t xml:space="preserve">   Facturación Service &amp; Equipment Experience (Red-Audio)</t>
  </si>
  <si>
    <t xml:space="preserve">   Facturación POP Satelital</t>
  </si>
  <si>
    <t xml:space="preserve">   Facturacion Locutor virtual</t>
  </si>
  <si>
    <t>4135950900</t>
  </si>
  <si>
    <t xml:space="preserve">   Facturacion Instaladores</t>
  </si>
  <si>
    <t xml:space="preserve">   Facturación Voice Experience (Audicóm)</t>
  </si>
  <si>
    <t xml:space="preserve">   Facturación Servicio Satelital</t>
  </si>
  <si>
    <t xml:space="preserve">   Facturación Visual Experience (Pantallas)</t>
  </si>
  <si>
    <t>COLOMBIA</t>
  </si>
  <si>
    <t>CO</t>
  </si>
  <si>
    <t>6135950000,6135951000,6170250000,6170250100</t>
  </si>
  <si>
    <t xml:space="preserve">   Costo de mercancia vendida</t>
  </si>
  <si>
    <t>6135951100,6135951200</t>
  </si>
  <si>
    <t xml:space="preserve">   Costo de mercancia vendida Aromas</t>
  </si>
  <si>
    <t>6120330500</t>
  </si>
  <si>
    <t xml:space="preserve">   Provision devoluciones costo</t>
  </si>
  <si>
    <t>6135980000</t>
  </si>
  <si>
    <t xml:space="preserve">   Ajuste por inflacion costo</t>
  </si>
  <si>
    <t>VARIABLES DE VENTA</t>
  </si>
  <si>
    <t xml:space="preserve">   Otros gastos variables</t>
  </si>
  <si>
    <t>5205180100,5205180200</t>
  </si>
  <si>
    <t xml:space="preserve">   Comisiones gastos variables</t>
  </si>
  <si>
    <t>5205301000,5205301100,5205331000,5205331100,5205361000,5205361100,5205391000,5205391100,5205421800,5205421900,5205422000,5205422200,5205422300,5205422400,5205422500,5205451400,5205451500,5205451600,5205451700,5205511000,5205511100,5205541000,5205541100,5205601000,5205601100,5205691000,5205691100,5205701000,5205701100,5205721000,5205721100,5205751000,5205751100,5205781000,5205781100,5205841000,5205841100,5205951000,5205951100</t>
  </si>
  <si>
    <t xml:space="preserve">   Prestaciones sociales comisiones vent</t>
  </si>
  <si>
    <t>5295050100,5295050200,5295050300</t>
  </si>
  <si>
    <t xml:space="preserve">   Servicios a terceros</t>
  </si>
  <si>
    <t xml:space="preserve">   Empaque y material de empaque</t>
  </si>
  <si>
    <t xml:space="preserve">   Fletes y acarreos gastos var.ventas</t>
  </si>
  <si>
    <t>5260050000,5260100000,5260150000,5260200000,5260350000,5260980000,5265980000</t>
  </si>
  <si>
    <t xml:space="preserve">   Depreciaciones gastos ventas</t>
  </si>
  <si>
    <t>5295950600,</t>
  </si>
  <si>
    <t xml:space="preserve">   Discos y elementos de programación ventas</t>
  </si>
  <si>
    <t>5245150000,5245150100,5245150200,5245250000,5245200000,5295150000,5245150300,5245150600,5245100000,5250050000,5250100000,5250150000,5250950000,5295250000,5295250100,5245150400</t>
  </si>
  <si>
    <t xml:space="preserve">   Material,sumin.mantto. e instalac.vt </t>
  </si>
  <si>
    <t xml:space="preserve">   Herramientas y equipos de seguridad</t>
  </si>
  <si>
    <t>5235050000,,5235050100,5235200000,5235950100,5235950400,5235950500,5235950600,5235950700,5235950800,5235950900</t>
  </si>
  <si>
    <t xml:space="preserve">   Trabajos de origen externo</t>
  </si>
  <si>
    <t xml:space="preserve">   Gastos de aduana exportaciones</t>
  </si>
  <si>
    <t xml:space="preserve">   Trabajos fuera de la empresa</t>
  </si>
  <si>
    <t xml:space="preserve">   Agencias temp de empleos gtos.var.vta</t>
  </si>
  <si>
    <t>4250500400,5295950100</t>
  </si>
  <si>
    <t xml:space="preserve">   Regalias y derechos de autor</t>
  </si>
  <si>
    <t xml:space="preserve">   Provision de cartera y devoluciones</t>
  </si>
  <si>
    <t>5299150000,5299150100</t>
  </si>
  <si>
    <t xml:space="preserve">   Costo artículos descontinuados</t>
  </si>
  <si>
    <t>GASTOS DE VENTAS FIJOS</t>
  </si>
  <si>
    <t>5205030100,5205030200,5205060100,5205060200,5205060300,5205150100,5205150200,5205270100,5205270200,5295600100,5295600200,5205240100</t>
  </si>
  <si>
    <t xml:space="preserve">   Sueldos Ventas</t>
  </si>
  <si>
    <t>5205300100,5205300200,5205330100,5205330200,5205360100,5205360200,5205390100,5205390200,5205420100,5205420200,5205421200,5205421300,5205421400,5205421500,5205421600,5205421700,5205450100,5205451000,5205451100,5205451200,5205451300,5205451800,5205510100,5205510200,5205540100,5205540200,5205600100,5205600200,5205680000,5205690100,5205690200,5205700100,5205700200,5205720100,5205720200,5205750100,5205750200,5205780100,5205780200,5205840100,5205840200,5205950100,5205950200,5205680100</t>
  </si>
  <si>
    <t xml:space="preserve">   Prestaciones sociales sueldos ventas </t>
  </si>
  <si>
    <t>5205480100,5205480200,5205480300,5205481000,5205481100,5205450300</t>
  </si>
  <si>
    <t xml:space="preserve">   Bonificaciones y premios empleados </t>
  </si>
  <si>
    <t>5205630100,5205630200,5205630300</t>
  </si>
  <si>
    <t xml:space="preserve">   Capacitacion gastos ventas</t>
  </si>
  <si>
    <t>5205660100,5205660200,5205660400,5205660500</t>
  </si>
  <si>
    <t xml:space="preserve">   Gastos reuniones de personal venta</t>
  </si>
  <si>
    <t>5235350100,5295950400,5295951400,5235350500,5235350500</t>
  </si>
  <si>
    <t xml:space="preserve">Gastos de internet </t>
  </si>
  <si>
    <t>5220150000,5220200000,5220250000,5250400000,5220950000,5220950100,5235500100</t>
  </si>
  <si>
    <t xml:space="preserve">   Alquiler equipos, contratos de manten</t>
  </si>
  <si>
    <t>5210250000,5210350000,5210950000,5210300100,5210358000,</t>
  </si>
  <si>
    <t xml:space="preserve">   Honorarios gastos ventas fijos</t>
  </si>
  <si>
    <t xml:space="preserve">   Amortización Intangibles de ventas</t>
  </si>
  <si>
    <t>5215050000,5215100000,5215950000,5215950200,5215150000</t>
  </si>
  <si>
    <t xml:space="preserve">   Impuestos Municipales</t>
  </si>
  <si>
    <t>5205660300,5255050300,5255060200,5255150300,5255200300,5255950300</t>
  </si>
  <si>
    <t xml:space="preserve">   Club 100%</t>
  </si>
  <si>
    <t>5245400000,5295350000</t>
  </si>
  <si>
    <t xml:space="preserve">   Mantenimiento vehiculos gastos ventas</t>
  </si>
  <si>
    <t>5295300000,5295100000</t>
  </si>
  <si>
    <t xml:space="preserve">   Papeleria, utiles, revistas, periodic</t>
  </si>
  <si>
    <t>5235600000,5235600100,5235600300,5235600500</t>
  </si>
  <si>
    <t xml:space="preserve">   Publicidad ventas</t>
  </si>
  <si>
    <t>5235350000,5235400100,5235400200,5235450000,5235350200,5235350300</t>
  </si>
  <si>
    <t xml:space="preserve">   Portes, telefono y fax</t>
  </si>
  <si>
    <t xml:space="preserve">   Amortización gastos preoperativos</t>
  </si>
  <si>
    <t>5230050000,5230100000,5230150000,5230200000,5230250000,5230300000,5230350000,5230400000,5230600000,5230650000,5230750000,5230800000,5230950000,5230950100,5295700000</t>
  </si>
  <si>
    <t xml:space="preserve">   Seguro incendio y varios ventas</t>
  </si>
  <si>
    <t>5110350100,5210350200,5210350300</t>
  </si>
  <si>
    <t>Servicios infraestructura</t>
  </si>
  <si>
    <t>5215950100,5299050099,5235350400</t>
  </si>
  <si>
    <t xml:space="preserve">   Otros Gastos de Ventas</t>
  </si>
  <si>
    <t>5295200100,5295200200,5295200300</t>
  </si>
  <si>
    <t xml:space="preserve">   Atenciones a clientes gastos venta fi</t>
  </si>
  <si>
    <t>5225050000,5225100000</t>
  </si>
  <si>
    <t xml:space="preserve">   Cuotas a asociaciones y afiliacion gt</t>
  </si>
  <si>
    <t>5235250000,5235300000,5235250100</t>
  </si>
  <si>
    <t xml:space="preserve">   Luz y agua gastos ventas</t>
  </si>
  <si>
    <t>5295600000,5295600500</t>
  </si>
  <si>
    <t xml:space="preserve">   Viveres y refrigerios fijos</t>
  </si>
  <si>
    <t>5205210100,5205210200,5255050100,5255050200,5255060100,5255060300,5255060400,5255150100,5255150200,5255200100,5255200200,5255950100,5255950200,5205451900</t>
  </si>
  <si>
    <t xml:space="preserve">   Gastos de viaje, pasajes y hoteles</t>
  </si>
  <si>
    <t>5240050000,5240100000,5240150000,5240200400,5240950000</t>
  </si>
  <si>
    <t xml:space="preserve">   Gastos legales ventas</t>
  </si>
  <si>
    <t>5295450000,5295950500</t>
  </si>
  <si>
    <t xml:space="preserve">   Caja menor gastos ventas fijos</t>
  </si>
  <si>
    <t>5235100100,5295250200</t>
  </si>
  <si>
    <t xml:space="preserve">   Agencias temporales de empleo gastos</t>
  </si>
  <si>
    <t>5220050000,5220100000,5220100100,5245100100</t>
  </si>
  <si>
    <t xml:space="preserve">   Arrendamientos gastos venta fijos</t>
  </si>
  <si>
    <t>GASTOS OPERATIVOS</t>
  </si>
  <si>
    <t>5105030100,5105060100,5105150100,5105270100,5195600300,5105240100,5105060200</t>
  </si>
  <si>
    <t xml:space="preserve">   Sueldos Operativos</t>
  </si>
  <si>
    <t xml:space="preserve">   Comisiones Opertativas</t>
  </si>
  <si>
    <t>5105300100,5105301100,5105330100,5105331100,5105360200,5105361200,5105390200,5105391100,5105420100,5105421100,5105421300,5105421500,5105421700,5105421900,5105422100,5105422300,5105422500,5105450100,5105451100,5105451300,5105451500,5105451700,5105510100,5105511100,5105540100,5105541100,5105600100,5105601100,5105690100,5105691100,5105700100,5105701100,5105720100,5105721100,5105750100,5105751100,5105780100,5105781100,5105840100,5105841100,5105950100,5105950600,5105951100,5105451900</t>
  </si>
  <si>
    <t xml:space="preserve">   Prestaciones sociales operativos</t>
  </si>
  <si>
    <t xml:space="preserve">   Bonificaciones operativas</t>
  </si>
  <si>
    <t>5160050000,5160100000,5160150000,5160200000,5160350000,5160980000,5165980000</t>
  </si>
  <si>
    <t xml:space="preserve">   Depreciaciòn Administrativos</t>
  </si>
  <si>
    <t>5165100000,5165150000,5165950000</t>
  </si>
  <si>
    <t xml:space="preserve">   Amortización gastos administración</t>
  </si>
  <si>
    <t>GASTOS DE ADMINISTRACION PROPIA</t>
  </si>
  <si>
    <t xml:space="preserve">   Comisiones Gastos Administración</t>
  </si>
  <si>
    <t>5105301000,5105331000,5105361000,5105361100,5105391000,5105421800,5105422000,5105422200,5105422400,5105451400,5105451600,5105511000,5105541000,5105601000,5105691000,5105701000,5105721000,5105751000,5105781000,5105841000,5105951000,5105680100</t>
  </si>
  <si>
    <t xml:space="preserve">   Prestaciones sociales comisiones A</t>
  </si>
  <si>
    <t>5105030000,5105060000,5105060300,5105150000,5105270000,5195600100,5105240000</t>
  </si>
  <si>
    <t xml:space="preserve">   Sueldos Administracion</t>
  </si>
  <si>
    <t xml:space="preserve">5105300000,5105330000,5105360000,5105360100,5105390000,5105390100,5105420000,5105421200,5105421400,5105421600,5105450000,5105451000,5105451200,5105510000,5105540000,5105600000,5105680000,5105690000,5105700000,5105720000,5105750000,5105780000,5105840000,5105950000,5105701200 </t>
  </si>
  <si>
    <t xml:space="preserve">   Prestaciones sociales </t>
  </si>
  <si>
    <t>5105630000,5105630200,5105630100</t>
  </si>
  <si>
    <t xml:space="preserve">   Capacitacion Gasto Administracion</t>
  </si>
  <si>
    <t>5155050100,5155060100,5155150100,5155200100,5155950100</t>
  </si>
  <si>
    <t xml:space="preserve">   Club 100% administrativo</t>
  </si>
  <si>
    <t>5135050000,5135150000,5135200000,5135950500</t>
  </si>
  <si>
    <t xml:space="preserve">   Trabajo de origen externo</t>
  </si>
  <si>
    <t>5135100000,5195250200</t>
  </si>
  <si>
    <t xml:space="preserve">   Agencias temporales Administración</t>
  </si>
  <si>
    <t>5195200000,5195200100</t>
  </si>
  <si>
    <t xml:space="preserve">   Atenciones a clientes Administraci</t>
  </si>
  <si>
    <t xml:space="preserve">   Arrendamientos Gastos Administración</t>
  </si>
  <si>
    <t>5120200000,5120250000,5120400000</t>
  </si>
  <si>
    <t xml:space="preserve">   Alquiler equipos y contratos de mante</t>
  </si>
  <si>
    <t>5105480000,5105480200,5105480300,5105481000,5105450200</t>
  </si>
  <si>
    <t xml:space="preserve">   Bonificaciones y premios empleados Ad</t>
  </si>
  <si>
    <t>5125050000,5125100000</t>
  </si>
  <si>
    <t xml:space="preserve">   Cuotas asociaciones y de afiliacio</t>
  </si>
  <si>
    <t>5135250000,5135300000</t>
  </si>
  <si>
    <t xml:space="preserve">   Luz y agua Administración</t>
  </si>
  <si>
    <t>5105660000,5105660100,5105660200,5105660300</t>
  </si>
  <si>
    <t xml:space="preserve">   Gastos reuniones de personal Administ</t>
  </si>
  <si>
    <t>5110100000,5110200000,5110250000,5110300000,5110950000</t>
  </si>
  <si>
    <t xml:space="preserve">   Honorarios Administración </t>
  </si>
  <si>
    <t>5110350000</t>
  </si>
  <si>
    <t xml:space="preserve">   Licencias y Proyectos Especiales</t>
  </si>
  <si>
    <t>5115050000,5115100000,5115150000,5115400000,5115700000,5115700100,5115950000</t>
  </si>
  <si>
    <t xml:space="preserve">   Impuestos Administración</t>
  </si>
  <si>
    <t>5145400000,5195350000</t>
  </si>
  <si>
    <t xml:space="preserve">   Mantenimiento vehiculos Administrac.</t>
  </si>
  <si>
    <t>5195100000,5195300000</t>
  </si>
  <si>
    <t xml:space="preserve">   Papeleria , utiles, revistas periodic</t>
  </si>
  <si>
    <t>5135600000,5135600500</t>
  </si>
  <si>
    <t xml:space="preserve">   Serv.publicidad,propaganda y promoció</t>
  </si>
  <si>
    <t>5135350000,5135350200,5135400000,5135450000,5135350300</t>
  </si>
  <si>
    <t xml:space="preserve">   Portes, telex, teléfono, fax</t>
  </si>
  <si>
    <t>5145150000,5145150100,5145200000,5145250000,5195150000,5195400000,5195950400</t>
  </si>
  <si>
    <t xml:space="preserve">   Material,suministro,mantenimiento </t>
  </si>
  <si>
    <t>5145050000,5145100000,5150050000,5150100000,5150150000,5150950000,5195250000,5195250100</t>
  </si>
  <si>
    <t xml:space="preserve">   Mantenimiendo de construcciones y edificaciones</t>
  </si>
  <si>
    <t>5130050000,5130100000,5130150000,5130200000,5130250000,5130350000,5130400000,5130600000,5130650000,5130700000,5130750000,5130950000,5130950100,5130950200,5195700000,5130950300</t>
  </si>
  <si>
    <t xml:space="preserve">   Seguro incendio y varios Administrac.</t>
  </si>
  <si>
    <t>5195600000,5195600500</t>
  </si>
  <si>
    <t xml:space="preserve">   Viveres y refrigerios Administraci </t>
  </si>
  <si>
    <t>5105210000,5155050000,5155060000,5155060200,5155060300,5155150000,5155200000,5155950000,5155960000</t>
  </si>
  <si>
    <t xml:space="preserve">   Gastos de viaje, pasajes y hoteles </t>
  </si>
  <si>
    <t>5140050000,5140100000,5140150000,5140200000,5140250000,5140950000,4250500600</t>
  </si>
  <si>
    <t xml:space="preserve">   Gastos legales Administración </t>
  </si>
  <si>
    <t>,5195950600</t>
  </si>
  <si>
    <t xml:space="preserve">   Discos y equipos de seguridad Administración</t>
  </si>
  <si>
    <t>5195450000</t>
  </si>
  <si>
    <t xml:space="preserve">   Caja menor Gastos Administraciòn </t>
  </si>
  <si>
    <t>5115950100,5195050100,5195600200,5195950300,5199050000,5199100000,5199150000,5199950000</t>
  </si>
  <si>
    <t xml:space="preserve">   Otros gastos de administración</t>
  </si>
  <si>
    <t>Suma de MOVTO_LIBRO2</t>
  </si>
  <si>
    <t xml:space="preserve">GASTOS ADMINISTRACION APLICADOS </t>
  </si>
  <si>
    <t>CENTRO_OPERACION_MOVTO</t>
  </si>
  <si>
    <t>Nombre Centro_operacion_movto</t>
  </si>
  <si>
    <t>5135950300,5195056600,5198530000,5210350100,5295056600,5398050000</t>
  </si>
  <si>
    <t xml:space="preserve">   Cobros holding</t>
  </si>
  <si>
    <t>090</t>
  </si>
  <si>
    <t>PROYECTO INNOVACION</t>
  </si>
  <si>
    <t>5235950200,5235950300,5398210000,5398219900,5235950800</t>
  </si>
  <si>
    <t xml:space="preserve">   Gastos aplicados sectoriales</t>
  </si>
  <si>
    <t>Total general</t>
  </si>
  <si>
    <t xml:space="preserve">   Servicios Carvajal Servi-Assenda S.A.</t>
  </si>
  <si>
    <t>INGRESOS NO OPERACIONALES</t>
  </si>
  <si>
    <t>4210200100,4210200200</t>
  </si>
  <si>
    <t xml:space="preserve"> Diferencia en cambio por exportaciones</t>
  </si>
  <si>
    <t>4210200400,4210200500,4210200501,4210201000,4210201001,4210201100</t>
  </si>
  <si>
    <t xml:space="preserve"> Diferencia en cambio por otros</t>
  </si>
  <si>
    <t>4210400000,4218050000,4245500000,4250500100,4250500200,4250500300,4250506600,4255200000,4295050000,4295810000,4255400000,4250051000,4250500500</t>
  </si>
  <si>
    <t xml:space="preserve"> Otros Ingresos</t>
  </si>
  <si>
    <t>4210050100,4210051000</t>
  </si>
  <si>
    <t>Intereses recibidos</t>
  </si>
  <si>
    <t>GASTOS NO OPERACIONALES</t>
  </si>
  <si>
    <t>5235601000,5305350000,5310150000,5310300000,5310350000,5313050000,5315150000,5315150100,5315150200,5315160000,5315200000,5315200100,5315200200,5315200300,5315200400,5315950000,5395200000,5395950000,5395950200,5395100000,5395050000,5395250000</t>
  </si>
  <si>
    <t xml:space="preserve">   Otros egresos no operacionales</t>
  </si>
  <si>
    <t>5305250102,5305250200,5305250201,5305250400,5305250500,5305250501,5305250700</t>
  </si>
  <si>
    <t xml:space="preserve">   Diferencia en cambio</t>
  </si>
  <si>
    <t xml:space="preserve">5305050000,5305150000,5305200100,5305200200,5305200300,5305200400,5305202200,5305950000,5398110000,5305200101    </t>
  </si>
  <si>
    <t xml:space="preserve">   Intereses y otros</t>
  </si>
  <si>
    <t>5310950100,5310950200,5310950300,5395990000</t>
  </si>
  <si>
    <t xml:space="preserve">   Ajustes por inflacion Gastos No Op</t>
  </si>
  <si>
    <t>AJUSTES POR INFLACION</t>
  </si>
  <si>
    <t>4705050000,4705050100,4705100000,4705150000,4705200000,4705250000,4705300000,4705300100,4705350000,4705400000,4705450000,4705500000,4705550000,4705600000</t>
  </si>
  <si>
    <t>Ajustes Por Inflacion</t>
  </si>
  <si>
    <t>TOTAL AJUSTES POR INFLACION</t>
  </si>
  <si>
    <t>UTILIDAD ANTES DE IMPUESTOS</t>
  </si>
  <si>
    <t xml:space="preserve">IMPUESTOS </t>
  </si>
  <si>
    <t>5405050100,5405050200,5405050300,5405051100,5115950400</t>
  </si>
  <si>
    <t xml:space="preserve">   Impuesto de renta</t>
  </si>
  <si>
    <t>NOMINA</t>
  </si>
  <si>
    <t>EBITDA DEPRECICAION Y AMORTIZACION</t>
  </si>
  <si>
    <t>SALVADOR</t>
  </si>
  <si>
    <t>INGRESOS OPERACIONALES</t>
  </si>
  <si>
    <t>PARA EL PPTO DEL 2017 KARINA UTILIZO OTRAS CUENTAS</t>
  </si>
  <si>
    <t>4170250000,4170251000,4155951100,4155951000</t>
  </si>
  <si>
    <t>FACTURACION SERVICIO DE AMBIENTACION</t>
  </si>
  <si>
    <t>FACTURACION PUBLIHOLD</t>
  </si>
  <si>
    <t xml:space="preserve">FACTURACION AUDICOM </t>
  </si>
  <si>
    <t>FACTURACION CARTELERAS DIGITALES</t>
  </si>
  <si>
    <t>FACT. REDES DE AUDIOS Y GRABACIONES ESPC</t>
  </si>
  <si>
    <t>FACTURACION INSTALACIONES</t>
  </si>
  <si>
    <t>4135950100</t>
  </si>
  <si>
    <t>VENTA DE OTROS PRODUCTOS CLIENTES- OLFA</t>
  </si>
  <si>
    <t xml:space="preserve">COSTOS DE VENTAS </t>
  </si>
  <si>
    <t xml:space="preserve">GASTOS VARIABLES DE VENTAS </t>
  </si>
  <si>
    <t xml:space="preserve">COMISIONES GASTOS VARIABLES </t>
  </si>
  <si>
    <t>Suma de VALOR_PRESUPUESTO</t>
  </si>
  <si>
    <t>PRESTACIONES SOCIALES COMISION</t>
  </si>
  <si>
    <t>AUXILIAR</t>
  </si>
  <si>
    <t>5160100000</t>
  </si>
  <si>
    <t>5205180100</t>
  </si>
  <si>
    <t>5205361000</t>
  </si>
  <si>
    <t>5235950500</t>
  </si>
  <si>
    <t>DEPRECIACIONES GASTOS DE VENTA VARIABLES</t>
  </si>
  <si>
    <t>5245150100</t>
  </si>
  <si>
    <t>5299100000</t>
  </si>
  <si>
    <t xml:space="preserve"> DEPRECIAC.EQUIPO DE OFICINA</t>
  </si>
  <si>
    <t xml:space="preserve">MANTEN SUMINISTROS Y MTTO INSTALACION </t>
  </si>
  <si>
    <t xml:space="preserve">TRABAJOS DE ORIGEN EXTERNO </t>
  </si>
  <si>
    <t xml:space="preserve">REGALIAS Y DERECHOS DE AUTOR </t>
  </si>
  <si>
    <t xml:space="preserve">CARTERA PROBLEMA CUENTA INCOBRABLE </t>
  </si>
  <si>
    <t>DEPRECIACION</t>
  </si>
  <si>
    <t xml:space="preserve">GASTOS DE VENTAS FIJOS </t>
  </si>
  <si>
    <t xml:space="preserve">CAPACITACION GASTOS DE VENTA </t>
  </si>
  <si>
    <t xml:space="preserve">SUELDOS VENTAS </t>
  </si>
  <si>
    <t xml:space="preserve">PRESTACIONES SOCIALES SUELDO VENTAS </t>
  </si>
  <si>
    <t>GASTOS REUNIONES DE PERSONAL</t>
  </si>
  <si>
    <t xml:space="preserve">HONORARIOS GASTOS DE VENTA FIJOS </t>
  </si>
  <si>
    <t>IMPUESTOS MUNICIPALES</t>
  </si>
  <si>
    <t>MANTENIMIENTO VEHICULOS GASTOS DE VENTAS</t>
  </si>
  <si>
    <t xml:space="preserve">PAPELERIA Y UTILES </t>
  </si>
  <si>
    <t xml:space="preserve">PUBLICIDAD Y ANUNCIOS VENTAS </t>
  </si>
  <si>
    <t>PORTES CORREO TELEFONO Y FAX</t>
  </si>
  <si>
    <t xml:space="preserve">SEGUROS VARIOS VENTAS </t>
  </si>
  <si>
    <t xml:space="preserve">CUOTAS ASOCIACIONES Y AFILIACIONES </t>
  </si>
  <si>
    <t xml:space="preserve">BONIFICACIONES Y PREMIOS A EMPLEADOS </t>
  </si>
  <si>
    <t>GASTOS DE VIAJE-HOTELES-PASAJES</t>
  </si>
  <si>
    <t xml:space="preserve">GASTOS LEGALES DE VENTAS </t>
  </si>
  <si>
    <t xml:space="preserve">ARRENDAMIENTOS </t>
  </si>
  <si>
    <t>GASTOS DE ADMINISTRACION PROPIO</t>
  </si>
  <si>
    <t xml:space="preserve">SUELDOS ADMINISTRACION </t>
  </si>
  <si>
    <t xml:space="preserve">PRESTACIONES SOCIALES </t>
  </si>
  <si>
    <t xml:space="preserve">COMISIONES GASTOS DE ADMINISTRACION </t>
  </si>
  <si>
    <t xml:space="preserve">CAPACITACION AL PERSONAL </t>
  </si>
  <si>
    <t xml:space="preserve">PRESTACIONES SOCIALES COMISIONES A </t>
  </si>
  <si>
    <t xml:space="preserve">ARRENDAMIENTOS GASTOS ADMINISTRACION </t>
  </si>
  <si>
    <t xml:space="preserve">GASTOS REUNION DE PERSONAL </t>
  </si>
  <si>
    <t xml:space="preserve">HERRAMIENTAS Y EQUIPOS DE SEGURIDAD </t>
  </si>
  <si>
    <t xml:space="preserve">HONORARIOS </t>
  </si>
  <si>
    <t xml:space="preserve">SEGUROS VARIOS </t>
  </si>
  <si>
    <t xml:space="preserve">MANTENIMIENTO VEHICULO ADMINISTRACION </t>
  </si>
  <si>
    <t xml:space="preserve">PORTES TELEX Y TELEFONO </t>
  </si>
  <si>
    <t xml:space="preserve">MATERIALES SUMINISTROS, MANTENIMIENTO </t>
  </si>
  <si>
    <t xml:space="preserve">GASTOS LEGALES DE ADMON </t>
  </si>
  <si>
    <t>REGISTRO MERCANTIL</t>
  </si>
  <si>
    <t xml:space="preserve">GASTOS DE VIAJE </t>
  </si>
  <si>
    <t xml:space="preserve">GASTOS DE ADMINISTRACION APLICADOS </t>
  </si>
  <si>
    <t xml:space="preserve">COBROS HOLDING </t>
  </si>
  <si>
    <t xml:space="preserve">GASTOS APLICADOS SECTORIALES </t>
  </si>
  <si>
    <t>SERVICIOS GC2</t>
  </si>
  <si>
    <t xml:space="preserve">INGRESOS NO OPERACIONALES </t>
  </si>
  <si>
    <t xml:space="preserve">Diferencia en cambio exportaciones </t>
  </si>
  <si>
    <t>Diferencia en Cambio Otros</t>
  </si>
  <si>
    <t xml:space="preserve">OTROS INGRESOS </t>
  </si>
  <si>
    <t xml:space="preserve">GASTOS NO OPERACIONALES </t>
  </si>
  <si>
    <t xml:space="preserve">OTROS EGRESOS NO OPERACIONALES </t>
  </si>
  <si>
    <t xml:space="preserve">DIFERENCIA EN CAMBIO </t>
  </si>
  <si>
    <t xml:space="preserve">INTERESES OTROS </t>
  </si>
  <si>
    <t xml:space="preserve">IMPUESTO DE RENTA </t>
  </si>
  <si>
    <t>DEPRECIACION EBITDA</t>
  </si>
  <si>
    <t>5160200000,5260100000,5260200000,5260350000,5160100000</t>
  </si>
  <si>
    <t>FLUJO CAJA</t>
  </si>
  <si>
    <t>INGRESOS POR DEPOSITAR</t>
  </si>
  <si>
    <t>FONDOS DE CAJA MENOR</t>
  </si>
  <si>
    <t>BANCO BANCOLOMBIA CTA CTE 060-047239-00</t>
  </si>
  <si>
    <t>BANCO HELM BANK CTA CTE 301-41175-7</t>
  </si>
  <si>
    <t>BANCO DE BOGOTA CTA CTE 146431697</t>
  </si>
  <si>
    <t>BANCO DE OCCIDENTE CTA CTE # 027-02780-4</t>
  </si>
  <si>
    <t>BANCOOMEVA  CTA CTE # 010705156006</t>
  </si>
  <si>
    <t>BANCO BANCOLOMBIA CAYMAN CTA. CTE #53820</t>
  </si>
  <si>
    <t>FONDO CAJA DOLARES N</t>
  </si>
  <si>
    <t>DER. EN FIDEICOMISOS DE INVER.</t>
  </si>
  <si>
    <t>RECAUDOS NACIONALES</t>
  </si>
  <si>
    <t>RECAUDOS DEL EXTERIOR</t>
  </si>
  <si>
    <t>RECAUDOS ASOCIADAS NACIONALES</t>
  </si>
  <si>
    <t>RECAUDO ASOCIADAS DEL EXTERIOR</t>
  </si>
  <si>
    <t>CHD</t>
  </si>
  <si>
    <t>CHEQUE DEVUELTO</t>
  </si>
  <si>
    <t>OTROS INGRESOS</t>
  </si>
  <si>
    <t>TOTAL INGRESOS OPERACIONALES</t>
  </si>
  <si>
    <t>EGRESOS OPERACIONALES</t>
  </si>
  <si>
    <t>PAGOS PROVEEDORES NACIONALES</t>
  </si>
  <si>
    <t>PAGO PROVEEDORES DEL EXTERIOR</t>
  </si>
  <si>
    <t>NACIONALIZACION INVENTARIOS</t>
  </si>
  <si>
    <t>FLETES Y ACARREOS</t>
  </si>
  <si>
    <t>EMPAQUE Y MATERIAL DE EMPAQUE</t>
  </si>
  <si>
    <t>MATERIALES DE MANUFACTURA</t>
  </si>
  <si>
    <t>TOTAL MATERIALES</t>
  </si>
  <si>
    <t>SERVICIOS</t>
  </si>
  <si>
    <t xml:space="preserve"> LUZ Y  AGUA </t>
  </si>
  <si>
    <t>1209,1213</t>
  </si>
  <si>
    <t>SALARIOS Y PRESTACIONES</t>
  </si>
  <si>
    <t>TRABAJOS INTERNOS</t>
  </si>
  <si>
    <t xml:space="preserve"> PRESTAMOS A EMPLEADOS  NETOS</t>
  </si>
  <si>
    <t>TRABAJOS DE ORIGEN EXTERNO</t>
  </si>
  <si>
    <t>TOTAL PERSONAL</t>
  </si>
  <si>
    <t xml:space="preserve"> PUBLICIDAD          </t>
  </si>
  <si>
    <t>SERVICIOS  DE INFRAESTRUCTURA</t>
  </si>
  <si>
    <t>CAPACITACION</t>
  </si>
  <si>
    <t>GASTOS LEGALES</t>
  </si>
  <si>
    <t>LICENCIAS Y PROYECTOS ESPECIALES</t>
  </si>
  <si>
    <t>MANTEMIMIENTO CONSTRUCCIONES</t>
  </si>
  <si>
    <t xml:space="preserve"> MTO EQUIPO        </t>
  </si>
  <si>
    <t xml:space="preserve"> ARRENDAMIENTOS  </t>
  </si>
  <si>
    <t xml:space="preserve"> ALQUILER DE EQUIPOS</t>
  </si>
  <si>
    <t xml:space="preserve"> GASTOS DE VIAJE  </t>
  </si>
  <si>
    <t xml:space="preserve"> GTOS DE ADUANA EXPORTACIONES</t>
  </si>
  <si>
    <t xml:space="preserve"> IMPUESTOS MUNICIPALES    </t>
  </si>
  <si>
    <t xml:space="preserve"> MANTENIMIENTO INSTALACIONES     </t>
  </si>
  <si>
    <t xml:space="preserve"> PORTES TELEX TELEFONO</t>
  </si>
  <si>
    <t xml:space="preserve"> PAPELERIA Y UTILES  </t>
  </si>
  <si>
    <t xml:space="preserve"> ATENCIONES A CLIENTE  </t>
  </si>
  <si>
    <t xml:space="preserve"> DONACIONES            </t>
  </si>
  <si>
    <t xml:space="preserve"> CAJA MENOR     </t>
  </si>
  <si>
    <t xml:space="preserve"> VIVERES               </t>
  </si>
  <si>
    <t xml:space="preserve"> REUNIONES DE PERSONAL         </t>
  </si>
  <si>
    <t xml:space="preserve"> SEGURO INCENDIO Y VARIOS               </t>
  </si>
  <si>
    <t xml:space="preserve"> MANTENIMIENTO DE VEHICULOS      </t>
  </si>
  <si>
    <t xml:space="preserve"> HONORARIOS           </t>
  </si>
  <si>
    <t xml:space="preserve"> HERRAMIENTAS Y EQUIPOS DE SEGURIDAD</t>
  </si>
  <si>
    <t xml:space="preserve"> ASOCIACION Y AFILIACION</t>
  </si>
  <si>
    <t xml:space="preserve"> COMISIONES A TERCEROS </t>
  </si>
  <si>
    <t xml:space="preserve"> COMISIONES BANCARIAS</t>
  </si>
  <si>
    <t xml:space="preserve"> CONTRIBUCION 4 POR MIL</t>
  </si>
  <si>
    <t xml:space="preserve"> REGALIAS</t>
  </si>
  <si>
    <t xml:space="preserve"> HOLDING</t>
  </si>
  <si>
    <t>SECTORIALES (947)</t>
  </si>
  <si>
    <t>EGRESOS ERP</t>
  </si>
  <si>
    <t>OTROS FIJOS (Marcas y patentes, gastos notariales, multas sanciones y litigios)</t>
  </si>
  <si>
    <t>TOTAL GENERALES</t>
  </si>
  <si>
    <t>TOTAL EGRESOS OPERACIONALES</t>
  </si>
  <si>
    <t>FLUJO OPERACIONAL</t>
  </si>
  <si>
    <t>SALDO DE CAJA ANTES DE INVERSIONES</t>
  </si>
  <si>
    <t>INVERSION</t>
  </si>
  <si>
    <t>PAGO  EQUIPOS Y NACIONALIZACION</t>
  </si>
  <si>
    <t>PAGO EQUIPO DE OFICINA</t>
  </si>
  <si>
    <t>PAGO  VEHICULOS</t>
  </si>
  <si>
    <t>EQUPÓS SM21</t>
  </si>
  <si>
    <t>TOTAL INVERSION</t>
  </si>
  <si>
    <t>IMPUESTO DE VENTAS</t>
  </si>
  <si>
    <t>3102,3105</t>
  </si>
  <si>
    <t>IMPUESTO DE RENTA</t>
  </si>
  <si>
    <t>DEVOLUCION DE IVA</t>
  </si>
  <si>
    <t>DEVOLUCION DE RENTA</t>
  </si>
  <si>
    <t>TOTAL IMPUESTOS</t>
  </si>
  <si>
    <t>MOVIMIENTO FINANCIERO</t>
  </si>
  <si>
    <t xml:space="preserve"> FLUJO CAJA ANTES DE MOVIMIENTO FINANCIERO Y PATRIMONIAL</t>
  </si>
  <si>
    <t>DIVIDENDOS</t>
  </si>
  <si>
    <t>RENDIMIENTOS FINANCIEROS</t>
  </si>
  <si>
    <t xml:space="preserve"> DIVIDENDOS RECIBIDOS</t>
  </si>
  <si>
    <t xml:space="preserve">  DIVIDENDOS PAGADOS</t>
  </si>
  <si>
    <t xml:space="preserve">  CAPITALIZACION</t>
  </si>
  <si>
    <t xml:space="preserve">  PAGOS ESPECIALES (INGRESOS) ENTRE ASOCIADAS</t>
  </si>
  <si>
    <t>PERIODO</t>
  </si>
  <si>
    <t>(Todas)</t>
  </si>
  <si>
    <t>SUBTOTAL PATRIMONIO</t>
  </si>
  <si>
    <t>Suma de Valor Presupuesto</t>
  </si>
  <si>
    <t>Cpto Flujo de Efectivo</t>
  </si>
  <si>
    <t>Nombre Cpto Flujo Efectivo</t>
  </si>
  <si>
    <t>OTROS ( sin cargo a la Holding)</t>
  </si>
  <si>
    <t>4102</t>
  </si>
  <si>
    <t>INTERESES LARGO PLAZO</t>
  </si>
  <si>
    <t>PRESTAMOS DE ASOCIADAS (COLOCACION)</t>
  </si>
  <si>
    <t>7102</t>
  </si>
  <si>
    <t>PAGO CUOTA CORRIENTE</t>
  </si>
  <si>
    <t>7105</t>
  </si>
  <si>
    <t>PRESTAMOS ENTIDADES FINANCIERAS LP</t>
  </si>
  <si>
    <t>CARTAS DE CREDITO ( INVERSIONES)</t>
  </si>
  <si>
    <t xml:space="preserve">PRESTAMOS DE ENTIDADES FINANCIERAS LARGO PLAZO   </t>
  </si>
  <si>
    <t>Generico</t>
  </si>
  <si>
    <t>DIFERENCIA EN CAMBIO DE CAJA DE LAS INVERSIONES</t>
  </si>
  <si>
    <t>INTERESES CORTO PLAZO</t>
  </si>
  <si>
    <t>PRESTAMOS DE ENTIDADES FINANCIERAS CORTO PLAZO (CREDITOS TESORERIA)</t>
  </si>
  <si>
    <t>SALDO FINAL EFECTIVO</t>
  </si>
  <si>
    <t>BVI</t>
  </si>
  <si>
    <t>BANCO GENERAL SA</t>
  </si>
  <si>
    <t>BANCOLOMBIA PANAMA</t>
  </si>
  <si>
    <t xml:space="preserve">                  ACTV DE RADIO Y T.V.</t>
  </si>
  <si>
    <t xml:space="preserve">                  DE SOCIEDADES ANONIMAS Y ASIMILADAS</t>
  </si>
  <si>
    <t xml:space="preserve">                  HONORARIOS ASESORIA TECNICA</t>
  </si>
  <si>
    <t xml:space="preserve">                  OTROS GASTOS FINANCIEROS</t>
  </si>
  <si>
    <t xml:space="preserve">                  OTROS</t>
  </si>
  <si>
    <t xml:space="preserve">      RECAUDOS NACIONALES</t>
  </si>
  <si>
    <t xml:space="preserve">      RECAUDOS DEL EXTERIOR</t>
  </si>
  <si>
    <t xml:space="preserve">      RECAUDOS ASOCIADAS NACIONALES</t>
  </si>
  <si>
    <t xml:space="preserve">      RECAUDOS ASOCIADAS DEL EXTERIOR</t>
  </si>
  <si>
    <t xml:space="preserve">      OTROS INGRESOS</t>
  </si>
  <si>
    <t xml:space="preserve">  SALDO INICIAL</t>
  </si>
  <si>
    <t>Entrada</t>
  </si>
  <si>
    <t xml:space="preserve">      GASTOS DE VIAJE</t>
  </si>
  <si>
    <t xml:space="preserve">      PAPELERIA Y UTILES</t>
  </si>
  <si>
    <t xml:space="preserve">      HONORARIOS</t>
  </si>
  <si>
    <t xml:space="preserve">      COMISIONES BANCARIAS</t>
  </si>
  <si>
    <t>PROEVEEDORES</t>
  </si>
  <si>
    <t>Salida</t>
  </si>
  <si>
    <t xml:space="preserve">  PAGOS ESPECIALES (INGRESOS) ASOCIADAS</t>
  </si>
  <si>
    <t xml:space="preserve">  DESCAPITALIZACION</t>
  </si>
  <si>
    <t>PRESTAMOS ASOCIADAS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</si>
</sst>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2" formatCode="_-&quot;$&quot;\ * #,##0_-;\-&quot;$&quot;\ * #,##0_-;_-&quot;$&quot;\ * &quot;-&quot;_-;_-@_-"/>
    <numFmt numFmtId="41" formatCode="_-* #,##0_-;\-* #,##0_-;_-* &quot;-&quot;_-;_-@_-"/>
    <numFmt numFmtId="43" formatCode="_-* #,##0.00_-;\-* #,##0.00_-;_-* &quot;-&quot;??_-;_-@_-"/>
    <numFmt numFmtId="164" formatCode="mmm/yyyy"/>
    <numFmt numFmtId="165" formatCode="[$$]\ #,##0.00;\-[$$]\ #,##0.00"/>
    <numFmt numFmtId="166" formatCode="_-&quot;$&quot;\ * #,##0.00_-;\-&quot;$&quot;\ * #,##0.00_-;_-&quot;$&quot;\ * &quot;-&quot;_-;_-@_-"/>
    <numFmt numFmtId="167" formatCode="_(* #,##0_);_(* \(#,##0\);_(* &quot;-&quot;??_);_(@_)"/>
    <numFmt numFmtId="168" formatCode="#,##0;[Red]\-#,##0;&quot;-&quot;"/>
    <numFmt numFmtId="169" formatCode="mmmm/yyyy"/>
    <numFmt numFmtId="170" formatCode="[$-F800]dddd\,\ mmmm\ dd\,\ yyyy"/>
    <numFmt numFmtId="171" formatCode="0.0%"/>
    <numFmt numFmtId="172" formatCode="0_);\(0\)"/>
    <numFmt numFmtId="173" formatCode="_(* #,##0.000000000000_);_(* \(#,##0.000000000000\);_(* &quot;-&quot;??_);_(@_)"/>
    <numFmt numFmtId="174" formatCode="_(* #,##0.00000000_);_(* \(#,##0.00000000\);_(* &quot;-&quot;??_);_(@_)"/>
    <numFmt numFmtId="175" formatCode="_-* #,##0_-;\-* #,##0_-;_-* &quot;-&quot;????????_-;_-@_-"/>
    <numFmt numFmtId="176" formatCode="_(* #,##0.00000_);_(* \(#,##0.00000\);_(* &quot;-&quot;????????_);_(@_)"/>
  </numFmts>
  <fonts count="28" x14ac:knownFonts="1">
    <font>
      <sz val="10"/>
      <color theme="1"/>
      <name val="Aptos Narrow"/>
      <family val="2"/>
    </font>
    <font>
      <sz val="11"/>
      <color theme="1"/>
      <name val="Aptos Narrow"/>
      <family val="2"/>
      <scheme val="minor"/>
    </font>
    <font>
      <sz val="10"/>
      <color theme="1"/>
      <name val="Arial"/>
      <family val="2"/>
    </font>
    <font>
      <sz val="10"/>
      <color theme="2" tint="-0.749992370372631"/>
      <name val="Arial"/>
      <family val="2"/>
    </font>
    <font>
      <sz val="10"/>
      <color rgb="FF3366FF"/>
      <name val="Arial"/>
      <family val="2"/>
    </font>
    <font>
      <sz val="11"/>
      <color theme="1"/>
      <name val="Calibri"/>
      <family val="2"/>
    </font>
    <font>
      <sz val="10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color theme="2" tint="-0.749992370372631"/>
      <name val="Arial"/>
      <family val="2"/>
    </font>
    <font>
      <sz val="10"/>
      <color rgb="FFFF0000"/>
      <name val="Arial"/>
      <family val="2"/>
    </font>
    <font>
      <sz val="9"/>
      <color theme="2" tint="-0.749992370372631"/>
      <name val="Arial"/>
      <family val="2"/>
    </font>
    <font>
      <sz val="11"/>
      <color theme="1"/>
      <name val="Arial"/>
      <family val="2"/>
    </font>
    <font>
      <b/>
      <sz val="10"/>
      <name val="Arial"/>
      <family val="2"/>
    </font>
    <font>
      <sz val="10"/>
      <color indexed="8"/>
      <name val="MS Sans Serif"/>
      <family val="2"/>
    </font>
    <font>
      <sz val="8"/>
      <color theme="2" tint="-0.749992370372631"/>
      <name val="Arial"/>
      <family val="2"/>
    </font>
    <font>
      <sz val="14"/>
      <color theme="2" tint="-0.749992370372631"/>
      <name val="Arial"/>
      <family val="2"/>
    </font>
    <font>
      <sz val="10"/>
      <color indexed="8"/>
      <name val="Calibri"/>
      <family val="2"/>
    </font>
    <font>
      <sz val="8"/>
      <color theme="1"/>
      <name val="Arial"/>
      <family val="2"/>
    </font>
    <font>
      <b/>
      <sz val="8"/>
      <color theme="1"/>
      <name val="Aptos Narrow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theme="1"/>
      <name val="Arial"/>
      <family val="2"/>
    </font>
    <font>
      <sz val="9"/>
      <name val="Arial"/>
      <family val="2"/>
    </font>
    <font>
      <b/>
      <sz val="9"/>
      <color theme="1"/>
      <name val="Arial"/>
      <family val="2"/>
    </font>
    <font>
      <sz val="9"/>
      <color indexed="8"/>
      <name val="Arial"/>
      <family val="2"/>
    </font>
    <font>
      <b/>
      <sz val="9"/>
      <name val="Arial"/>
      <family val="2"/>
    </font>
    <font>
      <sz val="9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medium">
        <color theme="2" tint="-0.499984740745262"/>
      </bottom>
      <diagonal/>
    </border>
    <border>
      <left/>
      <right/>
      <top/>
      <bottom style="medium">
        <color auto="1"/>
      </bottom>
      <diagonal/>
    </border>
  </borders>
  <cellStyleXfs count="8">
    <xf numFmtId="0" fontId="0" fillId="0" borderId="0"/>
    <xf numFmtId="0" fontId="1" fillId="0" borderId="0"/>
    <xf numFmtId="0" fontId="5" fillId="0" borderId="0"/>
    <xf numFmtId="43" fontId="1" fillId="0" borderId="0" applyFont="0" applyFill="0" applyBorder="0" applyAlignment="0" applyProtection="0"/>
    <xf numFmtId="42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4" fillId="0" borderId="0"/>
    <xf numFmtId="41" fontId="1" fillId="0" borderId="0" applyFont="0" applyFill="0" applyBorder="0" applyAlignment="0" applyProtection="0"/>
  </cellStyleXfs>
  <cellXfs count="138">
    <xf numFmtId="0" fontId="0" fillId="0" borderId="0" xfId="0"/>
    <xf numFmtId="0" fontId="2" fillId="0" borderId="0" xfId="1" applyFont="1"/>
    <xf numFmtId="0" fontId="3" fillId="0" borderId="0" xfId="1" applyFont="1"/>
    <xf numFmtId="0" fontId="3" fillId="0" borderId="0" xfId="1" applyFont="1" applyAlignment="1">
      <alignment horizontal="left"/>
    </xf>
    <xf numFmtId="164" fontId="4" fillId="0" borderId="0" xfId="1" applyNumberFormat="1" applyFont="1"/>
    <xf numFmtId="1" fontId="2" fillId="0" borderId="0" xfId="1" applyNumberFormat="1" applyFont="1"/>
    <xf numFmtId="165" fontId="2" fillId="0" borderId="0" xfId="2" applyNumberFormat="1" applyFont="1" applyAlignment="1">
      <alignment horizontal="right" vertical="center" wrapText="1"/>
    </xf>
    <xf numFmtId="164" fontId="2" fillId="0" borderId="0" xfId="1" applyNumberFormat="1" applyFont="1"/>
    <xf numFmtId="43" fontId="2" fillId="0" borderId="0" xfId="3" applyFont="1" applyFill="1" applyBorder="1"/>
    <xf numFmtId="166" fontId="2" fillId="0" borderId="0" xfId="4" applyNumberFormat="1" applyFont="1" applyFill="1" applyBorder="1" applyAlignment="1">
      <alignment horizontal="left" vertical="center" wrapText="1"/>
    </xf>
    <xf numFmtId="0" fontId="6" fillId="0" borderId="0" xfId="1" applyFont="1" applyAlignment="1">
      <alignment horizontal="center" wrapText="1"/>
    </xf>
    <xf numFmtId="0" fontId="6" fillId="0" borderId="0" xfId="1" applyFont="1" applyAlignment="1">
      <alignment vertical="center"/>
    </xf>
    <xf numFmtId="167" fontId="6" fillId="0" borderId="0" xfId="3" applyNumberFormat="1" applyFont="1" applyFill="1" applyBorder="1" applyAlignment="1">
      <alignment horizontal="center" wrapText="1"/>
    </xf>
    <xf numFmtId="0" fontId="6" fillId="0" borderId="0" xfId="1" applyFont="1"/>
    <xf numFmtId="167" fontId="6" fillId="0" borderId="0" xfId="3" applyNumberFormat="1" applyFont="1" applyFill="1" applyBorder="1"/>
    <xf numFmtId="0" fontId="6" fillId="0" borderId="0" xfId="1" applyFont="1" applyAlignment="1">
      <alignment horizontal="center"/>
    </xf>
    <xf numFmtId="0" fontId="7" fillId="0" borderId="0" xfId="1" applyFont="1"/>
    <xf numFmtId="167" fontId="6" fillId="0" borderId="0" xfId="3" applyNumberFormat="1" applyFont="1" applyFill="1" applyBorder="1" applyAlignment="1">
      <alignment horizontal="center"/>
    </xf>
    <xf numFmtId="0" fontId="8" fillId="0" borderId="0" xfId="1" applyFont="1"/>
    <xf numFmtId="0" fontId="6" fillId="0" borderId="0" xfId="1" applyFont="1" applyAlignment="1">
      <alignment horizontal="left"/>
    </xf>
    <xf numFmtId="0" fontId="9" fillId="0" borderId="0" xfId="1" applyFont="1" applyAlignment="1">
      <alignment horizontal="left"/>
    </xf>
    <xf numFmtId="0" fontId="3" fillId="0" borderId="1" xfId="1" applyFont="1" applyBorder="1" applyAlignment="1">
      <alignment horizontal="centerContinuous"/>
    </xf>
    <xf numFmtId="0" fontId="6" fillId="0" borderId="0" xfId="1" applyFont="1" applyAlignment="1">
      <alignment horizontal="right"/>
    </xf>
    <xf numFmtId="0" fontId="6" fillId="0" borderId="0" xfId="1" applyFont="1" applyAlignment="1">
      <alignment wrapText="1"/>
    </xf>
    <xf numFmtId="167" fontId="6" fillId="0" borderId="0" xfId="3" applyNumberFormat="1" applyFont="1" applyFill="1" applyBorder="1" applyAlignment="1"/>
    <xf numFmtId="0" fontId="10" fillId="0" borderId="0" xfId="1" applyFont="1"/>
    <xf numFmtId="0" fontId="6" fillId="0" borderId="1" xfId="1" applyFont="1" applyBorder="1"/>
    <xf numFmtId="0" fontId="6" fillId="0" borderId="1" xfId="1" applyFont="1" applyBorder="1" applyAlignment="1">
      <alignment horizontal="right"/>
    </xf>
    <xf numFmtId="0" fontId="6" fillId="0" borderId="1" xfId="1" applyFont="1" applyBorder="1" applyAlignment="1">
      <alignment horizontal="center"/>
    </xf>
    <xf numFmtId="0" fontId="3" fillId="0" borderId="1" xfId="1" applyFont="1" applyBorder="1"/>
    <xf numFmtId="0" fontId="3" fillId="0" borderId="1" xfId="1" applyFont="1" applyBorder="1" applyAlignment="1">
      <alignment horizontal="center"/>
    </xf>
    <xf numFmtId="0" fontId="11" fillId="0" borderId="0" xfId="1" applyFont="1"/>
    <xf numFmtId="3" fontId="3" fillId="0" borderId="0" xfId="1" applyNumberFormat="1" applyFont="1" applyAlignment="1">
      <alignment horizontal="right"/>
    </xf>
    <xf numFmtId="9" fontId="6" fillId="0" borderId="0" xfId="5" applyFont="1" applyFill="1" applyBorder="1" applyAlignment="1">
      <alignment horizontal="right"/>
    </xf>
    <xf numFmtId="9" fontId="3" fillId="0" borderId="0" xfId="5" applyFont="1" applyFill="1" applyBorder="1" applyAlignment="1">
      <alignment horizontal="right"/>
    </xf>
    <xf numFmtId="3" fontId="6" fillId="0" borderId="0" xfId="1" applyNumberFormat="1" applyFont="1" applyAlignment="1">
      <alignment horizontal="right"/>
    </xf>
    <xf numFmtId="167" fontId="6" fillId="0" borderId="0" xfId="3" applyNumberFormat="1" applyFont="1" applyFill="1" applyBorder="1" applyAlignment="1">
      <alignment horizontal="right"/>
    </xf>
    <xf numFmtId="9" fontId="6" fillId="0" borderId="0" xfId="5" applyFont="1" applyFill="1" applyBorder="1" applyAlignment="1">
      <alignment horizontal="center"/>
    </xf>
    <xf numFmtId="49" fontId="11" fillId="0" borderId="0" xfId="1" applyNumberFormat="1" applyFont="1"/>
    <xf numFmtId="49" fontId="12" fillId="0" borderId="0" xfId="1" applyNumberFormat="1" applyFont="1"/>
    <xf numFmtId="3" fontId="6" fillId="0" borderId="0" xfId="1" applyNumberFormat="1" applyFont="1"/>
    <xf numFmtId="168" fontId="3" fillId="0" borderId="0" xfId="5" applyNumberFormat="1" applyFont="1" applyFill="1" applyBorder="1" applyAlignment="1">
      <alignment horizontal="right"/>
    </xf>
    <xf numFmtId="0" fontId="13" fillId="0" borderId="0" xfId="1" applyFont="1" applyAlignment="1">
      <alignment horizontal="left"/>
    </xf>
    <xf numFmtId="3" fontId="13" fillId="0" borderId="0" xfId="1" applyNumberFormat="1" applyFont="1" applyAlignment="1">
      <alignment horizontal="right"/>
    </xf>
    <xf numFmtId="9" fontId="13" fillId="0" borderId="0" xfId="5" applyFont="1" applyFill="1" applyBorder="1" applyAlignment="1">
      <alignment horizontal="right"/>
    </xf>
    <xf numFmtId="9" fontId="9" fillId="0" borderId="0" xfId="5" applyFont="1" applyFill="1" applyBorder="1" applyAlignment="1">
      <alignment horizontal="right"/>
    </xf>
    <xf numFmtId="168" fontId="6" fillId="0" borderId="0" xfId="1" applyNumberFormat="1" applyFont="1" applyAlignment="1">
      <alignment horizontal="left"/>
    </xf>
    <xf numFmtId="167" fontId="13" fillId="0" borderId="0" xfId="3" applyNumberFormat="1" applyFont="1" applyFill="1" applyBorder="1" applyAlignment="1">
      <alignment horizontal="right"/>
    </xf>
    <xf numFmtId="9" fontId="13" fillId="0" borderId="0" xfId="5" applyFont="1" applyFill="1" applyBorder="1" applyAlignment="1">
      <alignment horizontal="center"/>
    </xf>
    <xf numFmtId="0" fontId="11" fillId="0" borderId="0" xfId="1" applyFont="1" applyAlignment="1">
      <alignment horizontal="center" wrapText="1"/>
    </xf>
    <xf numFmtId="0" fontId="3" fillId="0" borderId="0" xfId="1" applyFont="1" applyAlignment="1">
      <alignment vertical="center"/>
    </xf>
    <xf numFmtId="0" fontId="3" fillId="0" borderId="0" xfId="1" applyFont="1" applyAlignment="1">
      <alignment horizontal="center" wrapText="1"/>
    </xf>
    <xf numFmtId="167" fontId="3" fillId="0" borderId="0" xfId="3" applyNumberFormat="1" applyFont="1" applyFill="1" applyBorder="1" applyAlignment="1">
      <alignment horizontal="center" wrapText="1"/>
    </xf>
    <xf numFmtId="167" fontId="3" fillId="0" borderId="0" xfId="3" applyNumberFormat="1" applyFont="1" applyFill="1" applyBorder="1"/>
    <xf numFmtId="0" fontId="3" fillId="0" borderId="0" xfId="1" applyFont="1" applyAlignment="1">
      <alignment horizontal="center"/>
    </xf>
    <xf numFmtId="3" fontId="3" fillId="0" borderId="0" xfId="1" applyNumberFormat="1" applyFont="1"/>
    <xf numFmtId="169" fontId="3" fillId="0" borderId="0" xfId="1" applyNumberFormat="1" applyFont="1" applyAlignment="1">
      <alignment horizontal="centerContinuous"/>
    </xf>
    <xf numFmtId="169" fontId="3" fillId="0" borderId="0" xfId="1" applyNumberFormat="1" applyFont="1" applyAlignment="1">
      <alignment horizontal="center"/>
    </xf>
    <xf numFmtId="167" fontId="3" fillId="0" borderId="0" xfId="3" applyNumberFormat="1" applyFont="1" applyFill="1" applyBorder="1" applyAlignment="1">
      <alignment horizontal="center"/>
    </xf>
    <xf numFmtId="170" fontId="3" fillId="0" borderId="0" xfId="1" applyNumberFormat="1" applyFont="1" applyAlignment="1">
      <alignment horizontal="centerContinuous"/>
    </xf>
    <xf numFmtId="0" fontId="11" fillId="0" borderId="0" xfId="1" applyFont="1" applyAlignment="1">
      <alignment horizontal="right"/>
    </xf>
    <xf numFmtId="0" fontId="3" fillId="0" borderId="0" xfId="1" applyFont="1" applyAlignment="1">
      <alignment horizontal="right"/>
    </xf>
    <xf numFmtId="0" fontId="3" fillId="0" borderId="0" xfId="1" applyFont="1" applyAlignment="1">
      <alignment horizontal="right" wrapText="1"/>
    </xf>
    <xf numFmtId="167" fontId="3" fillId="0" borderId="0" xfId="3" applyNumberFormat="1" applyFont="1" applyFill="1" applyBorder="1" applyAlignment="1">
      <alignment horizontal="right"/>
    </xf>
    <xf numFmtId="3" fontId="11" fillId="0" borderId="0" xfId="1" quotePrefix="1" applyNumberFormat="1" applyFont="1"/>
    <xf numFmtId="0" fontId="3" fillId="0" borderId="1" xfId="1" applyFont="1" applyBorder="1" applyAlignment="1">
      <alignment horizontal="left"/>
    </xf>
    <xf numFmtId="0" fontId="3" fillId="0" borderId="1" xfId="1" applyFont="1" applyBorder="1" applyAlignment="1">
      <alignment horizontal="right"/>
    </xf>
    <xf numFmtId="167" fontId="3" fillId="0" borderId="0" xfId="3" applyNumberFormat="1" applyFont="1" applyFill="1" applyBorder="1" applyAlignment="1"/>
    <xf numFmtId="9" fontId="3" fillId="0" borderId="0" xfId="5" applyFont="1" applyFill="1" applyBorder="1" applyAlignment="1">
      <alignment horizontal="center"/>
    </xf>
    <xf numFmtId="3" fontId="9" fillId="0" borderId="0" xfId="1" applyNumberFormat="1" applyFont="1" applyAlignment="1">
      <alignment horizontal="right"/>
    </xf>
    <xf numFmtId="49" fontId="11" fillId="0" borderId="0" xfId="6" applyNumberFormat="1" applyFont="1"/>
    <xf numFmtId="167" fontId="9" fillId="0" borderId="0" xfId="3" applyNumberFormat="1" applyFont="1" applyFill="1" applyBorder="1" applyAlignment="1">
      <alignment horizontal="right"/>
    </xf>
    <xf numFmtId="9" fontId="9" fillId="0" borderId="0" xfId="5" applyFont="1" applyFill="1" applyBorder="1" applyAlignment="1">
      <alignment horizontal="center"/>
    </xf>
    <xf numFmtId="3" fontId="3" fillId="0" borderId="0" xfId="1" applyNumberFormat="1" applyFont="1" applyAlignment="1">
      <alignment horizontal="center"/>
    </xf>
    <xf numFmtId="167" fontId="9" fillId="0" borderId="0" xfId="1" applyNumberFormat="1" applyFont="1"/>
    <xf numFmtId="3" fontId="11" fillId="0" borderId="0" xfId="1" applyNumberFormat="1" applyFont="1"/>
    <xf numFmtId="167" fontId="3" fillId="0" borderId="0" xfId="1" applyNumberFormat="1" applyFont="1"/>
    <xf numFmtId="0" fontId="15" fillId="0" borderId="0" xfId="1" applyFont="1" applyAlignment="1">
      <alignment horizontal="center" wrapText="1"/>
    </xf>
    <xf numFmtId="0" fontId="15" fillId="0" borderId="0" xfId="1" applyFont="1"/>
    <xf numFmtId="0" fontId="9" fillId="0" borderId="0" xfId="1" applyFont="1"/>
    <xf numFmtId="49" fontId="15" fillId="0" borderId="0" xfId="1" applyNumberFormat="1" applyFont="1"/>
    <xf numFmtId="167" fontId="9" fillId="0" borderId="0" xfId="3" applyNumberFormat="1" applyFont="1" applyFill="1" applyBorder="1"/>
    <xf numFmtId="0" fontId="8" fillId="0" borderId="0" xfId="1" applyFont="1" applyAlignment="1">
      <alignment horizontal="center" wrapText="1"/>
    </xf>
    <xf numFmtId="43" fontId="6" fillId="0" borderId="0" xfId="1" applyNumberFormat="1" applyFont="1"/>
    <xf numFmtId="171" fontId="6" fillId="0" borderId="0" xfId="5" applyNumberFormat="1" applyFont="1" applyFill="1" applyBorder="1"/>
    <xf numFmtId="17" fontId="6" fillId="0" borderId="0" xfId="1" applyNumberFormat="1" applyFont="1"/>
    <xf numFmtId="0" fontId="6" fillId="0" borderId="2" xfId="1" applyFont="1" applyBorder="1" applyAlignment="1">
      <alignment horizontal="centerContinuous"/>
    </xf>
    <xf numFmtId="0" fontId="6" fillId="0" borderId="2" xfId="1" applyFont="1" applyBorder="1"/>
    <xf numFmtId="0" fontId="6" fillId="0" borderId="2" xfId="1" applyFont="1" applyBorder="1" applyAlignment="1">
      <alignment horizontal="right"/>
    </xf>
    <xf numFmtId="172" fontId="6" fillId="0" borderId="0" xfId="3" applyNumberFormat="1" applyFont="1" applyFill="1" applyBorder="1" applyAlignment="1">
      <alignment horizontal="right"/>
    </xf>
    <xf numFmtId="0" fontId="16" fillId="0" borderId="0" xfId="1" applyFont="1"/>
    <xf numFmtId="17" fontId="3" fillId="0" borderId="0" xfId="1" applyNumberFormat="1" applyFont="1"/>
    <xf numFmtId="0" fontId="6" fillId="0" borderId="0" xfId="1" applyFont="1" applyAlignment="1">
      <alignment horizontal="centerContinuous"/>
    </xf>
    <xf numFmtId="1" fontId="3" fillId="0" borderId="0" xfId="1" applyNumberFormat="1" applyFont="1" applyAlignment="1">
      <alignment horizontal="left"/>
    </xf>
    <xf numFmtId="49" fontId="3" fillId="0" borderId="0" xfId="1" applyNumberFormat="1" applyFont="1"/>
    <xf numFmtId="167" fontId="3" fillId="0" borderId="0" xfId="1" applyNumberFormat="1" applyFont="1" applyAlignment="1">
      <alignment horizontal="right"/>
    </xf>
    <xf numFmtId="9" fontId="3" fillId="0" borderId="0" xfId="5" applyFont="1" applyFill="1" applyBorder="1" applyAlignment="1"/>
    <xf numFmtId="171" fontId="3" fillId="0" borderId="0" xfId="5" applyNumberFormat="1" applyFont="1" applyFill="1" applyBorder="1" applyAlignment="1"/>
    <xf numFmtId="3" fontId="9" fillId="0" borderId="0" xfId="1" applyNumberFormat="1" applyFont="1"/>
    <xf numFmtId="167" fontId="3" fillId="0" borderId="0" xfId="3" applyNumberFormat="1" applyFont="1" applyFill="1" applyBorder="1" applyAlignment="1">
      <alignment horizontal="left"/>
    </xf>
    <xf numFmtId="168" fontId="3" fillId="0" borderId="0" xfId="1" applyNumberFormat="1" applyFont="1"/>
    <xf numFmtId="0" fontId="6" fillId="0" borderId="1" xfId="1" applyFont="1" applyBorder="1" applyAlignment="1">
      <alignment horizontal="centerContinuous"/>
    </xf>
    <xf numFmtId="3" fontId="17" fillId="0" borderId="0" xfId="1" applyNumberFormat="1" applyFont="1" applyAlignment="1">
      <alignment horizontal="center" vertical="center" wrapText="1"/>
    </xf>
    <xf numFmtId="43" fontId="3" fillId="0" borderId="0" xfId="1" applyNumberFormat="1" applyFont="1"/>
    <xf numFmtId="173" fontId="3" fillId="0" borderId="0" xfId="3" applyNumberFormat="1" applyFont="1" applyFill="1" applyBorder="1"/>
    <xf numFmtId="1" fontId="3" fillId="0" borderId="0" xfId="1" applyNumberFormat="1" applyFont="1"/>
    <xf numFmtId="0" fontId="18" fillId="0" borderId="0" xfId="1" applyFont="1"/>
    <xf numFmtId="43" fontId="18" fillId="0" borderId="0" xfId="3" applyFont="1"/>
    <xf numFmtId="0" fontId="1" fillId="0" borderId="0" xfId="1"/>
    <xf numFmtId="0" fontId="18" fillId="0" borderId="0" xfId="1" applyFont="1" applyAlignment="1">
      <alignment wrapText="1"/>
    </xf>
    <xf numFmtId="174" fontId="19" fillId="0" borderId="0" xfId="3" applyNumberFormat="1" applyFont="1"/>
    <xf numFmtId="175" fontId="1" fillId="0" borderId="0" xfId="1" applyNumberFormat="1"/>
    <xf numFmtId="167" fontId="0" fillId="0" borderId="0" xfId="3" applyNumberFormat="1" applyFont="1"/>
    <xf numFmtId="43" fontId="19" fillId="0" borderId="0" xfId="3" applyFont="1"/>
    <xf numFmtId="167" fontId="18" fillId="0" borderId="0" xfId="3" applyNumberFormat="1" applyFont="1"/>
    <xf numFmtId="176" fontId="18" fillId="0" borderId="0" xfId="1" applyNumberFormat="1" applyFont="1"/>
    <xf numFmtId="0" fontId="3" fillId="0" borderId="0" xfId="1" applyFont="1" applyAlignment="1">
      <alignment horizontal="centerContinuous"/>
    </xf>
    <xf numFmtId="2" fontId="3" fillId="0" borderId="0" xfId="1" applyNumberFormat="1" applyFont="1" applyAlignment="1">
      <alignment horizontal="center"/>
    </xf>
    <xf numFmtId="3" fontId="8" fillId="0" borderId="0" xfId="1" applyNumberFormat="1" applyFont="1" applyAlignment="1">
      <alignment horizontal="right"/>
    </xf>
    <xf numFmtId="49" fontId="22" fillId="0" borderId="0" xfId="1" applyNumberFormat="1" applyFont="1"/>
    <xf numFmtId="0" fontId="23" fillId="0" borderId="0" xfId="6" applyFont="1" applyAlignment="1">
      <alignment vertical="center"/>
    </xf>
    <xf numFmtId="0" fontId="22" fillId="0" borderId="0" xfId="1" applyFont="1"/>
    <xf numFmtId="0" fontId="24" fillId="0" borderId="0" xfId="1" applyFont="1"/>
    <xf numFmtId="41" fontId="22" fillId="0" borderId="0" xfId="7" applyFont="1"/>
    <xf numFmtId="49" fontId="25" fillId="0" borderId="0" xfId="6" applyNumberFormat="1" applyFont="1"/>
    <xf numFmtId="49" fontId="23" fillId="0" borderId="0" xfId="6" applyNumberFormat="1" applyFont="1"/>
    <xf numFmtId="0" fontId="26" fillId="0" borderId="0" xfId="6" applyFont="1" applyAlignment="1">
      <alignment vertical="center"/>
    </xf>
    <xf numFmtId="167" fontId="22" fillId="0" borderId="0" xfId="3" applyNumberFormat="1" applyFont="1"/>
    <xf numFmtId="167" fontId="22" fillId="0" borderId="0" xfId="1" applyNumberFormat="1" applyFont="1"/>
    <xf numFmtId="49" fontId="22" fillId="2" borderId="0" xfId="1" applyNumberFormat="1" applyFont="1" applyFill="1"/>
    <xf numFmtId="3" fontId="22" fillId="0" borderId="0" xfId="1" applyNumberFormat="1" applyFont="1"/>
    <xf numFmtId="43" fontId="22" fillId="0" borderId="0" xfId="1" applyNumberFormat="1" applyFont="1"/>
    <xf numFmtId="41" fontId="22" fillId="0" borderId="0" xfId="1" applyNumberFormat="1" applyFont="1"/>
    <xf numFmtId="49" fontId="27" fillId="0" borderId="0" xfId="6" applyNumberFormat="1" applyFont="1"/>
    <xf numFmtId="0" fontId="24" fillId="2" borderId="0" xfId="1" applyFont="1" applyFill="1"/>
    <xf numFmtId="0" fontId="22" fillId="2" borderId="0" xfId="1" applyFont="1" applyFill="1"/>
    <xf numFmtId="0" fontId="25" fillId="0" borderId="0" xfId="1" applyFont="1" applyAlignment="1">
      <alignment vertical="center"/>
    </xf>
    <xf numFmtId="0" fontId="25" fillId="0" borderId="0" xfId="1" applyFont="1" applyAlignment="1">
      <alignment horizontal="left" vertical="center"/>
    </xf>
  </cellXfs>
  <cellStyles count="8">
    <cellStyle name="Millares [0] 2" xfId="7" xr:uid="{D15C64F8-CE80-4A07-BBA2-EDA31C404BBD}"/>
    <cellStyle name="Millares 2" xfId="3" xr:uid="{6BCE581E-EB14-47BC-ADD9-66780D994CE3}"/>
    <cellStyle name="Moneda [0] 2" xfId="4" xr:uid="{2C35BF66-8B2C-4538-8F9E-1F567EAC6BEB}"/>
    <cellStyle name="Normal" xfId="0" builtinId="0"/>
    <cellStyle name="Normal 2" xfId="1" xr:uid="{B74DD856-F310-478F-89B7-612389A660E1}"/>
    <cellStyle name="Normal 2 2" xfId="6" xr:uid="{493341C4-FD8F-4179-AF70-4AFB808C1BFF}"/>
    <cellStyle name="Normal 3" xfId="2" xr:uid="{E7004105-DA33-46A7-A878-0A67DC391E70}"/>
    <cellStyle name="Porcentaje 2" xfId="5" xr:uid="{F0F33EC3-877E-4D7B-ADB7-CE45FF9CC67D}"/>
  </cellStyles>
  <dxfs count="69"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numFmt numFmtId="33" formatCode="_-* #,##0_-;\-* #,##0_-;_-* &quot;-&quot;_-;_-@_-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numFmt numFmtId="33" formatCode="_-* #,##0_-;\-* #,##0_-;_-* &quot;-&quot;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36</xdr:col>
      <xdr:colOff>533400</xdr:colOff>
      <xdr:row>0</xdr:row>
      <xdr:rowOff>219075</xdr:rowOff>
    </xdr:from>
    <xdr:to>
      <xdr:col>41</xdr:col>
      <xdr:colOff>148950</xdr:colOff>
      <xdr:row>8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18A1AF6-DE22-4EBE-8109-6E3A53AEE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422725" y="219075"/>
          <a:ext cx="3530325" cy="1504950"/>
        </a:xfrm>
        <a:prstGeom prst="rect">
          <a:avLst/>
        </a:prstGeom>
      </xdr:spPr>
    </xdr:pic>
    <xdr:clientData/>
  </xdr:twoCellAnchor>
  <xdr:twoCellAnchor editAs="oneCell">
    <xdr:from>
      <xdr:col>41</xdr:col>
      <xdr:colOff>419101</xdr:colOff>
      <xdr:row>1</xdr:row>
      <xdr:rowOff>104776</xdr:rowOff>
    </xdr:from>
    <xdr:to>
      <xdr:col>46</xdr:col>
      <xdr:colOff>514350</xdr:colOff>
      <xdr:row>10</xdr:row>
      <xdr:rowOff>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6C4511E-3DAF-4324-9EFC-3891B8650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223201" y="342901"/>
          <a:ext cx="3905249" cy="1562100"/>
        </a:xfrm>
        <a:prstGeom prst="rect">
          <a:avLst/>
        </a:prstGeom>
      </xdr:spPr>
    </xdr:pic>
    <xdr:clientData/>
  </xdr:twoCellAnchor>
  <xdr:twoCellAnchor editAs="oneCell">
    <xdr:from>
      <xdr:col>46</xdr:col>
      <xdr:colOff>723899</xdr:colOff>
      <xdr:row>1</xdr:row>
      <xdr:rowOff>64439</xdr:rowOff>
    </xdr:from>
    <xdr:to>
      <xdr:col>51</xdr:col>
      <xdr:colOff>437464</xdr:colOff>
      <xdr:row>10</xdr:row>
      <xdr:rowOff>9212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D7CEACA-4C05-4911-B8DF-CC9425BB6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7337999" y="302564"/>
          <a:ext cx="3523565" cy="1611648"/>
        </a:xfrm>
        <a:prstGeom prst="rect">
          <a:avLst/>
        </a:prstGeom>
      </xdr:spPr>
    </xdr:pic>
    <xdr:clientData/>
  </xdr:twoCellAnchor>
  <xdr:twoCellAnchor editAs="oneCell">
    <xdr:from>
      <xdr:col>37</xdr:col>
      <xdr:colOff>9525</xdr:colOff>
      <xdr:row>11</xdr:row>
      <xdr:rowOff>76201</xdr:rowOff>
    </xdr:from>
    <xdr:to>
      <xdr:col>40</xdr:col>
      <xdr:colOff>2721</xdr:colOff>
      <xdr:row>26</xdr:row>
      <xdr:rowOff>5038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F2FAB33-7CBF-45BE-A5D4-0E2379F71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9660850" y="2143126"/>
          <a:ext cx="2383971" cy="2357712"/>
        </a:xfrm>
        <a:prstGeom prst="rect">
          <a:avLst/>
        </a:prstGeom>
      </xdr:spPr>
    </xdr:pic>
    <xdr:clientData/>
  </xdr:twoCellAnchor>
  <xdr:twoCellAnchor editAs="oneCell">
    <xdr:from>
      <xdr:col>41</xdr:col>
      <xdr:colOff>180975</xdr:colOff>
      <xdr:row>11</xdr:row>
      <xdr:rowOff>152400</xdr:rowOff>
    </xdr:from>
    <xdr:to>
      <xdr:col>46</xdr:col>
      <xdr:colOff>491141</xdr:colOff>
      <xdr:row>24</xdr:row>
      <xdr:rowOff>142875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2728E0A-D7CF-42B6-9CAF-C45DDA49A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2985075" y="2219325"/>
          <a:ext cx="4120166" cy="2095500"/>
        </a:xfrm>
        <a:prstGeom prst="rect">
          <a:avLst/>
        </a:prstGeom>
      </xdr:spPr>
    </xdr:pic>
    <xdr:clientData/>
  </xdr:twoCellAnchor>
  <xdr:twoCellAnchor editAs="oneCell">
    <xdr:from>
      <xdr:col>47</xdr:col>
      <xdr:colOff>676275</xdr:colOff>
      <xdr:row>11</xdr:row>
      <xdr:rowOff>47626</xdr:rowOff>
    </xdr:from>
    <xdr:to>
      <xdr:col>53</xdr:col>
      <xdr:colOff>257175</xdr:colOff>
      <xdr:row>25</xdr:row>
      <xdr:rowOff>83965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E8AC52E-14D7-43B7-9D1C-98EED9B02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8052375" y="2114551"/>
          <a:ext cx="4152900" cy="2303289"/>
        </a:xfrm>
        <a:prstGeom prst="rect">
          <a:avLst/>
        </a:prstGeom>
      </xdr:spPr>
    </xdr:pic>
    <xdr:clientData/>
  </xdr:twoCellAnchor>
  <xdr:twoCellAnchor editAs="oneCell">
    <xdr:from>
      <xdr:col>54</xdr:col>
      <xdr:colOff>47626</xdr:colOff>
      <xdr:row>10</xdr:row>
      <xdr:rowOff>76201</xdr:rowOff>
    </xdr:from>
    <xdr:to>
      <xdr:col>60</xdr:col>
      <xdr:colOff>143368</xdr:colOff>
      <xdr:row>26</xdr:row>
      <xdr:rowOff>85725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C0F47884-8E12-45CF-8F06-3F7E958AB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2757726" y="1981201"/>
          <a:ext cx="4667742" cy="2600324"/>
        </a:xfrm>
        <a:prstGeom prst="rect">
          <a:avLst/>
        </a:prstGeom>
      </xdr:spPr>
    </xdr:pic>
    <xdr:clientData/>
  </xdr:twoCellAnchor>
  <xdr:twoCellAnchor editAs="oneCell">
    <xdr:from>
      <xdr:col>60</xdr:col>
      <xdr:colOff>247650</xdr:colOff>
      <xdr:row>11</xdr:row>
      <xdr:rowOff>37299</xdr:rowOff>
    </xdr:from>
    <xdr:to>
      <xdr:col>65</xdr:col>
      <xdr:colOff>628650</xdr:colOff>
      <xdr:row>25</xdr:row>
      <xdr:rowOff>130797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23389F3E-88BA-4FC9-AE90-57FE7FED7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7529750" y="2104224"/>
          <a:ext cx="4191000" cy="2360448"/>
        </a:xfrm>
        <a:prstGeom prst="rect">
          <a:avLst/>
        </a:prstGeom>
      </xdr:spPr>
    </xdr:pic>
    <xdr:clientData/>
  </xdr:twoCellAnchor>
  <xdr:twoCellAnchor editAs="oneCell">
    <xdr:from>
      <xdr:col>66</xdr:col>
      <xdr:colOff>457200</xdr:colOff>
      <xdr:row>12</xdr:row>
      <xdr:rowOff>1</xdr:rowOff>
    </xdr:from>
    <xdr:to>
      <xdr:col>72</xdr:col>
      <xdr:colOff>142875</xdr:colOff>
      <xdr:row>25</xdr:row>
      <xdr:rowOff>129324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D31C9560-97D3-4595-97AC-4F383BC96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2311300" y="2228851"/>
          <a:ext cx="4257675" cy="2234348"/>
        </a:xfrm>
        <a:prstGeom prst="rect">
          <a:avLst/>
        </a:prstGeom>
      </xdr:spPr>
    </xdr:pic>
    <xdr:clientData/>
  </xdr:twoCellAnchor>
  <xdr:twoCellAnchor editAs="oneCell">
    <xdr:from>
      <xdr:col>72</xdr:col>
      <xdr:colOff>466725</xdr:colOff>
      <xdr:row>12</xdr:row>
      <xdr:rowOff>47625</xdr:rowOff>
    </xdr:from>
    <xdr:to>
      <xdr:col>77</xdr:col>
      <xdr:colOff>532563</xdr:colOff>
      <xdr:row>25</xdr:row>
      <xdr:rowOff>109319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A82D752D-DFA8-4D25-85BD-8D54BF224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6892825" y="2276475"/>
          <a:ext cx="3875838" cy="2166719"/>
        </a:xfrm>
        <a:prstGeom prst="rect">
          <a:avLst/>
        </a:prstGeom>
      </xdr:spPr>
    </xdr:pic>
    <xdr:clientData/>
  </xdr:twoCellAnchor>
  <xdr:twoCellAnchor editAs="oneCell">
    <xdr:from>
      <xdr:col>78</xdr:col>
      <xdr:colOff>0</xdr:colOff>
      <xdr:row>13</xdr:row>
      <xdr:rowOff>0</xdr:rowOff>
    </xdr:from>
    <xdr:to>
      <xdr:col>82</xdr:col>
      <xdr:colOff>633608</xdr:colOff>
      <xdr:row>25</xdr:row>
      <xdr:rowOff>83090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DA8C5EC7-02AC-4B49-870C-AC39E8A20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0998100" y="2390775"/>
          <a:ext cx="3681608" cy="2026190"/>
        </a:xfrm>
        <a:prstGeom prst="rect">
          <a:avLst/>
        </a:prstGeom>
      </xdr:spPr>
    </xdr:pic>
    <xdr:clientData/>
  </xdr:twoCellAnchor>
  <xdr:twoCellAnchor editAs="oneCell">
    <xdr:from>
      <xdr:col>44</xdr:col>
      <xdr:colOff>685801</xdr:colOff>
      <xdr:row>62</xdr:row>
      <xdr:rowOff>66675</xdr:rowOff>
    </xdr:from>
    <xdr:to>
      <xdr:col>48</xdr:col>
      <xdr:colOff>628652</xdr:colOff>
      <xdr:row>71</xdr:row>
      <xdr:rowOff>129933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DA577D1B-49C5-42F7-8F4E-268DF18F6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5775901" y="11268075"/>
          <a:ext cx="2990851" cy="1634883"/>
        </a:xfrm>
        <a:prstGeom prst="rect">
          <a:avLst/>
        </a:prstGeom>
      </xdr:spPr>
    </xdr:pic>
    <xdr:clientData/>
  </xdr:twoCellAnchor>
  <xdr:twoCellAnchor editAs="oneCell">
    <xdr:from>
      <xdr:col>49</xdr:col>
      <xdr:colOff>285749</xdr:colOff>
      <xdr:row>61</xdr:row>
      <xdr:rowOff>247651</xdr:rowOff>
    </xdr:from>
    <xdr:to>
      <xdr:col>53</xdr:col>
      <xdr:colOff>418279</xdr:colOff>
      <xdr:row>72</xdr:row>
      <xdr:rowOff>11660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8101191-B600-48AD-A762-5743DECB7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9185849" y="11153776"/>
          <a:ext cx="3180530" cy="1821409"/>
        </a:xfrm>
        <a:prstGeom prst="rect">
          <a:avLst/>
        </a:prstGeom>
      </xdr:spPr>
    </xdr:pic>
    <xdr:clientData/>
  </xdr:twoCellAnchor>
  <xdr:twoCellAnchor editAs="oneCell">
    <xdr:from>
      <xdr:col>54</xdr:col>
      <xdr:colOff>390524</xdr:colOff>
      <xdr:row>61</xdr:row>
      <xdr:rowOff>77382</xdr:rowOff>
    </xdr:from>
    <xdr:to>
      <xdr:col>59</xdr:col>
      <xdr:colOff>313947</xdr:colOff>
      <xdr:row>72</xdr:row>
      <xdr:rowOff>95250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34AE36E8-6833-43B4-8D37-45F129E92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3100624" y="10983507"/>
          <a:ext cx="3733423" cy="2075268"/>
        </a:xfrm>
        <a:prstGeom prst="rect">
          <a:avLst/>
        </a:prstGeom>
      </xdr:spPr>
    </xdr:pic>
    <xdr:clientData/>
  </xdr:twoCellAnchor>
  <xdr:twoCellAnchor editAs="oneCell">
    <xdr:from>
      <xdr:col>45</xdr:col>
      <xdr:colOff>0</xdr:colOff>
      <xdr:row>74</xdr:row>
      <xdr:rowOff>0</xdr:rowOff>
    </xdr:from>
    <xdr:to>
      <xdr:col>48</xdr:col>
      <xdr:colOff>630047</xdr:colOff>
      <xdr:row>81</xdr:row>
      <xdr:rowOff>159819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626E624E-62D8-4225-97CA-ED22A44F2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5852100" y="13344525"/>
          <a:ext cx="2916047" cy="1598094"/>
        </a:xfrm>
        <a:prstGeom prst="rect">
          <a:avLst/>
        </a:prstGeom>
      </xdr:spPr>
    </xdr:pic>
    <xdr:clientData/>
  </xdr:twoCellAnchor>
  <xdr:twoCellAnchor editAs="oneCell">
    <xdr:from>
      <xdr:col>49</xdr:col>
      <xdr:colOff>657678</xdr:colOff>
      <xdr:row>74</xdr:row>
      <xdr:rowOff>154203</xdr:rowOff>
    </xdr:from>
    <xdr:to>
      <xdr:col>54</xdr:col>
      <xdr:colOff>657679</xdr:colOff>
      <xdr:row>87</xdr:row>
      <xdr:rowOff>98242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D10AD16-3261-48FF-9C6B-109D67DA7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9557778" y="13498728"/>
          <a:ext cx="3810001" cy="2382439"/>
        </a:xfrm>
        <a:prstGeom prst="rect">
          <a:avLst/>
        </a:prstGeom>
      </xdr:spPr>
    </xdr:pic>
    <xdr:clientData/>
  </xdr:twoCellAnchor>
  <xdr:twoCellAnchor editAs="oneCell">
    <xdr:from>
      <xdr:col>55</xdr:col>
      <xdr:colOff>714376</xdr:colOff>
      <xdr:row>74</xdr:row>
      <xdr:rowOff>61987</xdr:rowOff>
    </xdr:from>
    <xdr:to>
      <xdr:col>60</xdr:col>
      <xdr:colOff>118628</xdr:colOff>
      <xdr:row>82</xdr:row>
      <xdr:rowOff>59114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AC896F62-56FA-4471-BD20-8F8A2A216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4186476" y="13406512"/>
          <a:ext cx="3214252" cy="1625902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bert Gutierrez Rodriguez" refreshedDate="45484.679173379627" createdVersion="3" refreshedVersion="8" minRefreshableVersion="3" recordCount="17" xr:uid="{35BFBE9A-CE68-4B85-A934-7F607B3D5D80}">
  <cacheSource type="external" connectionId="3"/>
  <cacheFields count="33">
    <cacheField name="PERIODO" numFmtId="0">
      <sharedItems containsSemiMixedTypes="0" containsString="0" containsNumber="1" containsInteger="1" minValue="201909" maxValue="202406" count="16">
        <n v="202401"/>
        <n v="202402"/>
        <n v="202403"/>
        <n v="202404"/>
        <n v="202405"/>
        <n v="202406"/>
        <n v="202301" u="1"/>
        <n v="202302" u="1"/>
        <n v="202305" u="1"/>
        <n v="202307" u="1"/>
        <n v="202309" u="1"/>
        <n v="202303" u="1"/>
        <n v="202304" u="1"/>
        <n v="202306" u="1"/>
        <n v="202308" u="1"/>
        <n v="201909" u="1"/>
      </sharedItems>
    </cacheField>
    <cacheField name="Plan Presupuestal" numFmtId="0">
      <sharedItems count="1">
        <s v="001"/>
      </sharedItems>
    </cacheField>
    <cacheField name="Nombre Plan Presupuestal" numFmtId="0">
      <sharedItems count="1">
        <s v="REAL"/>
      </sharedItems>
    </cacheField>
    <cacheField name="EMPRESA" numFmtId="0">
      <sharedItems containsSemiMixedTypes="0" containsString="0" containsNumber="1" containsInteger="1" minValue="1" maxValue="1" count="1">
        <n v="1"/>
      </sharedItems>
    </cacheField>
    <cacheField name="Nombre Empresa" numFmtId="0">
      <sharedItems count="1">
        <s v="MUSICAR S.A.S."/>
      </sharedItems>
    </cacheField>
    <cacheField name="Cpto Flujo de Efectivo" numFmtId="0">
      <sharedItems count="4">
        <s v="4102"/>
        <s v="7102"/>
        <s v="7105"/>
        <s v="7104" u="1"/>
      </sharedItems>
    </cacheField>
    <cacheField name="Nombre Cpto Flujo Efectivo" numFmtId="0">
      <sharedItems count="4">
        <s v="INTERESES LARGO PLAZO"/>
        <s v="PAGO CUOTA CORRIENTE"/>
        <s v="PRESTAMOS ENTIDADES FINANCIERAS LP"/>
        <s v="PRESTAMOS DE ENTIDADES FINANCIERAS CP" u="1"/>
      </sharedItems>
    </cacheField>
    <cacheField name="Cpto Mayor Flujo Efectivo" numFmtId="0">
      <sharedItems count="2">
        <s v="4"/>
        <s v="7"/>
      </sharedItems>
    </cacheField>
    <cacheField name="CPTO_FE_N1" numFmtId="0">
      <sharedItems count="2">
        <s v="4"/>
        <s v="7"/>
      </sharedItems>
    </cacheField>
    <cacheField name="Nombre Cpto FE N1" numFmtId="0">
      <sharedItems count="2">
        <s v="MOVIMIENTO FINANCIERO"/>
        <s v="ACTIVIDADES DE FINANCIACION"/>
      </sharedItems>
    </cacheField>
    <cacheField name="CPTO_FE_N2" numFmtId="0">
      <sharedItems count="3">
        <s v="4102"/>
        <s v="7102"/>
        <s v="7105"/>
      </sharedItems>
    </cacheField>
    <cacheField name="Nombre Cpto FE N2" numFmtId="0">
      <sharedItems count="3">
        <s v="INTERESES LARGO PLAZO"/>
        <s v="PAGO CUOTA CORRIENTE"/>
        <s v="PRESTAMOS ENTIDADES FINANCIERAS LP"/>
      </sharedItems>
    </cacheField>
    <cacheField name="CPTO_FE_N3" numFmtId="0">
      <sharedItems count="3">
        <s v="4102"/>
        <s v="7102"/>
        <s v="7105"/>
      </sharedItems>
    </cacheField>
    <cacheField name="Nombre Cpto FE N3" numFmtId="0">
      <sharedItems count="3">
        <s v="INTERESES LARGO PLAZO"/>
        <s v="PAGO CUOTA CORRIENTE"/>
        <s v="PRESTAMOS ENTIDADES FINANCIERAS LP"/>
      </sharedItems>
    </cacheField>
    <cacheField name="CPTO_FE_N4" numFmtId="0">
      <sharedItems count="3">
        <s v="4102"/>
        <s v="7102"/>
        <s v="7105"/>
      </sharedItems>
    </cacheField>
    <cacheField name="Nombre Cpto FE N4" numFmtId="0">
      <sharedItems count="3">
        <s v="INTERESES LARGO PLAZO"/>
        <s v="PAGO CUOTA CORRIENTE"/>
        <s v="PRESTAMOS ENTIDADES FINANCIERAS LP"/>
      </sharedItems>
    </cacheField>
    <cacheField name="CPTO_FE_N5" numFmtId="0">
      <sharedItems count="3">
        <s v="4102"/>
        <s v="7102"/>
        <s v="7105"/>
      </sharedItems>
    </cacheField>
    <cacheField name="Nombre Cpto FE N5" numFmtId="0">
      <sharedItems count="3">
        <s v="INTERESES LARGO PLAZO"/>
        <s v="PAGO CUOTA CORRIENTE"/>
        <s v="PRESTAMOS ENTIDADES FINANCIERAS LP"/>
      </sharedItems>
    </cacheField>
    <cacheField name="CPTO_FE_N6" numFmtId="0">
      <sharedItems count="3">
        <s v="4102"/>
        <s v="7102"/>
        <s v="7105"/>
      </sharedItems>
    </cacheField>
    <cacheField name="Nombre Cpto FE N6" numFmtId="0">
      <sharedItems count="3">
        <s v="INTERESES LARGO PLAZO"/>
        <s v="PAGO CUOTA CORRIENTE"/>
        <s v="PRESTAMOS ENTIDADES FINANCIERAS LP"/>
      </sharedItems>
    </cacheField>
    <cacheField name="CPTO_FE_N7" numFmtId="0">
      <sharedItems count="3">
        <s v="4102"/>
        <s v="7102"/>
        <s v="7105"/>
      </sharedItems>
    </cacheField>
    <cacheField name="Nombre Cpto FE N7" numFmtId="0">
      <sharedItems count="3">
        <s v="INTERESES LARGO PLAZO"/>
        <s v="PAGO CUOTA CORRIENTE"/>
        <s v="PRESTAMOS ENTIDADES FINANCIERAS LP"/>
      </sharedItems>
    </cacheField>
    <cacheField name="CPTO_FE_N8" numFmtId="0">
      <sharedItems count="3">
        <s v="4102"/>
        <s v="7102"/>
        <s v="7105"/>
      </sharedItems>
    </cacheField>
    <cacheField name="Nombre Cpto FE N8" numFmtId="0">
      <sharedItems count="3">
        <s v="INTERESES LARGO PLAZO"/>
        <s v="PAGO CUOTA CORRIENTE"/>
        <s v="PRESTAMOS ENTIDADES FINANCIERAS LP"/>
      </sharedItems>
    </cacheField>
    <cacheField name="Centro de Operacion" numFmtId="0">
      <sharedItems count="1">
        <s v="450"/>
      </sharedItems>
    </cacheField>
    <cacheField name="Nombre Centro de Operacion" numFmtId="0">
      <sharedItems count="1">
        <s v="ADMINSTRATIVO"/>
      </sharedItems>
    </cacheField>
    <cacheField name="REGIONAL" numFmtId="0">
      <sharedItems count="1">
        <s v="00"/>
      </sharedItems>
    </cacheField>
    <cacheField name="nombre Regional" numFmtId="0">
      <sharedItems count="1">
        <s v="ADMINISTRATIVOS"/>
      </sharedItems>
    </cacheField>
    <cacheField name="Unidad de Negocio" numFmtId="0">
      <sharedItems count="1">
        <s v="00"/>
      </sharedItems>
    </cacheField>
    <cacheField name="nombre Unidad de Negocio" numFmtId="0">
      <sharedItems count="1">
        <s v="ADMINISTRATIVA FICIERA"/>
      </sharedItems>
    </cacheField>
    <cacheField name="FECHA" numFmtId="0">
      <sharedItems containsString="0" containsBlank="1" count="1">
        <m/>
      </sharedItems>
    </cacheField>
    <cacheField name="AÑO" numFmtId="0">
      <sharedItems containsSemiMixedTypes="0" containsString="0" containsNumber="1" containsInteger="1" minValue="2024" maxValue="2024" count="1">
        <n v="2024"/>
      </sharedItems>
    </cacheField>
    <cacheField name="Valor Presupuesto" numFmtId="0">
      <sharedItems containsSemiMixedTypes="0" containsString="0" containsNumber="1" containsInteger="1" minValue="22969000" maxValue="360000000" count="16">
        <n v="30990000"/>
        <n v="22969000"/>
        <n v="27035000"/>
        <n v="25799000"/>
        <n v="24562000"/>
        <n v="26511000"/>
        <n v="79098000"/>
        <n v="73070000"/>
        <n v="86126000"/>
        <n v="88098000"/>
        <n v="74765000"/>
        <n v="100000000"/>
        <n v="360000000"/>
        <n v="110000000"/>
        <n v="221000000"/>
        <n v="300000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utierrez Rodriguez Robert" refreshedDate="43724.714106712963" createdVersion="3" refreshedVersion="6" minRefreshableVersion="3" recordCount="2824" xr:uid="{96F01E60-362D-4A6C-AED9-4733B332118E}">
  <cacheSource type="external" connectionId="2"/>
  <cacheFields count="108">
    <cacheField name="PERIODO" numFmtId="0">
      <sharedItems containsSemiMixedTypes="0" containsString="0" containsNumber="1" containsInteger="1" minValue="201901" maxValue="201908" count="8">
        <n v="201901"/>
        <n v="201902"/>
        <n v="201906"/>
        <n v="201907"/>
        <n v="201908"/>
        <n v="201903"/>
        <n v="201905"/>
        <n v="201904"/>
      </sharedItems>
    </cacheField>
    <cacheField name="EMPRESA" numFmtId="0">
      <sharedItems containsSemiMixedTypes="0" containsString="0" containsNumber="1" containsInteger="1" minValue="1" maxValue="1" count="1">
        <n v="1"/>
      </sharedItems>
    </cacheField>
    <cacheField name="Nombre Empresa" numFmtId="0">
      <sharedItems count="1">
        <s v="MUSICAR S A S"/>
      </sharedItems>
    </cacheField>
    <cacheField name="Centro de Operacion" numFmtId="0">
      <sharedItems count="7">
        <s v="450"/>
        <s v="465"/>
        <s v="462"/>
        <s v="464"/>
        <s v="463"/>
        <s v="460"/>
        <s v="461"/>
      </sharedItems>
    </cacheField>
    <cacheField name="Nombre Centro de Operacion" numFmtId="0">
      <sharedItems count="7">
        <s v="ADMINSTRATIVO"/>
        <s v="BARRANQUILLA"/>
        <s v="BOGOTA"/>
        <s v="MEDELLIN"/>
        <s v="BUCARAMANGA"/>
        <s v="CALI"/>
        <s v="EJE CAFETERO"/>
      </sharedItems>
    </cacheField>
    <cacheField name="Tipo Documento" numFmtId="0">
      <sharedItems count="14">
        <s v="NDS"/>
        <s v="RC"/>
        <s v="NI"/>
        <s v="LAN"/>
        <s v="GVJ"/>
        <s v="OP"/>
        <s v="DFC"/>
        <s v="FP"/>
        <s v="NB"/>
        <s v="RK"/>
        <s v="DBA"/>
        <s v="PEL"/>
        <s v="CE"/>
        <s v="CJM"/>
      </sharedItems>
    </cacheField>
    <cacheField name="Nombre Tipo Documento" numFmtId="0">
      <sharedItems count="14">
        <s v="NOTA DEBITO VENTA DE SERVICIO"/>
        <s v="RECIBOS DE CAJA"/>
        <s v="NOTA INTERNA DE CONTABILIDAD"/>
        <s v="LEGALIZACION ANTICIPOS"/>
        <s v="LEGALIZACION GASTOS DE VIAJE"/>
        <s v="ORDEN DE PAGO"/>
        <s v="DIFERENCIA EN CAMBIO"/>
        <s v="FACTURA POR PAGAR"/>
        <s v="NOTAS BANCARIAS"/>
        <s v="RECIBO CAJA MONTOS SUPERIORES"/>
        <s v="DAR DE BAJA ACTIVOS FIJOS"/>
        <s v="PAGOS ELECTRONICOS"/>
        <s v="COMPROBANTES DE EGRESO"/>
        <s v="CAJA MENOR"/>
      </sharedItems>
    </cacheField>
    <cacheField name="DOCTO" numFmtId="0">
      <sharedItems containsSemiMixedTypes="0" containsString="0" containsNumber="1" containsInteger="1" minValue="9" maxValue="63967"/>
    </cacheField>
    <cacheField name="Tercero Docto" numFmtId="0">
      <sharedItems/>
    </cacheField>
    <cacheField name="Razon social Docto" numFmtId="0">
      <sharedItems/>
    </cacheField>
    <cacheField name="FECHA_DOCTO" numFmtId="0">
      <sharedItems/>
    </cacheField>
    <cacheField name="CUENTA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 Cuenta" numFmtId="0">
      <sharedItems containsString="0" containsBlank="1" count="1">
        <m/>
      </sharedItems>
    </cacheField>
    <cacheField name="NOMBRE_AUXILIAR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PLAN_CUENTA" numFmtId="0">
      <sharedItems count="1">
        <s v="NIF"/>
      </sharedItems>
    </cacheField>
    <cacheField name="CUENTA_N1" numFmtId="0">
      <sharedItems count="1">
        <s v="5"/>
      </sharedItems>
    </cacheField>
    <cacheField name="NOMBRE_CUENTA_N1" numFmtId="0">
      <sharedItems count="1">
        <s v="GASTOS                                  "/>
      </sharedItems>
    </cacheField>
    <cacheField name="CUENTA_N2" numFmtId="0">
      <sharedItems count="1">
        <s v="53"/>
      </sharedItems>
    </cacheField>
    <cacheField name="NOMBRE_CUENTA_N2" numFmtId="0">
      <sharedItems count="1">
        <s v="NO OPERACIONALES                        "/>
      </sharedItems>
    </cacheField>
    <cacheField name="CUENTA_N3" numFmtId="0">
      <sharedItems count="4">
        <s v="5315"/>
        <s v="5395"/>
        <s v="5305"/>
        <s v="5310"/>
      </sharedItems>
    </cacheField>
    <cacheField name="NOMBRE_CUENTA_N3" numFmtId="0">
      <sharedItems count="4">
        <s v="GASTOS EXTRAORDINARIOS                  "/>
        <s v="GASTOS DIVERSOS                         "/>
        <s v="FINANCIEROS                             "/>
        <s v="PERDIDA EN VENTA Y RETIRO DE BIENES     "/>
      </sharedItems>
    </cacheField>
    <cacheField name="CUENTA_N4" numFmtId="0">
      <sharedItems count="14">
        <s v="531515"/>
        <s v="539510"/>
        <s v="539505"/>
        <s v="530525"/>
        <s v="531516"/>
        <s v="531520"/>
        <s v="531595"/>
        <s v="530520"/>
        <s v="539520"/>
        <s v="530535"/>
        <s v="530595"/>
        <s v="531030"/>
        <s v="530505"/>
        <s v="530515"/>
      </sharedItems>
    </cacheField>
    <cacheField name="NOMBRE_CUENTA_N4" numFmtId="0">
      <sharedItems count="13">
        <s v="COSTOS Y GASTOS EJERCICIOS ANTERIORES   "/>
        <s v="AJUSTE AL PESO                          "/>
        <s v="DEMANDAS LABORALES"/>
        <s v="DIFERENCIA EN CAMBIO                    "/>
        <s v="GTO IMPORENTA EJE ANT                   "/>
        <s v="IMPUESTOS ASUMIDOS                      "/>
        <s v="OTROS                                   "/>
        <s v="INTERESES                               "/>
        <s v="MULTAS,SANCIONES Y LITIGIOS             "/>
        <s v="DESCUENTOS COMERCIALES CONDICONADOS     "/>
        <s v="PERDIDA POR SINIESTRO                   "/>
        <s v="GASTOS BANCARIOS                        "/>
        <s v="COMISIONES                              "/>
      </sharedItems>
    </cacheField>
    <cacheField name="CUENTA_N5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_CUENTA_N5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CUENTA_N6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_CUENTA_N6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CUENTA_N7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_CUENTA_N7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CUENTA_N8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_CUENTA_N8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CENTRO_OPERACION_MOVTO" numFmtId="0">
      <sharedItems count="10">
        <s v="460"/>
        <s v="450"/>
        <s v="465"/>
        <s v="464"/>
        <s v="462"/>
        <s v="471"/>
        <s v="461"/>
        <s v="463"/>
        <s v="466"/>
        <s v="090"/>
      </sharedItems>
    </cacheField>
    <cacheField name="Nombre Centro_operacion_movto" numFmtId="0">
      <sharedItems count="10">
        <s v="CALI"/>
        <s v="ADMINSTRATIVO"/>
        <s v="BARRANQUILLA"/>
        <s v="MEDELLIN"/>
        <s v="BOGOTA"/>
        <s v="AYUDA INTERNACIONAL"/>
        <s v="EJE CAFETERO"/>
        <s v="BUCARAMANGA"/>
        <s v="CARTAGENA"/>
        <s v="PROYECTO INNOVACION"/>
      </sharedItems>
    </cacheField>
    <cacheField name="REGIONAL" numFmtId="0">
      <sharedItems count="3">
        <s v="MT"/>
        <s v="00"/>
        <s v="01"/>
      </sharedItems>
    </cacheField>
    <cacheField name="nombre Regional" numFmtId="0">
      <sharedItems count="3">
        <s v="TOTAL SUCURSALES"/>
        <s v="ADMINISTRATIVOS"/>
        <s v="CALI"/>
      </sharedItems>
    </cacheField>
    <cacheField name="Unidad de Negocio" numFmtId="0">
      <sharedItems count="2">
        <s v="01"/>
        <s v="00"/>
      </sharedItems>
    </cacheField>
    <cacheField name="nombre Unidad de Negocio" numFmtId="0">
      <sharedItems count="2">
        <s v="VENTAS"/>
        <s v="ADMINISTRATIVA FICIERA"/>
      </sharedItems>
    </cacheField>
    <cacheField name="TERCERO" numFmtId="0">
      <sharedItems/>
    </cacheField>
    <cacheField name="Nombre Tercero" numFmtId="0">
      <sharedItems containsBlank="1"/>
    </cacheField>
    <cacheField name="SUCURSAL_TERCERO" numFmtId="0">
      <sharedItems containsString="0" containsBlank="1" count="1">
        <m/>
      </sharedItems>
    </cacheField>
    <cacheField name="VENDEDOR" numFmtId="0">
      <sharedItems containsBlank="1" count="3">
        <m/>
        <s v="EJZO"/>
        <s v="MACP"/>
      </sharedItems>
    </cacheField>
    <cacheField name="Nombre vendedor Vendedor" numFmtId="0">
      <sharedItems containsBlank="1" count="3">
        <m/>
        <s v="MUSICAR S.A.S"/>
        <s v="CARRASQUILLA PIZARRO MARCO ANTONIO"/>
      </sharedItems>
    </cacheField>
    <cacheField name="GRUPO_CCOSTO" numFmtId="0">
      <sharedItems containsString="0" containsBlank="1" count="1">
        <m/>
      </sharedItems>
    </cacheField>
    <cacheField name="Centro de Costo" numFmtId="0">
      <sharedItems containsString="0" containsBlank="1" count="1">
        <m/>
      </sharedItems>
    </cacheField>
    <cacheField name="Nombre Centro de Costo" numFmtId="0">
      <sharedItems containsString="0" containsBlank="1" count="1">
        <m/>
      </sharedItems>
    </cacheField>
    <cacheField name="NOMBRE_CCOSTO" numFmtId="0">
      <sharedItems containsString="0" containsBlank="1" count="1">
        <m/>
      </sharedItems>
    </cacheField>
    <cacheField name="CCOSTO_N1" numFmtId="0">
      <sharedItems containsString="0" containsBlank="1" count="1">
        <m/>
      </sharedItems>
    </cacheField>
    <cacheField name="NOMBRE_CCOSTO_N1" numFmtId="0">
      <sharedItems containsString="0" containsBlank="1" count="1">
        <m/>
      </sharedItems>
    </cacheField>
    <cacheField name="CCOSTO_N2" numFmtId="0">
      <sharedItems containsString="0" containsBlank="1" count="1">
        <m/>
      </sharedItems>
    </cacheField>
    <cacheField name="NOMBRE_CCOSTO_N2" numFmtId="0">
      <sharedItems containsString="0" containsBlank="1" count="1">
        <m/>
      </sharedItems>
    </cacheField>
    <cacheField name="CCOSTO_N3" numFmtId="0">
      <sharedItems containsString="0" containsBlank="1" count="1">
        <m/>
      </sharedItems>
    </cacheField>
    <cacheField name="NOMBRE_CCOSTO_N3" numFmtId="0">
      <sharedItems containsString="0" containsBlank="1" count="1">
        <m/>
      </sharedItems>
    </cacheField>
    <cacheField name="CCOSTO_N4" numFmtId="0">
      <sharedItems containsString="0" containsBlank="1" count="1">
        <m/>
      </sharedItems>
    </cacheField>
    <cacheField name="NOMBRE_CCOSTO_N4" numFmtId="0">
      <sharedItems containsString="0" containsBlank="1" count="1">
        <m/>
      </sharedItems>
    </cacheField>
    <cacheField name="CCOSTO_N5" numFmtId="0">
      <sharedItems containsString="0" containsBlank="1" count="1">
        <m/>
      </sharedItems>
    </cacheField>
    <cacheField name="NOMBRE_CCOSTO_N5" numFmtId="0">
      <sharedItems containsString="0" containsBlank="1" count="1">
        <m/>
      </sharedItems>
    </cacheField>
    <cacheField name="CCOSTO_N6" numFmtId="0">
      <sharedItems containsString="0" containsBlank="1" count="1">
        <m/>
      </sharedItems>
    </cacheField>
    <cacheField name="NOMBRE_CCOSTO_N6" numFmtId="0">
      <sharedItems containsString="0" containsBlank="1" count="1">
        <m/>
      </sharedItems>
    </cacheField>
    <cacheField name="CCOSTO_N7" numFmtId="0">
      <sharedItems containsString="0" containsBlank="1" count="1">
        <m/>
      </sharedItems>
    </cacheField>
    <cacheField name="NOMBRE_CCOSTO_N7" numFmtId="0">
      <sharedItems containsString="0" containsBlank="1" count="1">
        <m/>
      </sharedItems>
    </cacheField>
    <cacheField name="CCOSTO_N8" numFmtId="0">
      <sharedItems containsString="0" containsBlank="1" count="1">
        <m/>
      </sharedItems>
    </cacheField>
    <cacheField name="NOMBRE_CCOSTO_N8" numFmtId="0">
      <sharedItems containsString="0" containsBlank="1" count="1">
        <m/>
      </sharedItems>
    </cacheField>
    <cacheField name="FLUJO_EFECTIVO" numFmtId="0">
      <sharedItems containsString="0" containsBlank="1" count="1">
        <m/>
      </sharedItems>
    </cacheField>
    <cacheField name="NOMBRE_FLUJO_EFECTIVO" numFmtId="0">
      <sharedItems containsString="0" containsBlank="1" count="1">
        <m/>
      </sharedItems>
    </cacheField>
    <cacheField name="MAYOR_FLUJO_EFECTIVO" numFmtId="0">
      <sharedItems containsString="0" containsBlank="1" count="1">
        <m/>
      </sharedItems>
    </cacheField>
    <cacheField name="CPTOFE_N1" numFmtId="0">
      <sharedItems containsString="0" containsBlank="1" count="1">
        <m/>
      </sharedItems>
    </cacheField>
    <cacheField name="NOMBRE_CPTOFE_N1" numFmtId="0">
      <sharedItems containsString="0" containsBlank="1" count="1">
        <m/>
      </sharedItems>
    </cacheField>
    <cacheField name="CPTOFE_N2" numFmtId="0">
      <sharedItems containsString="0" containsBlank="1" count="1">
        <m/>
      </sharedItems>
    </cacheField>
    <cacheField name="NOMBRE_CPTOFE_N2" numFmtId="0">
      <sharedItems containsString="0" containsBlank="1" count="1">
        <m/>
      </sharedItems>
    </cacheField>
    <cacheField name="CPTOFE_N3" numFmtId="0">
      <sharedItems containsString="0" containsBlank="1" count="1">
        <m/>
      </sharedItems>
    </cacheField>
    <cacheField name="NOMBRE_CPTOFE_N3" numFmtId="0">
      <sharedItems containsString="0" containsBlank="1" count="1">
        <m/>
      </sharedItems>
    </cacheField>
    <cacheField name="CPTOFE_N4" numFmtId="0">
      <sharedItems containsString="0" containsBlank="1" count="1">
        <m/>
      </sharedItems>
    </cacheField>
    <cacheField name="NOMBRE_CPTOFE_N4" numFmtId="0">
      <sharedItems containsString="0" containsBlank="1" count="1">
        <m/>
      </sharedItems>
    </cacheField>
    <cacheField name="CPTOFE_N5" numFmtId="0">
      <sharedItems containsString="0" containsBlank="1" count="1">
        <m/>
      </sharedItems>
    </cacheField>
    <cacheField name="NOMBRE_CPTOFE_N5" numFmtId="0">
      <sharedItems containsString="0" containsBlank="1" count="1">
        <m/>
      </sharedItems>
    </cacheField>
    <cacheField name="CPTOFE_N6" numFmtId="0">
      <sharedItems containsString="0" containsBlank="1" count="1">
        <m/>
      </sharedItems>
    </cacheField>
    <cacheField name="NOMBRE_CPTOFE_N6" numFmtId="0">
      <sharedItems containsString="0" containsBlank="1" count="1">
        <m/>
      </sharedItems>
    </cacheField>
    <cacheField name="CPTOFE_N7" numFmtId="0">
      <sharedItems containsString="0" containsBlank="1" count="1">
        <m/>
      </sharedItems>
    </cacheField>
    <cacheField name="NOMBRE_CPTOFE_N7" numFmtId="0">
      <sharedItems containsString="0" containsBlank="1" count="1">
        <m/>
      </sharedItems>
    </cacheField>
    <cacheField name="CPTOFE_N8" numFmtId="0">
      <sharedItems containsString="0" containsBlank="1" count="1">
        <m/>
      </sharedItems>
    </cacheField>
    <cacheField name="NOMBRE_CPTOFE_N8" numFmtId="0">
      <sharedItems containsString="0" containsBlank="1" count="1">
        <m/>
      </sharedItems>
    </cacheField>
    <cacheField name="DOCUMENTO_BANCOS" numFmtId="0">
      <sharedItems containsString="0" containsBlank="1" count="1">
        <m/>
      </sharedItems>
    </cacheField>
    <cacheField name="NUMERO_DOCTO_BANCOS" numFmtId="0">
      <sharedItems containsSemiMixedTypes="0" containsString="0" containsNumber="1" containsInteger="1" minValue="0" maxValue="0" count="1">
        <n v="0"/>
      </sharedItems>
    </cacheField>
    <cacheField name="DOCTO_ALTERNO_BANCOS" numFmtId="0">
      <sharedItems count="1">
        <s v=" "/>
      </sharedItems>
    </cacheField>
    <cacheField name="Referencia 1" numFmtId="0">
      <sharedItems count="1">
        <s v=" "/>
      </sharedItems>
    </cacheField>
    <cacheField name="Referencia 2" numFmtId="0">
      <sharedItems count="1">
        <s v=" "/>
      </sharedItems>
    </cacheField>
    <cacheField name="Referencia 3" numFmtId="0">
      <sharedItems count="1">
        <s v=" "/>
      </sharedItems>
    </cacheField>
    <cacheField name="NOTAS" numFmtId="0">
      <sharedItems/>
    </cacheField>
    <cacheField name="DEBITOS" numFmtId="0">
      <sharedItems containsSemiMixedTypes="0" containsString="0" containsNumber="1" minValue="0" maxValue="11209723.92"/>
    </cacheField>
    <cacheField name="CREDITOS" numFmtId="0">
      <sharedItems containsSemiMixedTypes="0" containsString="0" containsNumber="1" minValue="0" maxValue="5574045"/>
    </cacheField>
    <cacheField name="MOVIMIENTO" numFmtId="0">
      <sharedItems containsSemiMixedTypes="0" containsString="0" containsNumber="1" minValue="-5574045" maxValue="11209723.92"/>
    </cacheField>
    <cacheField name="DEBITOS_ALT" numFmtId="0">
      <sharedItems containsSemiMixedTypes="0" containsString="0" containsNumber="1" containsInteger="1" minValue="0" maxValue="0" count="1">
        <n v="0"/>
      </sharedItems>
    </cacheField>
    <cacheField name="CREDITOS_ALT" numFmtId="0">
      <sharedItems containsSemiMixedTypes="0" containsString="0" containsNumber="1" containsInteger="1" minValue="0" maxValue="0" count="1">
        <n v="0"/>
      </sharedItems>
    </cacheField>
    <cacheField name="MOVIMIENTO_ALT" numFmtId="0">
      <sharedItems containsSemiMixedTypes="0" containsString="0" containsNumber="1" containsInteger="1" minValue="0" maxValue="0" count="1">
        <n v="0"/>
      </sharedItems>
    </cacheField>
    <cacheField name="Deb Libro 2" numFmtId="0">
      <sharedItems containsSemiMixedTypes="0" containsString="0" containsNumber="1" minValue="0" maxValue="11209723.92"/>
    </cacheField>
    <cacheField name="Cred Libro 2" numFmtId="0">
      <sharedItems containsSemiMixedTypes="0" containsString="0" containsNumber="1" minValue="0" maxValue="5574045"/>
    </cacheField>
    <cacheField name="MOVTO_LIBRO2" numFmtId="0">
      <sharedItems containsSemiMixedTypes="0" containsString="0" containsNumber="1" minValue="-5574045" maxValue="11209723.92"/>
    </cacheField>
    <cacheField name="Deb alt Libro 2" numFmtId="0">
      <sharedItems containsSemiMixedTypes="0" containsString="0" containsNumber="1" containsInteger="1" minValue="0" maxValue="0" count="1">
        <n v="0"/>
      </sharedItems>
    </cacheField>
    <cacheField name="Cred alt libro 2" numFmtId="0">
      <sharedItems containsSemiMixedTypes="0" containsString="0" containsNumber="1" containsInteger="1" minValue="0" maxValue="0" count="1">
        <n v="0"/>
      </sharedItems>
    </cacheField>
    <cacheField name="MOVTO_ALT_LIBRO2" numFmtId="0">
      <sharedItems containsSemiMixedTypes="0" containsString="0" containsNumber="1" containsInteger="1" minValue="0" maxValue="0" count="1">
        <n v="0"/>
      </sharedItems>
    </cacheField>
    <cacheField name="Deb Libro 3" numFmtId="0">
      <sharedItems containsSemiMixedTypes="0" containsString="0" containsNumber="1" minValue="0" maxValue="11209723.92"/>
    </cacheField>
    <cacheField name="Cred Libro 3" numFmtId="0">
      <sharedItems containsSemiMixedTypes="0" containsString="0" containsNumber="1" minValue="0" maxValue="5574045"/>
    </cacheField>
    <cacheField name="MOVTO_LIBRO3" numFmtId="0">
      <sharedItems containsSemiMixedTypes="0" containsString="0" containsNumber="1" minValue="-5574045" maxValue="11209723.92"/>
    </cacheField>
    <cacheField name="Deb alt Libro 3" numFmtId="0">
      <sharedItems containsSemiMixedTypes="0" containsString="0" containsNumber="1" containsInteger="1" minValue="0" maxValue="0" count="1">
        <n v="0"/>
      </sharedItems>
    </cacheField>
    <cacheField name="Cred alt Libro 3" numFmtId="0">
      <sharedItems containsSemiMixedTypes="0" containsString="0" containsNumber="1" containsInteger="1" minValue="0" maxValue="0" count="1">
        <n v="0"/>
      </sharedItems>
    </cacheField>
    <cacheField name="MOVTO_ALT_LIBRO3" numFmtId="0">
      <sharedItems containsSemiMixedTypes="0" containsString="0" containsNumber="1" containsInteger="1" minValue="0" maxValue="0" count="1">
        <n v="0"/>
      </sharedItems>
    </cacheField>
    <cacheField name="VALOR_BASE" numFmtId="0">
      <sharedItems containsSemiMixedTypes="0" containsString="0" containsNumber="1" containsInteger="1" minValue="0" maxValue="0" count="1">
        <n v="0"/>
      </sharedItems>
    </cacheField>
    <cacheField name="VALOR_IMP_ASUM" numFmtId="0">
      <sharedItems containsSemiMixedTypes="0" containsString="0" containsNumber="1" containsInteger="1" minValue="0" maxValue="0" count="1">
        <n v="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bert G." refreshedDate="42537.493262847223" createdVersion="3" refreshedVersion="6" minRefreshableVersion="3" recordCount="12" xr:uid="{4CDBF2B3-7A71-4049-B4D3-8A6BA7FDB249}">
  <cacheSource type="external" connectionId="1"/>
  <cacheFields count="31">
    <cacheField name="PERIODO" numFmtId="0">
      <sharedItems containsSemiMixedTypes="0" containsString="0" containsNumber="1" containsInteger="1" minValue="201605" maxValue="201605" count="1">
        <n v="201605"/>
      </sharedItems>
    </cacheField>
    <cacheField name="EMPRESA" numFmtId="0">
      <sharedItems containsSemiMixedTypes="0" containsString="0" containsNumber="1" containsInteger="1" minValue="1" maxValue="1" count="1">
        <n v="1"/>
      </sharedItems>
    </cacheField>
    <cacheField name="Nombre Empresa" numFmtId="0">
      <sharedItems count="1">
        <s v="MUSICAR EL SALVADOR, S.A. DE C V"/>
      </sharedItems>
    </cacheField>
    <cacheField name="PLAN_PRESUPUESTO" numFmtId="0">
      <sharedItems count="2">
        <s v="006"/>
        <s v="001"/>
      </sharedItems>
    </cacheField>
    <cacheField name="AUXILIAR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AUXILIAR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UENTA" numFmtId="0">
      <sharedItems count="6">
        <s v="523595"/>
        <s v="516010"/>
        <s v="520518"/>
        <s v="524515"/>
        <s v="520536"/>
        <s v="529910"/>
      </sharedItems>
    </cacheField>
    <cacheField name="Nombre Cuenta" numFmtId="0">
      <sharedItems containsString="0" containsBlank="1" count="1">
        <m/>
      </sharedItems>
    </cacheField>
    <cacheField name="PLAN_CUENTA" numFmtId="0">
      <sharedItems count="1">
        <s v="PUC"/>
      </sharedItems>
    </cacheField>
    <cacheField name="CUENTA_N1" numFmtId="0">
      <sharedItems count="1">
        <s v="5"/>
      </sharedItems>
    </cacheField>
    <cacheField name="NOMBRE_CUENTA_N1" numFmtId="0">
      <sharedItems count="1">
        <s v="GASTOS"/>
      </sharedItems>
    </cacheField>
    <cacheField name="CUENTA_N2" numFmtId="0">
      <sharedItems count="2">
        <s v="52"/>
        <s v="51"/>
      </sharedItems>
    </cacheField>
    <cacheField name="NOMBRE_CUENTA_N2" numFmtId="0">
      <sharedItems count="2">
        <s v="OPERACIONALES DE VENTAS"/>
        <s v="OPERACIONALES DE ADMINISTRACION"/>
      </sharedItems>
    </cacheField>
    <cacheField name="CUENTA_N3" numFmtId="0">
      <sharedItems count="5">
        <s v="5235"/>
        <s v="5160"/>
        <s v="5205"/>
        <s v="5245"/>
        <s v="5299"/>
      </sharedItems>
    </cacheField>
    <cacheField name="NOMBRE_CUENTA_N3" numFmtId="0">
      <sharedItems count="5">
        <s v="SERVICIOS"/>
        <s v="DEPRECIACIONES"/>
        <s v="GASTOS DE PERSONAL"/>
        <s v="MANTENIMIENTO Y REPARACIONES"/>
        <s v="PROVISIONES"/>
      </sharedItems>
    </cacheField>
    <cacheField name="CUENTA_N4" numFmtId="0">
      <sharedItems count="6">
        <s v="523595"/>
        <s v="516010"/>
        <s v="520518"/>
        <s v="524515"/>
        <s v="520536"/>
        <s v="529910"/>
      </sharedItems>
    </cacheField>
    <cacheField name="NOMBRE_CUENTA_N4" numFmtId="0">
      <sharedItems count="6">
        <s v="OTROS"/>
        <s v="MAQUINARIA Y EQUIPO"/>
        <s v="COMISIONES"/>
        <s v="MANT.Y REPARAC.MAQUINARIA"/>
        <s v="PRIMA DE SERVICIOS"/>
        <s v="DEUDORES"/>
      </sharedItems>
    </cacheField>
    <cacheField name="CUENTA_N5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CUENTA_N5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UENTA_N6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CUENTA_N6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UENTA_N7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CUENTA_N7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UENTA_N8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CUENTA_N8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entro de Operacion" numFmtId="0">
      <sharedItems count="1">
        <s v="001"/>
      </sharedItems>
    </cacheField>
    <cacheField name="Nombre Centro de Operacion" numFmtId="0">
      <sharedItems count="1">
        <s v="EL SALVADOR"/>
      </sharedItems>
    </cacheField>
    <cacheField name="Unidad de Negocio" numFmtId="0">
      <sharedItems count="1">
        <s v="01"/>
      </sharedItems>
    </cacheField>
    <cacheField name="nombre Unidad de Negocio" numFmtId="0">
      <sharedItems count="1">
        <s v="MUSICAR"/>
      </sharedItems>
    </cacheField>
    <cacheField name="AÑO" numFmtId="0">
      <sharedItems containsSemiMixedTypes="0" containsString="0" containsNumber="1" containsInteger="1" minValue="2016" maxValue="2016" count="1">
        <n v="2016"/>
      </sharedItems>
    </cacheField>
    <cacheField name="VALOR_PRESUPUESTO" numFmtId="0">
      <sharedItems containsSemiMixedTypes="0" containsString="0" containsNumber="1" minValue="13.58" maxValue="2319.4899999999998" count="6">
        <n v="448.4"/>
        <n v="2319.4899999999998"/>
        <n v="615.13"/>
        <n v="302.10000000000002"/>
        <n v="153.78"/>
        <n v="13.58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6"/>
  </r>
  <r>
    <x v="1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7"/>
  </r>
  <r>
    <x v="2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8"/>
  </r>
  <r>
    <x v="3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8"/>
  </r>
  <r>
    <x v="4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9"/>
  </r>
  <r>
    <x v="5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10"/>
  </r>
  <r>
    <x v="0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11"/>
  </r>
  <r>
    <x v="1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12"/>
  </r>
  <r>
    <x v="2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13"/>
  </r>
  <r>
    <x v="4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14"/>
  </r>
  <r>
    <x v="5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1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24">
  <r>
    <x v="0"/>
    <x v="0"/>
    <x v="0"/>
    <x v="0"/>
    <x v="0"/>
    <x v="0"/>
    <x v="0"/>
    <n v="4273"/>
    <s v="411881957"/>
    <s v="SAJAN, INC"/>
    <s v="2019011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CONTABILIACION ERRADA EN EL RECIBO DE CAJA"/>
    <n v="1234905"/>
    <n v="0"/>
    <n v="1234905"/>
    <x v="0"/>
    <x v="0"/>
    <x v="0"/>
    <n v="1234905"/>
    <n v="0"/>
    <n v="1234905"/>
    <x v="0"/>
    <x v="0"/>
    <x v="0"/>
    <n v="1234905"/>
    <n v="0"/>
    <n v="1234905"/>
    <x v="0"/>
    <x v="0"/>
    <x v="0"/>
    <x v="0"/>
    <x v="0"/>
  </r>
  <r>
    <x v="1"/>
    <x v="0"/>
    <x v="0"/>
    <x v="0"/>
    <x v="0"/>
    <x v="1"/>
    <x v="1"/>
    <n v="2377"/>
    <s v="860037707"/>
    <s v="SBS SEGUROS COLOMBIA S.A."/>
    <s v="2019022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1"/>
    <x v="1"/>
    <x v="1"/>
    <s v="860037707"/>
    <s v="SBS SEGUROS 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INTEGRO POLIZA QUE SE CANCELO DE LA CAMIONETA PARA GERENCIA"/>
    <n v="0"/>
    <n v="2315865.0699999998"/>
    <n v="-2315865.0699999998"/>
    <x v="0"/>
    <x v="0"/>
    <x v="0"/>
    <n v="0"/>
    <n v="2315865.0699999998"/>
    <n v="-2315865.0699999998"/>
    <x v="0"/>
    <x v="0"/>
    <x v="0"/>
    <n v="0"/>
    <n v="2315865.0699999998"/>
    <n v="-2315865.0699999998"/>
    <x v="0"/>
    <x v="0"/>
    <x v="0"/>
    <x v="0"/>
    <x v="0"/>
  </r>
  <r>
    <x v="1"/>
    <x v="0"/>
    <x v="0"/>
    <x v="0"/>
    <x v="0"/>
    <x v="2"/>
    <x v="2"/>
    <n v="19702"/>
    <s v="890399003"/>
    <s v="EMPRESAS MUNICIPALES DE CALI E.I.C.E.  E.S.P."/>
    <s v="2019021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EMCALI -  PAGO SERVCIOS PUBLICOS DIR NAL / TEL 6689603/6683173/6672449/668388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2"/>
    <x v="2"/>
    <n v="19722"/>
    <s v="830053800"/>
    <s v="TELMEX COLOMBIA SA"/>
    <s v="20190227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TELMEX - TRANSMISION AREA TECNICA - CO 46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0"/>
    <x v="0"/>
    <x v="2"/>
    <x v="2"/>
    <n v="20336"/>
    <s v="830122566"/>
    <s v="COLOMBIA TELECOMUNICACIONES S.A.-ESP"/>
    <s v="20190617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VARIOS C.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1"/>
    <x v="1"/>
    <x v="3"/>
    <x v="3"/>
    <n v="201"/>
    <s v="1045717933"/>
    <s v="PALMA GUTIERREZ KETTY JANETH"/>
    <s v="2019071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7473169"/>
    <s v="VEGA JIMENEZ ALBERTO TUL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SERVICIO DE DESINSTALACION DE 3 AIRES ACONDICIONADOS E INSTALACION DE 2 POR TRASLADO CON CAMBIO DE GAS Y TUBERIA"/>
    <n v="0"/>
    <n v="80"/>
    <n v="-80"/>
    <x v="0"/>
    <x v="0"/>
    <x v="0"/>
    <n v="0"/>
    <n v="80"/>
    <n v="-80"/>
    <x v="0"/>
    <x v="0"/>
    <x v="0"/>
    <n v="0"/>
    <n v="80"/>
    <n v="-80"/>
    <x v="0"/>
    <x v="0"/>
    <x v="0"/>
    <x v="0"/>
    <x v="0"/>
  </r>
  <r>
    <x v="4"/>
    <x v="0"/>
    <x v="0"/>
    <x v="1"/>
    <x v="1"/>
    <x v="4"/>
    <x v="4"/>
    <n v="672"/>
    <s v="1143135964"/>
    <s v="CABALLERO GONZALEZ JORGE ELIECER"/>
    <s v="201908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656"/>
    <n v="0"/>
    <n v="656"/>
    <x v="0"/>
    <x v="0"/>
    <x v="0"/>
    <n v="656"/>
    <n v="0"/>
    <n v="656"/>
    <x v="0"/>
    <x v="0"/>
    <x v="0"/>
    <n v="656"/>
    <n v="0"/>
    <n v="656"/>
    <x v="0"/>
    <x v="0"/>
    <x v="0"/>
    <x v="0"/>
    <x v="0"/>
  </r>
  <r>
    <x v="4"/>
    <x v="0"/>
    <x v="0"/>
    <x v="2"/>
    <x v="2"/>
    <x v="3"/>
    <x v="3"/>
    <n v="233"/>
    <s v="1020483062"/>
    <s v="QUINTERO ESPINAL JUAN DAVID"/>
    <s v="2019082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3"/>
    <x v="3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PORQUE EL TRABAJADOR YA NO LABORA EN LA EMPRESA"/>
    <n v="3368"/>
    <n v="0"/>
    <n v="3368"/>
    <x v="0"/>
    <x v="0"/>
    <x v="0"/>
    <n v="3368"/>
    <n v="0"/>
    <n v="3368"/>
    <x v="0"/>
    <x v="0"/>
    <x v="0"/>
    <n v="3368"/>
    <n v="0"/>
    <n v="3368"/>
    <x v="0"/>
    <x v="0"/>
    <x v="0"/>
    <x v="0"/>
    <x v="0"/>
  </r>
  <r>
    <x v="4"/>
    <x v="0"/>
    <x v="0"/>
    <x v="1"/>
    <x v="1"/>
    <x v="4"/>
    <x v="4"/>
    <n v="677"/>
    <s v="8763635"/>
    <s v="MOLINA PACHECO LUIS EDUARDO"/>
    <s v="201908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698"/>
    <n v="0"/>
    <n v="698"/>
    <x v="0"/>
    <x v="0"/>
    <x v="0"/>
    <n v="698"/>
    <n v="0"/>
    <n v="698"/>
    <x v="0"/>
    <x v="0"/>
    <x v="0"/>
    <n v="698"/>
    <n v="0"/>
    <n v="698"/>
    <x v="0"/>
    <x v="0"/>
    <x v="0"/>
    <x v="0"/>
    <x v="0"/>
  </r>
  <r>
    <x v="4"/>
    <x v="0"/>
    <x v="0"/>
    <x v="0"/>
    <x v="0"/>
    <x v="2"/>
    <x v="2"/>
    <n v="20691"/>
    <s v="800153993"/>
    <s v="COMUNICACIONES CELULAR S A  COMCEL S A"/>
    <s v="201908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CLARO - LOCUTOR VIRTUAL  -13/07/2019 - 12/08/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0"/>
    <x v="0"/>
    <x v="2"/>
    <x v="2"/>
    <n v="20671"/>
    <s v="860047239"/>
    <s v="MUSICAR S.A.S"/>
    <s v="201908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AJUSTE A LA CTA.1588059900 COMPENSACION ACTIVOS FIJOS."/>
    <n v="843"/>
    <n v="0"/>
    <n v="843"/>
    <x v="0"/>
    <x v="0"/>
    <x v="0"/>
    <n v="843"/>
    <n v="0"/>
    <n v="843"/>
    <x v="0"/>
    <x v="0"/>
    <x v="0"/>
    <n v="843"/>
    <n v="0"/>
    <n v="843"/>
    <x v="0"/>
    <x v="0"/>
    <x v="0"/>
    <x v="0"/>
    <x v="0"/>
  </r>
  <r>
    <x v="2"/>
    <x v="0"/>
    <x v="0"/>
    <x v="0"/>
    <x v="0"/>
    <x v="5"/>
    <x v="5"/>
    <n v="431"/>
    <s v="1151939784"/>
    <s v="MOLINEROS MARTINEZ JOHANA ALEXANDRA"/>
    <s v="20190613"/>
    <x v="2"/>
    <x v="0"/>
    <x v="2"/>
    <x v="0"/>
    <x v="0"/>
    <x v="0"/>
    <x v="0"/>
    <x v="0"/>
    <x v="1"/>
    <x v="1"/>
    <x v="2"/>
    <x v="2"/>
    <x v="2"/>
    <x v="2"/>
    <x v="2"/>
    <x v="2"/>
    <x v="2"/>
    <x v="2"/>
    <x v="2"/>
    <x v="2"/>
    <x v="1"/>
    <x v="1"/>
    <x v="1"/>
    <x v="1"/>
    <x v="1"/>
    <x v="1"/>
    <s v="1151939784"/>
    <s v="MOLINEROS MARTINEZ JOHANA ALEXANDR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CILIACION JOHANA MOLINEROS MARTINEZ"/>
    <n v="5786978"/>
    <n v="0"/>
    <n v="5786978"/>
    <x v="0"/>
    <x v="0"/>
    <x v="0"/>
    <n v="5786978"/>
    <n v="0"/>
    <n v="5786978"/>
    <x v="0"/>
    <x v="0"/>
    <x v="0"/>
    <n v="5786978"/>
    <n v="0"/>
    <n v="5786978"/>
    <x v="0"/>
    <x v="0"/>
    <x v="0"/>
    <x v="0"/>
    <x v="0"/>
  </r>
  <r>
    <x v="0"/>
    <x v="0"/>
    <x v="0"/>
    <x v="0"/>
    <x v="0"/>
    <x v="6"/>
    <x v="6"/>
    <n v="55"/>
    <s v="860047239"/>
    <s v="MUSICAR S.A.S"/>
    <s v="20190131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ENERO DEL 2019"/>
    <n v="25023"/>
    <n v="0"/>
    <n v="25023"/>
    <x v="0"/>
    <x v="0"/>
    <x v="0"/>
    <n v="25023"/>
    <n v="0"/>
    <n v="25023"/>
    <x v="0"/>
    <x v="0"/>
    <x v="0"/>
    <n v="25023"/>
    <n v="0"/>
    <n v="25023"/>
    <x v="0"/>
    <x v="0"/>
    <x v="0"/>
    <x v="0"/>
    <x v="0"/>
  </r>
  <r>
    <x v="2"/>
    <x v="0"/>
    <x v="0"/>
    <x v="0"/>
    <x v="0"/>
    <x v="2"/>
    <x v="2"/>
    <n v="20284"/>
    <s v="440000107338"/>
    <s v="INTELSAT US LLC"/>
    <s v="2019060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RRECCION SALDO BAJO NIIF, EN LA CUENTA DE INTELSAT"/>
    <n v="0"/>
    <n v="0"/>
    <n v="0"/>
    <x v="0"/>
    <x v="0"/>
    <x v="0"/>
    <n v="4846959.1100000003"/>
    <n v="0"/>
    <n v="4846959.1100000003"/>
    <x v="0"/>
    <x v="0"/>
    <x v="0"/>
    <n v="0"/>
    <n v="0"/>
    <n v="0"/>
    <x v="0"/>
    <x v="0"/>
    <x v="0"/>
    <x v="0"/>
    <x v="0"/>
  </r>
  <r>
    <x v="1"/>
    <x v="0"/>
    <x v="0"/>
    <x v="0"/>
    <x v="0"/>
    <x v="2"/>
    <x v="2"/>
    <n v="19681"/>
    <s v="890102018"/>
    <s v="MUNICIPIO DE BARRANQUILLA"/>
    <s v="20190222"/>
    <x v="4"/>
    <x v="0"/>
    <x v="4"/>
    <x v="0"/>
    <x v="0"/>
    <x v="0"/>
    <x v="0"/>
    <x v="0"/>
    <x v="0"/>
    <x v="0"/>
    <x v="4"/>
    <x v="4"/>
    <x v="4"/>
    <x v="4"/>
    <x v="4"/>
    <x v="4"/>
    <x v="4"/>
    <x v="4"/>
    <x v="4"/>
    <x v="4"/>
    <x v="2"/>
    <x v="2"/>
    <x v="0"/>
    <x v="0"/>
    <x v="0"/>
    <x v="0"/>
    <s v="890102018"/>
    <s v="MUNICIPIO DE BARRANQUILL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IMPUESTO DE INDUSTRIA Y COMERCIO ANUAL BARRANQUILLA"/>
    <n v="1000"/>
    <n v="0"/>
    <n v="1000"/>
    <x v="0"/>
    <x v="0"/>
    <x v="0"/>
    <n v="1000"/>
    <n v="0"/>
    <n v="1000"/>
    <x v="0"/>
    <x v="0"/>
    <x v="0"/>
    <n v="1000"/>
    <n v="0"/>
    <n v="1000"/>
    <x v="0"/>
    <x v="0"/>
    <x v="0"/>
    <x v="0"/>
    <x v="0"/>
  </r>
  <r>
    <x v="4"/>
    <x v="0"/>
    <x v="0"/>
    <x v="2"/>
    <x v="2"/>
    <x v="3"/>
    <x v="3"/>
    <n v="231"/>
    <s v="830046791"/>
    <s v="COFACE SERVICES COLOMBIA S.A."/>
    <s v="20190821"/>
    <x v="5"/>
    <x v="0"/>
    <x v="5"/>
    <x v="0"/>
    <x v="0"/>
    <x v="0"/>
    <x v="0"/>
    <x v="0"/>
    <x v="0"/>
    <x v="0"/>
    <x v="5"/>
    <x v="5"/>
    <x v="5"/>
    <x v="5"/>
    <x v="5"/>
    <x v="5"/>
    <x v="5"/>
    <x v="5"/>
    <x v="5"/>
    <x v="5"/>
    <x v="4"/>
    <x v="4"/>
    <x v="0"/>
    <x v="0"/>
    <x v="0"/>
    <x v="0"/>
    <s v="830046791"/>
    <s v="COFACE SERVICES 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EGALIZACIÓN ANTICIPO PARA CERTIFICACION COFACE CLIENTE TELEPERFORMANCE"/>
    <n v="1518"/>
    <n v="0"/>
    <n v="1518"/>
    <x v="0"/>
    <x v="0"/>
    <x v="0"/>
    <n v="1518"/>
    <n v="0"/>
    <n v="1518"/>
    <x v="0"/>
    <x v="0"/>
    <x v="0"/>
    <n v="1518"/>
    <n v="0"/>
    <n v="1518"/>
    <x v="0"/>
    <x v="0"/>
    <x v="0"/>
    <x v="0"/>
    <x v="0"/>
  </r>
  <r>
    <x v="3"/>
    <x v="0"/>
    <x v="0"/>
    <x v="0"/>
    <x v="0"/>
    <x v="7"/>
    <x v="7"/>
    <n v="25836"/>
    <s v="890903407"/>
    <s v="SEGUROS GENERALES SURAMERICANA S.A"/>
    <s v="20190703"/>
    <x v="6"/>
    <x v="0"/>
    <x v="6"/>
    <x v="0"/>
    <x v="0"/>
    <x v="0"/>
    <x v="0"/>
    <x v="0"/>
    <x v="0"/>
    <x v="0"/>
    <x v="6"/>
    <x v="6"/>
    <x v="6"/>
    <x v="6"/>
    <x v="6"/>
    <x v="6"/>
    <x v="6"/>
    <x v="6"/>
    <x v="6"/>
    <x v="6"/>
    <x v="1"/>
    <x v="1"/>
    <x v="1"/>
    <x v="1"/>
    <x v="1"/>
    <x v="1"/>
    <s v="890903407"/>
    <s v="SEGUROS GENERALES SURAMERICAN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OLIZA CUMPLIMIENTO"/>
    <n v="300"/>
    <n v="0"/>
    <n v="300"/>
    <x v="0"/>
    <x v="0"/>
    <x v="0"/>
    <n v="300"/>
    <n v="0"/>
    <n v="300"/>
    <x v="0"/>
    <x v="0"/>
    <x v="0"/>
    <n v="300"/>
    <n v="0"/>
    <n v="300"/>
    <x v="0"/>
    <x v="0"/>
    <x v="0"/>
    <x v="0"/>
    <x v="0"/>
  </r>
  <r>
    <x v="1"/>
    <x v="0"/>
    <x v="0"/>
    <x v="1"/>
    <x v="1"/>
    <x v="4"/>
    <x v="4"/>
    <n v="638"/>
    <s v="72187626"/>
    <s v="ULLOA ORTEGA LUIS FERNANDO"/>
    <s v="2019021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130"/>
    <n v="0"/>
    <n v="130"/>
    <x v="0"/>
    <x v="0"/>
    <x v="0"/>
    <n v="130"/>
    <n v="0"/>
    <n v="130"/>
    <x v="0"/>
    <x v="0"/>
    <x v="0"/>
    <n v="130"/>
    <n v="0"/>
    <n v="130"/>
    <x v="0"/>
    <x v="0"/>
    <x v="0"/>
    <x v="0"/>
    <x v="0"/>
  </r>
  <r>
    <x v="1"/>
    <x v="0"/>
    <x v="0"/>
    <x v="0"/>
    <x v="0"/>
    <x v="2"/>
    <x v="2"/>
    <n v="19761"/>
    <s v="890903938"/>
    <s v="BANCOLOMBIA S.A."/>
    <s v="201902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BANCOLOMBIA - FEB 2019"/>
    <n v="6594.99"/>
    <n v="0"/>
    <n v="6594.99"/>
    <x v="0"/>
    <x v="0"/>
    <x v="0"/>
    <n v="6594.99"/>
    <n v="0"/>
    <n v="6594.99"/>
    <x v="0"/>
    <x v="0"/>
    <x v="0"/>
    <n v="6594.99"/>
    <n v="0"/>
    <n v="6594.99"/>
    <x v="0"/>
    <x v="0"/>
    <x v="0"/>
    <x v="0"/>
    <x v="0"/>
  </r>
  <r>
    <x v="5"/>
    <x v="0"/>
    <x v="0"/>
    <x v="0"/>
    <x v="0"/>
    <x v="2"/>
    <x v="2"/>
    <n v="19805"/>
    <s v="800197368"/>
    <s v="DIRECCION DE IMPUESTOS Y ADUANAS NACIONALES"/>
    <s v="2019030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DIAN"/>
    <s v="DIAN PAG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RETENCION EN LA FUENTE MES DE FEBRERO-2019."/>
    <n v="415.37"/>
    <n v="0"/>
    <n v="415.37"/>
    <x v="0"/>
    <x v="0"/>
    <x v="0"/>
    <n v="415.37"/>
    <n v="0"/>
    <n v="415.37"/>
    <x v="0"/>
    <x v="0"/>
    <x v="0"/>
    <n v="415.37"/>
    <n v="0"/>
    <n v="415.37"/>
    <x v="0"/>
    <x v="0"/>
    <x v="0"/>
    <x v="0"/>
    <x v="0"/>
  </r>
  <r>
    <x v="5"/>
    <x v="0"/>
    <x v="0"/>
    <x v="0"/>
    <x v="0"/>
    <x v="2"/>
    <x v="2"/>
    <n v="19884"/>
    <s v="900092385"/>
    <s v="EPM TELECOMUNICACIONES S.A.  E.S.P."/>
    <s v="201903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LINEA 01800 - (01/02/2019-28/02/2019)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2"/>
    <x v="2"/>
    <n v="19888"/>
    <s v="830053800"/>
    <s v="TELMEX COLOMBIA SA"/>
    <s v="201903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ELMEX  - SERVICIO TRASMISIONES AREA TECNICA EN CO 46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2"/>
    <x v="2"/>
    <n v="19889"/>
    <s v="890399003"/>
    <s v="EMPRESAS MUNICIPALES DE CALI E.I.C.E.  E.S.P."/>
    <s v="201903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EMCALI - SERVICIO TELEFONICO 6683884-6672449-6683173-6689603 Y SERVICIOS PUBLICOS DIR NAL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1"/>
    <x v="1"/>
    <x v="4"/>
    <x v="4"/>
    <n v="657"/>
    <s v="1143135964"/>
    <s v="CABALLERO GONZALEZ JORGE ELIECER"/>
    <s v="2019052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322"/>
    <n v="-322"/>
    <x v="0"/>
    <x v="0"/>
    <x v="0"/>
    <n v="0"/>
    <n v="322"/>
    <n v="-322"/>
    <x v="0"/>
    <x v="0"/>
    <x v="0"/>
    <n v="0"/>
    <n v="322"/>
    <n v="-322"/>
    <x v="0"/>
    <x v="0"/>
    <x v="0"/>
    <x v="0"/>
    <x v="0"/>
  </r>
  <r>
    <x v="6"/>
    <x v="0"/>
    <x v="0"/>
    <x v="1"/>
    <x v="1"/>
    <x v="4"/>
    <x v="4"/>
    <n v="659"/>
    <s v="72187626"/>
    <s v="ULLOA ORTEGA LUIS FERNANDO"/>
    <s v="2019052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1120"/>
    <n v="-1120"/>
    <x v="0"/>
    <x v="0"/>
    <x v="0"/>
    <n v="0"/>
    <n v="1120"/>
    <n v="-1120"/>
    <x v="0"/>
    <x v="0"/>
    <x v="0"/>
    <n v="0"/>
    <n v="1120"/>
    <n v="-1120"/>
    <x v="0"/>
    <x v="0"/>
    <x v="0"/>
    <x v="0"/>
    <x v="0"/>
  </r>
  <r>
    <x v="6"/>
    <x v="0"/>
    <x v="0"/>
    <x v="0"/>
    <x v="0"/>
    <x v="2"/>
    <x v="2"/>
    <n v="20237"/>
    <s v="900092385"/>
    <s v="EPM TELECOMUNICACIONES S.A.  E.S.P."/>
    <s v="201905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LINEA 01800 - MAYO 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0"/>
    <x v="0"/>
    <x v="2"/>
    <x v="2"/>
    <n v="20241"/>
    <s v="890399003"/>
    <s v="EMPRESAS MUNICIPALES DE CALI E.I.C.E.  E.S.P."/>
    <s v="201905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EMCALI -SERVICIOS PUBLICOS DIR NAL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1"/>
    <x v="1"/>
    <x v="4"/>
    <x v="4"/>
    <n v="661"/>
    <s v="1143441764"/>
    <s v="RODRIGUEZ PADILLA GIOVANNI ENRIQUE"/>
    <s v="201906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950"/>
    <n v="0"/>
    <n v="950"/>
    <x v="0"/>
    <x v="0"/>
    <x v="0"/>
    <n v="950"/>
    <n v="0"/>
    <n v="950"/>
    <x v="0"/>
    <x v="0"/>
    <x v="0"/>
    <n v="950"/>
    <n v="0"/>
    <n v="950"/>
    <x v="0"/>
    <x v="0"/>
    <x v="0"/>
    <x v="0"/>
    <x v="0"/>
  </r>
  <r>
    <x v="2"/>
    <x v="0"/>
    <x v="0"/>
    <x v="0"/>
    <x v="0"/>
    <x v="2"/>
    <x v="2"/>
    <n v="20396"/>
    <s v="860007660"/>
    <s v="HELM BANK S.A."/>
    <s v="201906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MES DE JUNIO 2019"/>
    <n v="0.76"/>
    <n v="0"/>
    <n v="0.76"/>
    <x v="0"/>
    <x v="0"/>
    <x v="0"/>
    <n v="0.76"/>
    <n v="0"/>
    <n v="0.76"/>
    <x v="0"/>
    <x v="0"/>
    <x v="0"/>
    <n v="0.76"/>
    <n v="0"/>
    <n v="0.76"/>
    <x v="0"/>
    <x v="0"/>
    <x v="0"/>
    <x v="0"/>
    <x v="0"/>
  </r>
  <r>
    <x v="2"/>
    <x v="0"/>
    <x v="0"/>
    <x v="0"/>
    <x v="0"/>
    <x v="2"/>
    <x v="2"/>
    <n v="20443"/>
    <s v="995"/>
    <s v="GASTOS DE MENOR CUANTIA"/>
    <s v="201906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RECLASIFICACION DE UN"/>
    <n v="280"/>
    <n v="0"/>
    <n v="280"/>
    <x v="0"/>
    <x v="0"/>
    <x v="0"/>
    <n v="280"/>
    <n v="0"/>
    <n v="280"/>
    <x v="0"/>
    <x v="0"/>
    <x v="0"/>
    <n v="280"/>
    <n v="0"/>
    <n v="280"/>
    <x v="0"/>
    <x v="0"/>
    <x v="0"/>
    <x v="0"/>
    <x v="0"/>
  </r>
  <r>
    <x v="3"/>
    <x v="0"/>
    <x v="0"/>
    <x v="0"/>
    <x v="0"/>
    <x v="2"/>
    <x v="2"/>
    <n v="20475"/>
    <s v="890904996"/>
    <s v="EMPRESAS PUBLICAS DE MEDELLIN ESP"/>
    <s v="2019070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4996"/>
    <s v="EMPRESAS PUBLICAS DE MEDELLIN 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SERVICIOS PUBLICOS CP 46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467"/>
    <s v="512"/>
    <s v="PAGOS POR NOMINA"/>
    <s v="2019071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512"/>
    <s v="PAGOS POR NOM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CONCILIACION NOMINA MES DE JUNIO DE 2019.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3"/>
    <x v="0"/>
    <x v="0"/>
    <x v="0"/>
    <x v="0"/>
    <x v="2"/>
    <x v="2"/>
    <n v="20516"/>
    <s v="900092385"/>
    <s v="EPM TELECOMUNICACIONES S.A.  E.S.P."/>
    <s v="2019072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LINEA 01800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1"/>
    <x v="1"/>
    <x v="4"/>
    <x v="4"/>
    <n v="670"/>
    <s v="72187626"/>
    <s v="ULLOA ORTEGA LUIS FERNANDO"/>
    <s v="201907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8"/>
    <n v="-8"/>
    <x v="0"/>
    <x v="0"/>
    <x v="0"/>
    <n v="0"/>
    <n v="8"/>
    <n v="-8"/>
    <x v="0"/>
    <x v="0"/>
    <x v="0"/>
    <n v="0"/>
    <n v="8"/>
    <n v="-8"/>
    <x v="0"/>
    <x v="0"/>
    <x v="0"/>
    <x v="0"/>
    <x v="0"/>
  </r>
  <r>
    <x v="3"/>
    <x v="0"/>
    <x v="0"/>
    <x v="0"/>
    <x v="0"/>
    <x v="2"/>
    <x v="2"/>
    <n v="20530"/>
    <s v="900092385"/>
    <s v="EPM TELECOMUNICACIONES S.A.  E.S.P."/>
    <s v="201907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TIGO UNE- CO 46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34"/>
    <s v="860007660"/>
    <s v="HELM BANK S.A."/>
    <s v="201907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C 4225"/>
    <n v="0.46"/>
    <n v="0"/>
    <n v="0.46"/>
    <x v="0"/>
    <x v="0"/>
    <x v="0"/>
    <n v="0.46"/>
    <n v="0"/>
    <n v="0.46"/>
    <x v="0"/>
    <x v="0"/>
    <x v="0"/>
    <n v="0.46"/>
    <n v="0"/>
    <n v="0.46"/>
    <x v="0"/>
    <x v="0"/>
    <x v="0"/>
    <x v="0"/>
    <x v="0"/>
  </r>
  <r>
    <x v="4"/>
    <x v="0"/>
    <x v="0"/>
    <x v="0"/>
    <x v="0"/>
    <x v="2"/>
    <x v="2"/>
    <n v="20636"/>
    <s v="800153993"/>
    <s v="COMUNICACIONES CELULAR S A  COMCEL S A"/>
    <s v="201908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SERVICIO MODEM CARTELERAS SUPER INTER (JUN-JUL 2019)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4"/>
    <x v="0"/>
    <x v="0"/>
    <x v="0"/>
    <x v="0"/>
    <x v="2"/>
    <x v="2"/>
    <n v="20678"/>
    <s v="860007660"/>
    <s v="HELM BANK S.A."/>
    <s v="201908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C 4225"/>
    <n v="0.14000000000000001"/>
    <n v="0"/>
    <n v="0.14000000000000001"/>
    <x v="0"/>
    <x v="0"/>
    <x v="0"/>
    <n v="0.14000000000000001"/>
    <n v="0"/>
    <n v="0.14000000000000001"/>
    <x v="0"/>
    <x v="0"/>
    <x v="0"/>
    <n v="0.14000000000000001"/>
    <n v="0"/>
    <n v="0.14000000000000001"/>
    <x v="0"/>
    <x v="0"/>
    <x v="0"/>
    <x v="0"/>
    <x v="0"/>
  </r>
  <r>
    <x v="4"/>
    <x v="0"/>
    <x v="0"/>
    <x v="0"/>
    <x v="0"/>
    <x v="2"/>
    <x v="2"/>
    <n v="20682"/>
    <s v="890905055"/>
    <s v="EMPRESAS VARIAS DE MEDELLIN E.S.P"/>
    <s v="201908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5055"/>
    <s v="EMPRESAS VARIAS DE MEDELLIN E.S.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- CO 46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0"/>
    <x v="0"/>
    <x v="2"/>
    <x v="2"/>
    <n v="20683"/>
    <s v="830037248"/>
    <s v="CODENSA S.A. ESP."/>
    <s v="201908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37248"/>
    <s v="CODENSA S.A. ES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-ENERGIA - CO 462"/>
    <n v="5"/>
    <n v="0"/>
    <n v="5"/>
    <x v="0"/>
    <x v="0"/>
    <x v="0"/>
    <n v="5"/>
    <n v="0"/>
    <n v="5"/>
    <x v="0"/>
    <x v="0"/>
    <x v="0"/>
    <n v="5"/>
    <n v="0"/>
    <n v="5"/>
    <x v="0"/>
    <x v="0"/>
    <x v="0"/>
    <x v="0"/>
    <x v="0"/>
  </r>
  <r>
    <x v="4"/>
    <x v="0"/>
    <x v="0"/>
    <x v="0"/>
    <x v="0"/>
    <x v="2"/>
    <x v="2"/>
    <n v="20684"/>
    <s v="890399003"/>
    <s v="EMPRESAS MUNICIPALES DE CALI E.I.C.E.  E.S.P."/>
    <s v="201908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EMCALI - TEL 6683884-6672449-6683173-6689603 Y SERVICIOS PUBLICOS DIR NAL Y CO 460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5"/>
    <x v="0"/>
    <x v="0"/>
    <x v="0"/>
    <x v="0"/>
    <x v="2"/>
    <x v="2"/>
    <n v="19870"/>
    <s v="890200162"/>
    <s v="ACUEDUCTO METROPOLITANO DE BUCARAMANGA S.A. E.S.P."/>
    <s v="2019032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200162"/>
    <s v="ACUEDUCTO METROPOLITANO DE BUCARAMANGA S.A.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VARIOS C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0"/>
    <x v="0"/>
    <x v="2"/>
    <x v="2"/>
    <n v="19539"/>
    <s v="899999061"/>
    <s v="BOGOTA DISTRITO CAPITAL"/>
    <s v="2019011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9999061"/>
    <s v="BOGOTA DISTRITO CAPI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ND Y CCIO - NOV-DIC  2018- CO BOGOTA"/>
    <n v="439"/>
    <n v="0"/>
    <n v="439"/>
    <x v="0"/>
    <x v="0"/>
    <x v="0"/>
    <n v="439"/>
    <n v="0"/>
    <n v="439"/>
    <x v="0"/>
    <x v="0"/>
    <x v="0"/>
    <n v="439"/>
    <n v="0"/>
    <n v="439"/>
    <x v="0"/>
    <x v="0"/>
    <x v="0"/>
    <x v="0"/>
    <x v="0"/>
  </r>
  <r>
    <x v="0"/>
    <x v="0"/>
    <x v="0"/>
    <x v="0"/>
    <x v="0"/>
    <x v="2"/>
    <x v="2"/>
    <n v="19542"/>
    <s v="830122566"/>
    <s v="COLOMBIA TELECOMUNICACIONES S.A.-ESP"/>
    <s v="2019011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- VARIOS CO"/>
    <n v="200"/>
    <n v="0"/>
    <n v="200"/>
    <x v="0"/>
    <x v="0"/>
    <x v="0"/>
    <n v="200"/>
    <n v="0"/>
    <n v="200"/>
    <x v="0"/>
    <x v="0"/>
    <x v="0"/>
    <n v="200"/>
    <n v="0"/>
    <n v="200"/>
    <x v="0"/>
    <x v="0"/>
    <x v="0"/>
    <x v="0"/>
    <x v="0"/>
  </r>
  <r>
    <x v="0"/>
    <x v="0"/>
    <x v="0"/>
    <x v="1"/>
    <x v="1"/>
    <x v="4"/>
    <x v="4"/>
    <n v="634"/>
    <s v="1143135964"/>
    <s v="CABALLERO GONZALEZ JORGE ELIECER"/>
    <s v="201901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266"/>
    <n v="0"/>
    <n v="266"/>
    <x v="0"/>
    <x v="0"/>
    <x v="0"/>
    <n v="266"/>
    <n v="0"/>
    <n v="266"/>
    <x v="0"/>
    <x v="0"/>
    <x v="0"/>
    <n v="266"/>
    <n v="0"/>
    <n v="266"/>
    <x v="0"/>
    <x v="0"/>
    <x v="0"/>
    <x v="0"/>
    <x v="0"/>
  </r>
  <r>
    <x v="5"/>
    <x v="0"/>
    <x v="0"/>
    <x v="0"/>
    <x v="0"/>
    <x v="2"/>
    <x v="2"/>
    <n v="19825"/>
    <s v="890480184"/>
    <s v="DISTRITO TURISTICO Y CULTURAL DE CARTAGENA DE INDI"/>
    <s v="201903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480184"/>
    <s v="DISTRITO TURISTICO Y CULTURAL DE CARTAGENA DE IND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CA CARTAGENA ENE-FEB 2019"/>
    <n v="187"/>
    <n v="0"/>
    <n v="187"/>
    <x v="0"/>
    <x v="0"/>
    <x v="0"/>
    <n v="187"/>
    <n v="0"/>
    <n v="187"/>
    <x v="0"/>
    <x v="0"/>
    <x v="0"/>
    <n v="187"/>
    <n v="0"/>
    <n v="187"/>
    <x v="0"/>
    <x v="0"/>
    <x v="0"/>
    <x v="0"/>
    <x v="0"/>
  </r>
  <r>
    <x v="5"/>
    <x v="0"/>
    <x v="0"/>
    <x v="0"/>
    <x v="0"/>
    <x v="2"/>
    <x v="2"/>
    <n v="19821"/>
    <s v="890399011"/>
    <s v="MUNICIPIO DE SANTIAGO DE CALI"/>
    <s v="201903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11"/>
    <s v="MUNICIPIO DE SANTIAGO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IMPUESTO ICA- CALI ( ENE-FEB 2019)"/>
    <n v="152"/>
    <n v="0"/>
    <n v="152"/>
    <x v="0"/>
    <x v="0"/>
    <x v="0"/>
    <n v="152"/>
    <n v="0"/>
    <n v="152"/>
    <x v="0"/>
    <x v="0"/>
    <x v="0"/>
    <n v="152"/>
    <n v="0"/>
    <n v="152"/>
    <x v="0"/>
    <x v="0"/>
    <x v="0"/>
    <x v="0"/>
    <x v="0"/>
  </r>
  <r>
    <x v="5"/>
    <x v="0"/>
    <x v="0"/>
    <x v="0"/>
    <x v="0"/>
    <x v="2"/>
    <x v="2"/>
    <n v="19822"/>
    <s v="890102018"/>
    <s v="MUNICIPIO DE BARRANQUILLA"/>
    <s v="201903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102018"/>
    <s v="MUNICIPIO DE BARRANQUILL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CA BARRANQUILLA (ENE-FEB 2019)"/>
    <n v="408"/>
    <n v="0"/>
    <n v="408"/>
    <x v="0"/>
    <x v="0"/>
    <x v="0"/>
    <n v="408"/>
    <n v="0"/>
    <n v="408"/>
    <x v="0"/>
    <x v="0"/>
    <x v="0"/>
    <n v="408"/>
    <n v="0"/>
    <n v="408"/>
    <x v="0"/>
    <x v="0"/>
    <x v="0"/>
    <x v="0"/>
    <x v="0"/>
  </r>
  <r>
    <x v="5"/>
    <x v="0"/>
    <x v="0"/>
    <x v="1"/>
    <x v="1"/>
    <x v="4"/>
    <x v="4"/>
    <n v="645"/>
    <s v="22656341"/>
    <s v="ARIAS QUINTERO NELVIS ROCIO"/>
    <s v="201903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20"/>
    <n v="-20"/>
    <x v="0"/>
    <x v="0"/>
    <x v="0"/>
    <n v="0"/>
    <n v="20"/>
    <n v="-20"/>
    <x v="0"/>
    <x v="0"/>
    <x v="0"/>
    <n v="0"/>
    <n v="20"/>
    <n v="-20"/>
    <x v="0"/>
    <x v="0"/>
    <x v="0"/>
    <x v="0"/>
    <x v="0"/>
  </r>
  <r>
    <x v="7"/>
    <x v="0"/>
    <x v="0"/>
    <x v="0"/>
    <x v="0"/>
    <x v="2"/>
    <x v="2"/>
    <n v="19978"/>
    <s v="800153993"/>
    <s v="COMUNICACIONES CELULAR S A  COMCEL S A"/>
    <s v="2019040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VARIOS CO- COOMEVA CARTELER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0"/>
    <x v="0"/>
    <x v="2"/>
    <x v="2"/>
    <n v="20170"/>
    <s v="830053800"/>
    <s v="TELMEX COLOMBIA SA"/>
    <s v="2019050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TELMEX - ABRIL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0"/>
    <x v="0"/>
    <x v="2"/>
    <x v="2"/>
    <n v="20193"/>
    <s v="900397145"/>
    <s v="TILETRADE S.A."/>
    <s v="20190517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397145"/>
    <s v="TILETRAD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IVIDENDOS CUOTA  01 - (Saldo de Utilidad del año 2015-Utilidad del año 2017)- USD 3585.16 (TRM 3313.80)"/>
    <n v="0.21"/>
    <n v="0"/>
    <n v="0.21"/>
    <x v="0"/>
    <x v="0"/>
    <x v="0"/>
    <n v="0.21"/>
    <n v="0"/>
    <n v="0.21"/>
    <x v="0"/>
    <x v="0"/>
    <x v="0"/>
    <n v="0.21"/>
    <n v="0"/>
    <n v="0.21"/>
    <x v="0"/>
    <x v="0"/>
    <x v="0"/>
    <x v="0"/>
    <x v="0"/>
  </r>
  <r>
    <x v="2"/>
    <x v="0"/>
    <x v="0"/>
    <x v="0"/>
    <x v="0"/>
    <x v="2"/>
    <x v="2"/>
    <n v="20362"/>
    <s v="830037248"/>
    <s v="CODENSA S.A. ESP."/>
    <s v="201906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37248"/>
    <s v="CODENSA S.A. ES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ENERGIA CO 462"/>
    <n v="5"/>
    <n v="0"/>
    <n v="5"/>
    <x v="0"/>
    <x v="0"/>
    <x v="0"/>
    <n v="5"/>
    <n v="0"/>
    <n v="5"/>
    <x v="0"/>
    <x v="0"/>
    <x v="0"/>
    <n v="5"/>
    <n v="0"/>
    <n v="5"/>
    <x v="0"/>
    <x v="0"/>
    <x v="0"/>
    <x v="0"/>
    <x v="0"/>
  </r>
  <r>
    <x v="2"/>
    <x v="0"/>
    <x v="0"/>
    <x v="1"/>
    <x v="1"/>
    <x v="4"/>
    <x v="4"/>
    <n v="662"/>
    <s v="1143135964"/>
    <s v="CABALLERO GONZALEZ JORGE ELIECER"/>
    <s v="201906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280"/>
    <n v="-280"/>
    <x v="0"/>
    <x v="0"/>
    <x v="0"/>
    <n v="0"/>
    <n v="280"/>
    <n v="-280"/>
    <x v="0"/>
    <x v="0"/>
    <x v="0"/>
    <n v="0"/>
    <n v="280"/>
    <n v="-280"/>
    <x v="0"/>
    <x v="0"/>
    <x v="0"/>
    <x v="0"/>
    <x v="0"/>
  </r>
  <r>
    <x v="3"/>
    <x v="0"/>
    <x v="0"/>
    <x v="1"/>
    <x v="1"/>
    <x v="4"/>
    <x v="4"/>
    <n v="667"/>
    <s v="72187626"/>
    <s v="ULLOA ORTEGA LUIS FERNANDO"/>
    <s v="2019071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650"/>
    <n v="0"/>
    <n v="650"/>
    <x v="0"/>
    <x v="0"/>
    <x v="0"/>
    <n v="650"/>
    <n v="0"/>
    <n v="650"/>
    <x v="0"/>
    <x v="0"/>
    <x v="0"/>
    <n v="650"/>
    <n v="0"/>
    <n v="650"/>
    <x v="0"/>
    <x v="0"/>
    <x v="0"/>
    <x v="0"/>
    <x v="0"/>
  </r>
  <r>
    <x v="3"/>
    <x v="0"/>
    <x v="0"/>
    <x v="0"/>
    <x v="0"/>
    <x v="2"/>
    <x v="2"/>
    <n v="20537"/>
    <s v="890399003"/>
    <s v="EMPRESAS MUNICIPALES DE CALI E.I.C.E.  E.S.P."/>
    <s v="201907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TEL 6683884/6683173/6689603/6672449 Y SERVICIOS PUBLICOS DIR NAL"/>
    <n v="3"/>
    <n v="0"/>
    <n v="3"/>
    <x v="0"/>
    <x v="0"/>
    <x v="0"/>
    <n v="3"/>
    <n v="0"/>
    <n v="3"/>
    <x v="0"/>
    <x v="0"/>
    <x v="0"/>
    <n v="3"/>
    <n v="0"/>
    <n v="3"/>
    <x v="0"/>
    <x v="0"/>
    <x v="0"/>
    <x v="0"/>
    <x v="0"/>
  </r>
  <r>
    <x v="4"/>
    <x v="0"/>
    <x v="0"/>
    <x v="0"/>
    <x v="0"/>
    <x v="3"/>
    <x v="3"/>
    <n v="348"/>
    <s v="10131503"/>
    <s v="CANO RIOS JUAN CARLOS"/>
    <s v="2019080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10131503"/>
    <s v="CANO RIOS JUAN CARL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INTEGRO ANTICIPO AP - 450 - 200 REGISTRO CAMARA DE COMERCIO"/>
    <n v="200"/>
    <n v="0"/>
    <n v="200"/>
    <x v="0"/>
    <x v="0"/>
    <x v="0"/>
    <n v="200"/>
    <n v="0"/>
    <n v="200"/>
    <x v="0"/>
    <x v="0"/>
    <x v="0"/>
    <n v="200"/>
    <n v="0"/>
    <n v="200"/>
    <x v="0"/>
    <x v="0"/>
    <x v="0"/>
    <x v="0"/>
    <x v="0"/>
  </r>
  <r>
    <x v="5"/>
    <x v="0"/>
    <x v="0"/>
    <x v="0"/>
    <x v="0"/>
    <x v="2"/>
    <x v="2"/>
    <n v="19923"/>
    <s v="860047239"/>
    <s v="MUSICAR S.A.S"/>
    <s v="201903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CUENTA DE DIVIDENDOS AÑO 2018"/>
    <n v="109"/>
    <n v="0"/>
    <n v="109"/>
    <x v="0"/>
    <x v="0"/>
    <x v="0"/>
    <n v="109"/>
    <n v="0"/>
    <n v="109"/>
    <x v="0"/>
    <x v="0"/>
    <x v="0"/>
    <n v="109"/>
    <n v="0"/>
    <n v="109"/>
    <x v="0"/>
    <x v="0"/>
    <x v="0"/>
    <x v="0"/>
    <x v="0"/>
  </r>
  <r>
    <x v="7"/>
    <x v="0"/>
    <x v="0"/>
    <x v="0"/>
    <x v="0"/>
    <x v="2"/>
    <x v="2"/>
    <n v="19936"/>
    <s v="860047239"/>
    <s v="MUSICAR S.A.S"/>
    <s v="2019040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DIAN"/>
    <s v="DIAN PAG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RETENCION EN LA FUENTE MES DE MARZO-2019"/>
    <n v="161.6"/>
    <n v="0"/>
    <n v="161.6"/>
    <x v="0"/>
    <x v="0"/>
    <x v="0"/>
    <n v="161.6"/>
    <n v="0"/>
    <n v="161.6"/>
    <x v="0"/>
    <x v="0"/>
    <x v="0"/>
    <n v="161.6"/>
    <n v="0"/>
    <n v="161.6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7191.9"/>
    <n v="0"/>
    <n v="7191.9000000000005"/>
    <x v="0"/>
    <x v="0"/>
    <x v="0"/>
    <n v="7191.9"/>
    <n v="0"/>
    <n v="7191.9000000000005"/>
    <x v="0"/>
    <x v="0"/>
    <x v="0"/>
    <n v="7191.9"/>
    <n v="0"/>
    <n v="7191.9000000000005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5"/>
    <x v="5"/>
    <x v="2"/>
    <x v="2"/>
    <x v="0"/>
    <x v="0"/>
    <s v="06142312021030"/>
    <s v="MUSICAR EL SALVADOR S.A DE CV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796235"/>
    <n v="0"/>
    <n v="796235"/>
    <x v="0"/>
    <x v="0"/>
    <x v="0"/>
    <n v="796235"/>
    <n v="0"/>
    <n v="796235"/>
    <x v="0"/>
    <x v="0"/>
    <x v="0"/>
    <n v="796235"/>
    <n v="0"/>
    <n v="796235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5"/>
    <x v="5"/>
    <x v="2"/>
    <x v="2"/>
    <x v="0"/>
    <x v="0"/>
    <s v="J293759889"/>
    <s v="MUSICAR DE VENEZUELA,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3130"/>
    <n v="0"/>
    <n v="3130"/>
    <x v="0"/>
    <x v="0"/>
    <x v="0"/>
    <n v="3130"/>
    <n v="0"/>
    <n v="3130"/>
    <x v="0"/>
    <x v="0"/>
    <x v="0"/>
    <n v="3130"/>
    <n v="0"/>
    <n v="313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3349.99"/>
    <n v="0"/>
    <n v="3349.9900000000002"/>
    <x v="0"/>
    <x v="0"/>
    <x v="0"/>
    <n v="3349.99"/>
    <n v="0"/>
    <n v="3349.9900000000002"/>
    <x v="0"/>
    <x v="0"/>
    <x v="0"/>
    <n v="3349.99"/>
    <n v="0"/>
    <n v="3349.9900000000002"/>
    <x v="0"/>
    <x v="0"/>
    <x v="0"/>
    <x v="0"/>
    <x v="0"/>
  </r>
  <r>
    <x v="3"/>
    <x v="0"/>
    <x v="0"/>
    <x v="3"/>
    <x v="3"/>
    <x v="4"/>
    <x v="4"/>
    <n v="145"/>
    <s v="1128280824"/>
    <s v="OSORIO SANCHEZ WILSON DARIO"/>
    <s v="20190731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3"/>
    <x v="3"/>
    <x v="0"/>
    <x v="0"/>
    <x v="0"/>
    <x v="0"/>
    <s v="71595034"/>
    <s v="RIOS NARANJO MAR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ENCIÓN DE 1%"/>
    <n v="3200"/>
    <n v="0"/>
    <n v="3200"/>
    <x v="0"/>
    <x v="0"/>
    <x v="0"/>
    <n v="3200"/>
    <n v="0"/>
    <n v="3200"/>
    <x v="0"/>
    <x v="0"/>
    <x v="0"/>
    <n v="3200"/>
    <n v="0"/>
    <n v="3200"/>
    <x v="0"/>
    <x v="0"/>
    <x v="0"/>
    <x v="0"/>
    <x v="0"/>
  </r>
  <r>
    <x v="4"/>
    <x v="0"/>
    <x v="0"/>
    <x v="0"/>
    <x v="0"/>
    <x v="3"/>
    <x v="3"/>
    <n v="349"/>
    <s v="1118283794"/>
    <s v="ROMERO SERNA LEIDY CATALINA"/>
    <s v="20190808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1"/>
    <x v="1"/>
    <x v="1"/>
    <x v="1"/>
    <x v="1"/>
    <x v="1"/>
    <s v="1118283794"/>
    <s v="ROMERO SERNA LEIDY CATAL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ENCION RENTA"/>
    <n v="93600"/>
    <n v="0"/>
    <n v="93600"/>
    <x v="0"/>
    <x v="0"/>
    <x v="0"/>
    <n v="93600"/>
    <n v="0"/>
    <n v="93600"/>
    <x v="0"/>
    <x v="0"/>
    <x v="0"/>
    <n v="93600"/>
    <n v="0"/>
    <n v="93600"/>
    <x v="0"/>
    <x v="0"/>
    <x v="0"/>
    <x v="0"/>
    <x v="0"/>
  </r>
  <r>
    <x v="4"/>
    <x v="0"/>
    <x v="0"/>
    <x v="3"/>
    <x v="3"/>
    <x v="3"/>
    <x v="3"/>
    <n v="167"/>
    <s v="71590620"/>
    <s v="RINCON CARO ODILIO DE JESUS"/>
    <s v="20190822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3"/>
    <x v="3"/>
    <x v="0"/>
    <x v="0"/>
    <x v="0"/>
    <x v="0"/>
    <s v="1037265346"/>
    <s v="RUIZ MORALES JUAN GUILLERM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EGALIZACIÓN ANTICIPO LEVANTAMIENTO DE Y DIBUJO DE REDES C.C. AVENTURA"/>
    <n v="18000"/>
    <n v="0"/>
    <n v="18000"/>
    <x v="0"/>
    <x v="0"/>
    <x v="0"/>
    <n v="18000"/>
    <n v="0"/>
    <n v="18000"/>
    <x v="0"/>
    <x v="0"/>
    <x v="0"/>
    <n v="18000"/>
    <n v="0"/>
    <n v="180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1088032471"/>
    <s v="ARDILA CORTES NATHAL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42140339"/>
    <s v="LILI JOHANA RUIZ GRAJAL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900576027"/>
    <s v="LOMA LIND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1144142603"/>
    <s v="MINA PEREZ YANET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30400"/>
    <n v="0"/>
    <n v="30400"/>
    <x v="0"/>
    <x v="0"/>
    <x v="0"/>
    <n v="30400"/>
    <n v="0"/>
    <n v="30400"/>
    <x v="0"/>
    <x v="0"/>
    <x v="0"/>
    <n v="30400"/>
    <n v="0"/>
    <n v="304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10142334"/>
    <s v="PACHAMAMA HOTEL SP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25650"/>
    <n v="0"/>
    <n v="25650"/>
    <x v="0"/>
    <x v="0"/>
    <x v="0"/>
    <n v="25650"/>
    <n v="0"/>
    <n v="25650"/>
    <x v="0"/>
    <x v="0"/>
    <x v="0"/>
    <n v="25650"/>
    <n v="0"/>
    <n v="2565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1088238756"/>
    <s v="ROMAN PERDOMO MONICA JULIET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1"/>
    <x v="0"/>
    <x v="0"/>
    <x v="0"/>
    <x v="0"/>
    <x v="2"/>
    <x v="2"/>
    <n v="19682"/>
    <s v="890102018"/>
    <s v="MUNICIPIO DE BARRANQUILLA"/>
    <s v="20190222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1"/>
    <x v="1"/>
    <s v="890102018"/>
    <s v="MUNICIPIO DE BARRANQUILL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RRECION DEC 2016 BARRAQUILLA"/>
    <n v="392000"/>
    <n v="0"/>
    <n v="392000"/>
    <x v="0"/>
    <x v="0"/>
    <x v="0"/>
    <n v="392000"/>
    <n v="0"/>
    <n v="392000"/>
    <x v="0"/>
    <x v="0"/>
    <x v="0"/>
    <n v="392000"/>
    <n v="0"/>
    <n v="392000"/>
    <x v="0"/>
    <x v="0"/>
    <x v="0"/>
    <x v="0"/>
    <x v="0"/>
  </r>
  <r>
    <x v="6"/>
    <x v="0"/>
    <x v="0"/>
    <x v="0"/>
    <x v="0"/>
    <x v="2"/>
    <x v="2"/>
    <n v="20251"/>
    <s v="890905211"/>
    <s v="MUNICIPIO DE MEDELLIN - SECRETARIA DE MOVILIDAD"/>
    <s v="20190531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1"/>
    <x v="1"/>
    <s v="890905211"/>
    <s v="MUNICIPIO DE MEDELLIN - SECRETARIA DE MOVILIDA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 PAGO IND Y CIO MEDELLIN - ABRIL Y MAYO 2019"/>
    <n v="26828"/>
    <n v="0"/>
    <n v="26828"/>
    <x v="0"/>
    <x v="0"/>
    <x v="0"/>
    <n v="26828"/>
    <n v="0"/>
    <n v="26828"/>
    <x v="0"/>
    <x v="0"/>
    <x v="0"/>
    <n v="26828"/>
    <n v="0"/>
    <n v="26828"/>
    <x v="0"/>
    <x v="0"/>
    <x v="0"/>
    <x v="0"/>
    <x v="0"/>
  </r>
  <r>
    <x v="2"/>
    <x v="0"/>
    <x v="0"/>
    <x v="4"/>
    <x v="4"/>
    <x v="3"/>
    <x v="3"/>
    <n v="229"/>
    <s v="1098657994"/>
    <s v="HERNANDEZ ROJAS JOHN EDISON"/>
    <s v="20190613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1"/>
    <x v="1"/>
    <s v="1098657994"/>
    <s v="HERNANDEZ ROJAS JOHN EDISO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EGALIZACION AE-229 PAGO SANCION EXTEMPORANEIDAD INDUSTRIA Y COMERCIO BUCARAMANGA"/>
    <n v="171000"/>
    <n v="0"/>
    <n v="171000"/>
    <x v="0"/>
    <x v="0"/>
    <x v="0"/>
    <n v="171000"/>
    <n v="0"/>
    <n v="171000"/>
    <x v="0"/>
    <x v="0"/>
    <x v="0"/>
    <n v="171000"/>
    <n v="0"/>
    <n v="171000"/>
    <x v="0"/>
    <x v="0"/>
    <x v="0"/>
    <x v="0"/>
    <x v="0"/>
  </r>
  <r>
    <x v="2"/>
    <x v="0"/>
    <x v="0"/>
    <x v="4"/>
    <x v="4"/>
    <x v="3"/>
    <x v="3"/>
    <n v="229"/>
    <s v="1098657994"/>
    <s v="HERNANDEZ ROJAS JOHN EDISON"/>
    <s v="20190613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1"/>
    <x v="1"/>
    <s v="890201222"/>
    <s v="MUNICIPIO DE BUCARAMANG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ANCION EXTEMPORANEIDAD INDUSTRIA Y COMERCIO MES DE MARZO REGIONAL BUCARAMANGA"/>
    <n v="171000"/>
    <n v="0"/>
    <n v="171000"/>
    <x v="0"/>
    <x v="0"/>
    <x v="0"/>
    <n v="171000"/>
    <n v="0"/>
    <n v="171000"/>
    <x v="0"/>
    <x v="0"/>
    <x v="0"/>
    <n v="171000"/>
    <n v="0"/>
    <n v="171000"/>
    <x v="0"/>
    <x v="0"/>
    <x v="0"/>
    <x v="0"/>
    <x v="0"/>
  </r>
  <r>
    <x v="4"/>
    <x v="0"/>
    <x v="0"/>
    <x v="4"/>
    <x v="4"/>
    <x v="3"/>
    <x v="3"/>
    <n v="232"/>
    <s v="1098657994"/>
    <s v="HERNANDEZ ROJAS JOHN EDISON"/>
    <s v="20190816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0"/>
    <x v="0"/>
    <s v="890201222"/>
    <s v="MUNICIPIO DE BUCARAMANG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ANCION EXTEMPORANEIDAD IMPUESTO INDUSTRIA Y COMERCIO BUCARAMANGA"/>
    <n v="171000"/>
    <n v="0"/>
    <n v="171000"/>
    <x v="0"/>
    <x v="0"/>
    <x v="0"/>
    <n v="171000"/>
    <n v="0"/>
    <n v="171000"/>
    <x v="0"/>
    <x v="0"/>
    <x v="0"/>
    <n v="171000"/>
    <n v="0"/>
    <n v="171000"/>
    <x v="0"/>
    <x v="0"/>
    <x v="0"/>
    <x v="0"/>
    <x v="0"/>
  </r>
  <r>
    <x v="0"/>
    <x v="0"/>
    <x v="0"/>
    <x v="2"/>
    <x v="2"/>
    <x v="9"/>
    <x v="9"/>
    <n v="1446"/>
    <s v="860049609"/>
    <s v="MILSEN S.A."/>
    <s v="201901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49609"/>
    <s v="MILS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9% ANUAL $679.874"/>
    <n v="679874"/>
    <n v="0"/>
    <n v="679874"/>
    <x v="0"/>
    <x v="0"/>
    <x v="0"/>
    <n v="679874"/>
    <n v="0"/>
    <n v="679874"/>
    <x v="0"/>
    <x v="0"/>
    <x v="0"/>
    <n v="679874"/>
    <n v="0"/>
    <n v="679874"/>
    <x v="0"/>
    <x v="0"/>
    <x v="0"/>
    <x v="0"/>
    <x v="0"/>
  </r>
  <r>
    <x v="0"/>
    <x v="0"/>
    <x v="0"/>
    <x v="5"/>
    <x v="5"/>
    <x v="1"/>
    <x v="1"/>
    <n v="45487"/>
    <s v="800047266"/>
    <s v="QUIMICA COLOMBIANA LTDA"/>
    <s v="201901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7266"/>
    <s v="QUIMICA COLOMBIAN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766"/>
    <n v="0"/>
    <n v="1766"/>
    <x v="0"/>
    <x v="0"/>
    <x v="0"/>
    <n v="1766"/>
    <n v="0"/>
    <n v="1766"/>
    <x v="0"/>
    <x v="0"/>
    <x v="0"/>
    <n v="1766"/>
    <n v="0"/>
    <n v="1766"/>
    <x v="0"/>
    <x v="0"/>
    <x v="0"/>
    <x v="0"/>
    <x v="0"/>
  </r>
  <r>
    <x v="0"/>
    <x v="0"/>
    <x v="0"/>
    <x v="5"/>
    <x v="5"/>
    <x v="9"/>
    <x v="9"/>
    <n v="1198"/>
    <s v="805012610"/>
    <s v="FINESA S.A."/>
    <s v="201901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2610"/>
    <s v="FINES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62.778 En factura."/>
    <n v="62778"/>
    <n v="0"/>
    <n v="62778"/>
    <x v="0"/>
    <x v="0"/>
    <x v="0"/>
    <n v="62778"/>
    <n v="0"/>
    <n v="62778"/>
    <x v="0"/>
    <x v="0"/>
    <x v="0"/>
    <n v="62778"/>
    <n v="0"/>
    <n v="62778"/>
    <x v="0"/>
    <x v="0"/>
    <x v="0"/>
    <x v="0"/>
    <x v="0"/>
  </r>
  <r>
    <x v="0"/>
    <x v="0"/>
    <x v="0"/>
    <x v="5"/>
    <x v="5"/>
    <x v="1"/>
    <x v="1"/>
    <n v="45499"/>
    <s v="805009741"/>
    <s v="COOMEVA MEDICINA PREPAGADA S.A."/>
    <s v="201901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2"/>
    <x v="2"/>
    <x v="9"/>
    <x v="9"/>
    <n v="1449"/>
    <s v="860032450"/>
    <s v="POLLO FIESTA LTDA.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32450"/>
    <s v="POLLO FIESTA LTD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4.5% POR SEMESTRE ANTICIPADO."/>
    <n v="30632"/>
    <n v="0"/>
    <n v="30632"/>
    <x v="0"/>
    <x v="0"/>
    <x v="0"/>
    <n v="30632"/>
    <n v="0"/>
    <n v="30632"/>
    <x v="0"/>
    <x v="0"/>
    <x v="0"/>
    <n v="30632"/>
    <n v="0"/>
    <n v="30632"/>
    <x v="0"/>
    <x v="0"/>
    <x v="0"/>
    <x v="0"/>
    <x v="0"/>
  </r>
  <r>
    <x v="0"/>
    <x v="0"/>
    <x v="0"/>
    <x v="6"/>
    <x v="6"/>
    <x v="9"/>
    <x v="9"/>
    <n v="1106"/>
    <s v="830073145"/>
    <s v="ADMINISTRADORA DE HOTELES NUEVA GRANADA S.A."/>
    <s v="201901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30073145"/>
    <s v="ADMINISTRADORA DE HOTELES NUEVA GRAN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355664 DESCUENTO  DE $ 23.579 POR PAGO ANTICIPADO"/>
    <n v="23579"/>
    <n v="0"/>
    <n v="23579"/>
    <x v="0"/>
    <x v="0"/>
    <x v="0"/>
    <n v="23579"/>
    <n v="0"/>
    <n v="23579"/>
    <x v="0"/>
    <x v="0"/>
    <x v="0"/>
    <n v="23579"/>
    <n v="0"/>
    <n v="23579"/>
    <x v="0"/>
    <x v="0"/>
    <x v="0"/>
    <x v="0"/>
    <x v="0"/>
  </r>
  <r>
    <x v="0"/>
    <x v="0"/>
    <x v="0"/>
    <x v="3"/>
    <x v="3"/>
    <x v="9"/>
    <x v="9"/>
    <n v="1079"/>
    <s v="900163527"/>
    <s v="CENTRO COMERCIAL SAN NICOLAS PROPIEDAD HORIZONTAL"/>
    <s v="201901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163527"/>
    <s v="CENTRO COMERCIAL SAN NICOLAS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354948 - DCTO 9% AÑO ANTICIPADO $ 68920"/>
    <n v="68920"/>
    <n v="0"/>
    <n v="68920"/>
    <x v="0"/>
    <x v="0"/>
    <x v="0"/>
    <n v="68920"/>
    <n v="0"/>
    <n v="68920"/>
    <x v="0"/>
    <x v="0"/>
    <x v="0"/>
    <n v="68920"/>
    <n v="0"/>
    <n v="68920"/>
    <x v="0"/>
    <x v="0"/>
    <x v="0"/>
    <x v="0"/>
    <x v="0"/>
  </r>
  <r>
    <x v="0"/>
    <x v="0"/>
    <x v="0"/>
    <x v="3"/>
    <x v="3"/>
    <x v="9"/>
    <x v="9"/>
    <n v="1080"/>
    <s v="900163527"/>
    <s v="CENTRO COMERCIAL SAN NICOLAS PROPIEDAD HORIZONTAL"/>
    <s v="201901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163527"/>
    <s v="CENTRO COMERCIAL SAN NICOLAS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354450 DCTO 9% PAGO ANTICIPADO 68920"/>
    <n v="68920"/>
    <n v="0"/>
    <n v="68920"/>
    <x v="0"/>
    <x v="0"/>
    <x v="0"/>
    <n v="68920"/>
    <n v="0"/>
    <n v="68920"/>
    <x v="0"/>
    <x v="0"/>
    <x v="0"/>
    <n v="68920"/>
    <n v="0"/>
    <n v="68920"/>
    <x v="0"/>
    <x v="0"/>
    <x v="0"/>
    <x v="0"/>
    <x v="0"/>
  </r>
  <r>
    <x v="0"/>
    <x v="0"/>
    <x v="0"/>
    <x v="1"/>
    <x v="1"/>
    <x v="1"/>
    <x v="1"/>
    <n v="23996"/>
    <s v="890102508"/>
    <s v="SALES INMOBILIARIA S.A."/>
    <s v="201901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56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5"/>
    <x v="5"/>
    <x v="1"/>
    <x v="1"/>
    <n v="45642"/>
    <s v="800196652"/>
    <s v="INSTITUTO CARDIOVASCULAR Y DE ESTUDIOS ESPECIALES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196652"/>
    <s v="INSTITUTO CARDIOVASCULAR Y DE ESTUDIOS ESPECIAL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,"/>
    <n v="228"/>
    <n v="0"/>
    <n v="228"/>
    <x v="0"/>
    <x v="0"/>
    <x v="0"/>
    <n v="228"/>
    <n v="0"/>
    <n v="228"/>
    <x v="0"/>
    <x v="0"/>
    <x v="0"/>
    <n v="228"/>
    <n v="0"/>
    <n v="228"/>
    <x v="0"/>
    <x v="0"/>
    <x v="0"/>
    <x v="0"/>
    <x v="0"/>
  </r>
  <r>
    <x v="0"/>
    <x v="0"/>
    <x v="0"/>
    <x v="5"/>
    <x v="5"/>
    <x v="1"/>
    <x v="1"/>
    <n v="45647"/>
    <s v="890901218"/>
    <s v="TIENDAS DE ROPA INTIMA S.A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01218"/>
    <s v="TIENDAS DE ROPA INTIM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1"/>
    <x v="0"/>
    <x v="0"/>
    <x v="3"/>
    <x v="3"/>
    <x v="1"/>
    <x v="1"/>
    <n v="37092"/>
    <s v="890900943"/>
    <s v="COLOMBIANA DE COMERCIO S.A. Y/O ALKOSTO S.A"/>
    <s v="201902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00943"/>
    <s v="COLOMBIANA DE COMERCIO S.A. Y/O ALKOSTO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5200"/>
    <n v="1239"/>
    <n v="0"/>
    <n v="1239"/>
    <x v="0"/>
    <x v="0"/>
    <x v="0"/>
    <n v="1239"/>
    <n v="0"/>
    <n v="1239"/>
    <x v="0"/>
    <x v="0"/>
    <x v="0"/>
    <n v="1239"/>
    <n v="0"/>
    <n v="1239"/>
    <x v="0"/>
    <x v="0"/>
    <x v="0"/>
    <x v="0"/>
    <x v="0"/>
  </r>
  <r>
    <x v="1"/>
    <x v="0"/>
    <x v="0"/>
    <x v="5"/>
    <x v="5"/>
    <x v="1"/>
    <x v="1"/>
    <n v="45693"/>
    <s v="860046201"/>
    <s v="FORTOX S.A"/>
    <s v="201902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1"/>
    <x v="0"/>
    <x v="0"/>
    <x v="5"/>
    <x v="5"/>
    <x v="1"/>
    <x v="1"/>
    <n v="45694"/>
    <s v="860037900"/>
    <s v="CONSTRUCTORA  BOLIVAR  CALI S.A"/>
    <s v="201902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1"/>
    <x v="0"/>
    <x v="0"/>
    <x v="5"/>
    <x v="5"/>
    <x v="9"/>
    <x v="9"/>
    <n v="1226"/>
    <s v="890300513"/>
    <s v="CLINICA DE OCCIDENTE S.A."/>
    <s v="201902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513"/>
    <s v="CLINICA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descuento del 2.25 %trimestre anticipado.$13.570."/>
    <n v="13570"/>
    <n v="0"/>
    <n v="13570"/>
    <x v="0"/>
    <x v="0"/>
    <x v="0"/>
    <n v="13570"/>
    <n v="0"/>
    <n v="13570"/>
    <x v="0"/>
    <x v="0"/>
    <x v="0"/>
    <n v="13570"/>
    <n v="0"/>
    <n v="13570"/>
    <x v="0"/>
    <x v="0"/>
    <x v="0"/>
    <x v="0"/>
    <x v="0"/>
  </r>
  <r>
    <x v="1"/>
    <x v="0"/>
    <x v="0"/>
    <x v="2"/>
    <x v="2"/>
    <x v="9"/>
    <x v="9"/>
    <n v="1463"/>
    <s v="800076770"/>
    <s v="CORRIENTE ALTERNA LTDA"/>
    <s v="201902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076770"/>
    <s v="CORRIENTE ALTERN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4.5 % POR PAGO DE SEMESTRE ANTICIPADO."/>
    <n v="49881"/>
    <n v="0"/>
    <n v="49881"/>
    <x v="0"/>
    <x v="0"/>
    <x v="0"/>
    <n v="49881"/>
    <n v="0"/>
    <n v="49881"/>
    <x v="0"/>
    <x v="0"/>
    <x v="0"/>
    <n v="49881"/>
    <n v="0"/>
    <n v="49881"/>
    <x v="0"/>
    <x v="0"/>
    <x v="0"/>
    <x v="0"/>
    <x v="0"/>
  </r>
  <r>
    <x v="1"/>
    <x v="0"/>
    <x v="0"/>
    <x v="5"/>
    <x v="5"/>
    <x v="1"/>
    <x v="1"/>
    <n v="45940"/>
    <s v="805009741"/>
    <s v="COOMEVA MEDICINA PREPAGADA S.A."/>
    <s v="201902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OMEV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5"/>
    <x v="5"/>
    <x v="1"/>
    <x v="1"/>
    <n v="45926"/>
    <s v="890304375"/>
    <s v="INDUGRAFICAS SA."/>
    <s v="201902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375"/>
    <s v="INDUGRAFICAS S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591.65"/>
    <n v="0"/>
    <n v="10591.65"/>
    <x v="0"/>
    <x v="0"/>
    <x v="0"/>
    <n v="10591.65"/>
    <n v="0"/>
    <n v="10591.65"/>
    <x v="0"/>
    <x v="0"/>
    <x v="0"/>
    <n v="10591.65"/>
    <n v="0"/>
    <n v="10591.65"/>
    <x v="0"/>
    <x v="0"/>
    <x v="0"/>
    <x v="0"/>
    <x v="0"/>
  </r>
  <r>
    <x v="1"/>
    <x v="0"/>
    <x v="0"/>
    <x v="5"/>
    <x v="5"/>
    <x v="9"/>
    <x v="9"/>
    <n v="1235"/>
    <s v="890315430"/>
    <s v="AGRICOLA COLOMBIANA S.A.-AGRICOL S.A."/>
    <s v="201902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5430"/>
    <s v="AGRICOLA COLOMBIANA S.A.-AGRICOL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MESTRE ANTICIPADO 4.5% DESCUENTO $32.944, RETEIVA $20.865"/>
    <n v="32944"/>
    <n v="0"/>
    <n v="32944"/>
    <x v="0"/>
    <x v="0"/>
    <x v="0"/>
    <n v="32944"/>
    <n v="0"/>
    <n v="32944"/>
    <x v="0"/>
    <x v="0"/>
    <x v="0"/>
    <n v="32944"/>
    <n v="0"/>
    <n v="32944"/>
    <x v="0"/>
    <x v="0"/>
    <x v="0"/>
    <x v="0"/>
    <x v="0"/>
  </r>
  <r>
    <x v="0"/>
    <x v="0"/>
    <x v="0"/>
    <x v="3"/>
    <x v="3"/>
    <x v="1"/>
    <x v="1"/>
    <n v="37029"/>
    <s v="800032634"/>
    <s v="CENTRO COMERCIAL METRO CENTRO 1"/>
    <s v="20190123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3"/>
    <x v="3"/>
    <x v="0"/>
    <x v="0"/>
    <x v="0"/>
    <x v="0"/>
    <s v="800032634"/>
    <s v="CENTRO COMERCIAL METRO CENTRO 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354941"/>
    <n v="13120"/>
    <n v="0"/>
    <n v="13120"/>
    <x v="0"/>
    <x v="0"/>
    <x v="0"/>
    <n v="13120"/>
    <n v="0"/>
    <n v="13120"/>
    <x v="0"/>
    <x v="0"/>
    <x v="0"/>
    <n v="13120"/>
    <n v="0"/>
    <n v="13120"/>
    <x v="0"/>
    <x v="0"/>
    <x v="0"/>
    <x v="0"/>
    <x v="0"/>
  </r>
  <r>
    <x v="5"/>
    <x v="0"/>
    <x v="0"/>
    <x v="3"/>
    <x v="3"/>
    <x v="1"/>
    <x v="1"/>
    <n v="37258"/>
    <s v="811007125"/>
    <s v="RIO ASEO TOTAL"/>
    <s v="20190305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3"/>
    <x v="3"/>
    <x v="0"/>
    <x v="0"/>
    <x v="0"/>
    <x v="0"/>
    <s v="811007125"/>
    <s v="RIO ASEO TO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4540"/>
    <n v="8862"/>
    <n v="0"/>
    <n v="8862"/>
    <x v="0"/>
    <x v="0"/>
    <x v="0"/>
    <n v="8862"/>
    <n v="0"/>
    <n v="8862"/>
    <x v="0"/>
    <x v="0"/>
    <x v="0"/>
    <n v="8862"/>
    <n v="0"/>
    <n v="8862"/>
    <x v="0"/>
    <x v="0"/>
    <x v="0"/>
    <x v="0"/>
    <x v="0"/>
  </r>
  <r>
    <x v="2"/>
    <x v="0"/>
    <x v="0"/>
    <x v="0"/>
    <x v="0"/>
    <x v="0"/>
    <x v="0"/>
    <n v="4316"/>
    <s v="900138858"/>
    <s v="BRECCIA SALUD S.A.S."/>
    <s v="20190619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4"/>
    <x v="4"/>
    <x v="0"/>
    <x v="0"/>
    <x v="0"/>
    <x v="0"/>
    <s v="900138858"/>
    <s v="BRECCIA SALUD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 RETEFUENTE"/>
    <n v="57233"/>
    <n v="0"/>
    <n v="57233"/>
    <x v="0"/>
    <x v="0"/>
    <x v="0"/>
    <n v="57233"/>
    <n v="0"/>
    <n v="57233"/>
    <x v="0"/>
    <x v="0"/>
    <x v="0"/>
    <n v="57233"/>
    <n v="0"/>
    <n v="57233"/>
    <x v="0"/>
    <x v="0"/>
    <x v="0"/>
    <x v="0"/>
    <x v="0"/>
  </r>
  <r>
    <x v="3"/>
    <x v="0"/>
    <x v="0"/>
    <x v="0"/>
    <x v="0"/>
    <x v="0"/>
    <x v="0"/>
    <n v="4342"/>
    <s v="900699086"/>
    <s v="CLINICA PALMA REAL S.A.S"/>
    <s v="20190731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0"/>
    <x v="0"/>
    <x v="0"/>
    <x v="0"/>
    <x v="0"/>
    <x v="0"/>
    <s v="900699086"/>
    <s v="CLINICA PALMA RE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SALDO A FAVOR"/>
    <n v="2086"/>
    <n v="0"/>
    <n v="2086"/>
    <x v="0"/>
    <x v="0"/>
    <x v="0"/>
    <n v="2086"/>
    <n v="0"/>
    <n v="2086"/>
    <x v="0"/>
    <x v="0"/>
    <x v="0"/>
    <n v="2086"/>
    <n v="0"/>
    <n v="2086"/>
    <x v="0"/>
    <x v="0"/>
    <x v="0"/>
    <x v="0"/>
    <x v="0"/>
  </r>
  <r>
    <x v="3"/>
    <x v="0"/>
    <x v="0"/>
    <x v="0"/>
    <x v="0"/>
    <x v="2"/>
    <x v="2"/>
    <n v="20538"/>
    <s v="890905211"/>
    <s v="MUNICIPIO DE MEDELLIN - SECRETARIA DE MOVILIDAD"/>
    <s v="20190730"/>
    <x v="13"/>
    <x v="0"/>
    <x v="13"/>
    <x v="0"/>
    <x v="0"/>
    <x v="0"/>
    <x v="0"/>
    <x v="0"/>
    <x v="2"/>
    <x v="2"/>
    <x v="7"/>
    <x v="7"/>
    <x v="13"/>
    <x v="13"/>
    <x v="13"/>
    <x v="13"/>
    <x v="13"/>
    <x v="13"/>
    <x v="13"/>
    <x v="13"/>
    <x v="1"/>
    <x v="1"/>
    <x v="1"/>
    <x v="1"/>
    <x v="1"/>
    <x v="1"/>
    <s v="890905211"/>
    <s v="MUNICIPIO DE MEDELLIN - SECRETARIA DE MOVILIDA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MPUESTOS CO 464 ( JUNIO/JULIO) 2019"/>
    <n v="26801"/>
    <n v="0"/>
    <n v="26801"/>
    <x v="0"/>
    <x v="0"/>
    <x v="0"/>
    <n v="26801"/>
    <n v="0"/>
    <n v="26801"/>
    <x v="0"/>
    <x v="0"/>
    <x v="0"/>
    <n v="26801"/>
    <n v="0"/>
    <n v="2680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4.699999999997"/>
    <n v="0"/>
    <n v="39864.700000000004"/>
    <x v="0"/>
    <x v="0"/>
    <x v="0"/>
    <n v="0"/>
    <n v="0"/>
    <n v="0"/>
    <x v="0"/>
    <x v="0"/>
    <x v="0"/>
    <n v="39864.699999999997"/>
    <n v="0"/>
    <n v="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4.699999999997"/>
    <n v="-39864.700000000004"/>
    <x v="0"/>
    <x v="0"/>
    <x v="0"/>
    <n v="0"/>
    <n v="0"/>
    <n v="0"/>
    <x v="0"/>
    <x v="0"/>
    <x v="0"/>
    <n v="0"/>
    <n v="39864.699999999997"/>
    <n v="-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4.699999999997"/>
    <n v="0"/>
    <n v="39864.700000000004"/>
    <x v="0"/>
    <x v="0"/>
    <x v="0"/>
    <n v="0"/>
    <n v="0"/>
    <n v="0"/>
    <x v="0"/>
    <x v="0"/>
    <x v="0"/>
    <n v="39864.699999999997"/>
    <n v="0"/>
    <n v="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4.699999999997"/>
    <n v="-39864.700000000004"/>
    <x v="0"/>
    <x v="0"/>
    <x v="0"/>
    <n v="0"/>
    <n v="0"/>
    <n v="0"/>
    <x v="0"/>
    <x v="0"/>
    <x v="0"/>
    <n v="0"/>
    <n v="39864.699999999997"/>
    <n v="-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4.699999999997"/>
    <n v="0"/>
    <n v="39864.700000000004"/>
    <x v="0"/>
    <x v="0"/>
    <x v="0"/>
    <n v="0"/>
    <n v="0"/>
    <n v="0"/>
    <x v="0"/>
    <x v="0"/>
    <x v="0"/>
    <n v="39864.699999999997"/>
    <n v="0"/>
    <n v="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4.699999999997"/>
    <n v="-39864.700000000004"/>
    <x v="0"/>
    <x v="0"/>
    <x v="0"/>
    <n v="0"/>
    <n v="0"/>
    <n v="0"/>
    <x v="0"/>
    <x v="0"/>
    <x v="0"/>
    <n v="0"/>
    <n v="39864.699999999997"/>
    <n v="-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5"/>
    <x v="0"/>
    <x v="0"/>
    <x v="3"/>
    <x v="3"/>
    <x v="7"/>
    <x v="7"/>
    <n v="3485"/>
    <s v="890903407"/>
    <s v="SEGUROS GENERALES SURAMERICANA S.A"/>
    <s v="20190318"/>
    <x v="6"/>
    <x v="0"/>
    <x v="6"/>
    <x v="0"/>
    <x v="0"/>
    <x v="0"/>
    <x v="0"/>
    <x v="0"/>
    <x v="0"/>
    <x v="0"/>
    <x v="6"/>
    <x v="6"/>
    <x v="6"/>
    <x v="6"/>
    <x v="6"/>
    <x v="6"/>
    <x v="6"/>
    <x v="6"/>
    <x v="6"/>
    <x v="6"/>
    <x v="3"/>
    <x v="3"/>
    <x v="0"/>
    <x v="0"/>
    <x v="1"/>
    <x v="1"/>
    <s v="890903407"/>
    <s v="SEGUROS GENERALES SURAMERICAN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OLIZA CUMPLIMIENTO - ESE HOSPITAL MENTAL DE ANTIOQUI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1"/>
    <x v="1"/>
    <x v="4"/>
    <x v="4"/>
    <n v="644"/>
    <s v="1143441764"/>
    <s v="RODRIGUEZ PADILLA GIOVANNI ENRIQUE"/>
    <s v="2019031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520"/>
    <n v="-520"/>
    <x v="0"/>
    <x v="0"/>
    <x v="0"/>
    <n v="0"/>
    <n v="520"/>
    <n v="-520"/>
    <x v="0"/>
    <x v="0"/>
    <x v="0"/>
    <n v="0"/>
    <n v="520"/>
    <n v="-520"/>
    <x v="0"/>
    <x v="0"/>
    <x v="0"/>
    <x v="0"/>
    <x v="0"/>
  </r>
  <r>
    <x v="0"/>
    <x v="0"/>
    <x v="0"/>
    <x v="0"/>
    <x v="0"/>
    <x v="2"/>
    <x v="2"/>
    <n v="19555"/>
    <s v="830053800"/>
    <s v="TELMEX COLOMBIA SA"/>
    <s v="20190124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 TELMEX - CO BOGOT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0"/>
    <x v="0"/>
    <x v="2"/>
    <x v="2"/>
    <n v="19560"/>
    <s v="830122566"/>
    <s v="COLOMBIA TELECOMUNICACIONES S.A.-ESP"/>
    <s v="2019012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S SERVICIOS PUBLICOS Y TEL VARIOS C.O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2"/>
    <x v="2"/>
    <n v="19732"/>
    <s v="890399003"/>
    <s v="EMPRESAS MUNICIPALES DE CALI E.I.C.E.  E.S.P."/>
    <s v="201902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EMCALI- PAGO SERVICIOS PUBLICOS DIR NAL Y CO CALI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2"/>
    <x v="2"/>
    <n v="19828"/>
    <s v="890904996"/>
    <s v="EMPRESAS PUBLICAS DE MEDELLIN ESP"/>
    <s v="2019030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4996"/>
    <s v="EMPRESAS PUBLICAS DE MEDELLIN 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C SERVICIOS  CO 464-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1"/>
    <x v="1"/>
    <x v="4"/>
    <x v="4"/>
    <n v="642"/>
    <s v="72187626"/>
    <s v="ULLOA ORTEGA LUIS FERNANDO"/>
    <s v="20190314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368"/>
    <n v="-368"/>
    <x v="0"/>
    <x v="0"/>
    <x v="0"/>
    <n v="0"/>
    <n v="368"/>
    <n v="-368"/>
    <x v="0"/>
    <x v="0"/>
    <x v="0"/>
    <n v="0"/>
    <n v="368"/>
    <n v="-368"/>
    <x v="0"/>
    <x v="0"/>
    <x v="0"/>
    <x v="0"/>
    <x v="0"/>
  </r>
  <r>
    <x v="5"/>
    <x v="0"/>
    <x v="0"/>
    <x v="1"/>
    <x v="1"/>
    <x v="4"/>
    <x v="4"/>
    <n v="647"/>
    <s v="8763635"/>
    <s v="MOLINA PACHECO LUIS EDUARDO"/>
    <s v="2019032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26"/>
    <n v="0"/>
    <n v="26"/>
    <x v="0"/>
    <x v="0"/>
    <x v="0"/>
    <n v="26"/>
    <n v="0"/>
    <n v="26"/>
    <x v="0"/>
    <x v="0"/>
    <x v="0"/>
    <n v="26"/>
    <n v="0"/>
    <n v="26"/>
    <x v="0"/>
    <x v="0"/>
    <x v="0"/>
    <x v="0"/>
    <x v="0"/>
  </r>
  <r>
    <x v="7"/>
    <x v="0"/>
    <x v="0"/>
    <x v="1"/>
    <x v="1"/>
    <x v="4"/>
    <x v="4"/>
    <n v="649"/>
    <s v="1143441764"/>
    <s v="RODRIGUEZ PADILLA GIOVANNI ENRIQUE"/>
    <s v="2019041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670"/>
    <n v="0"/>
    <n v="670"/>
    <x v="0"/>
    <x v="0"/>
    <x v="0"/>
    <n v="670"/>
    <n v="0"/>
    <n v="670"/>
    <x v="0"/>
    <x v="0"/>
    <x v="0"/>
    <n v="670"/>
    <n v="0"/>
    <n v="670"/>
    <x v="0"/>
    <x v="0"/>
    <x v="0"/>
    <x v="0"/>
    <x v="0"/>
  </r>
  <r>
    <x v="7"/>
    <x v="0"/>
    <x v="0"/>
    <x v="1"/>
    <x v="1"/>
    <x v="4"/>
    <x v="4"/>
    <n v="648"/>
    <s v="72187626"/>
    <s v="ULLOA ORTEGA LUIS FERNANDO"/>
    <s v="2019041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72187626"/>
    <s v="ULLOA ORTEGA LUIS FERNAND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914"/>
    <n v="-914"/>
    <x v="0"/>
    <x v="0"/>
    <x v="0"/>
    <n v="0"/>
    <n v="914"/>
    <n v="-914"/>
    <x v="0"/>
    <x v="0"/>
    <x v="0"/>
    <n v="0"/>
    <n v="914"/>
    <n v="-914"/>
    <x v="0"/>
    <x v="0"/>
    <x v="0"/>
    <x v="0"/>
    <x v="0"/>
  </r>
  <r>
    <x v="7"/>
    <x v="0"/>
    <x v="0"/>
    <x v="0"/>
    <x v="0"/>
    <x v="2"/>
    <x v="2"/>
    <n v="20056"/>
    <s v="890399003"/>
    <s v="EMPRESAS MUNICIPALES DE CALI E.I.C.E.  E.S.P."/>
    <s v="201904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DIR NAL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0"/>
    <x v="0"/>
    <x v="2"/>
    <x v="2"/>
    <n v="20146"/>
    <s v="800197368"/>
    <s v="DIRECCION DE IMPUESTOS Y ADUANAS NACIONALES"/>
    <s v="2019050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DIAN"/>
    <s v="DIAN PAG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RETENCION EN LA FUENTE MES DE ABRIL-2019."/>
    <n v="467.95"/>
    <n v="0"/>
    <n v="467.95"/>
    <x v="0"/>
    <x v="0"/>
    <x v="0"/>
    <n v="467.95"/>
    <n v="0"/>
    <n v="467.95"/>
    <x v="0"/>
    <x v="0"/>
    <x v="0"/>
    <n v="467.95"/>
    <n v="0"/>
    <n v="467.95"/>
    <x v="0"/>
    <x v="0"/>
    <x v="0"/>
    <x v="0"/>
    <x v="0"/>
  </r>
  <r>
    <x v="6"/>
    <x v="0"/>
    <x v="0"/>
    <x v="0"/>
    <x v="0"/>
    <x v="2"/>
    <x v="2"/>
    <n v="20153"/>
    <s v="800197368"/>
    <s v="DIRECCION DE IMPUESTOS Y ADUANAS NACIONALES"/>
    <s v="2019050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DIAN"/>
    <s v="DIAN PAG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VA IIBIMESTRE ABRIL-2019"/>
    <n v="152.61000000000001"/>
    <n v="0"/>
    <n v="152.61000000000001"/>
    <x v="0"/>
    <x v="0"/>
    <x v="0"/>
    <n v="152.61000000000001"/>
    <n v="0"/>
    <n v="152.61000000000001"/>
    <x v="0"/>
    <x v="0"/>
    <x v="0"/>
    <n v="152.61000000000001"/>
    <n v="0"/>
    <n v="152.61000000000001"/>
    <x v="0"/>
    <x v="0"/>
    <x v="0"/>
    <x v="0"/>
    <x v="0"/>
  </r>
  <r>
    <x v="6"/>
    <x v="0"/>
    <x v="0"/>
    <x v="1"/>
    <x v="1"/>
    <x v="4"/>
    <x v="4"/>
    <n v="653"/>
    <s v="72187626"/>
    <s v="ULLOA ORTEGA LUIS FERNANDO"/>
    <s v="2019050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774"/>
    <n v="-774"/>
    <x v="0"/>
    <x v="0"/>
    <x v="0"/>
    <n v="0"/>
    <n v="774"/>
    <n v="-774"/>
    <x v="0"/>
    <x v="0"/>
    <x v="0"/>
    <n v="0"/>
    <n v="774"/>
    <n v="-774"/>
    <x v="0"/>
    <x v="0"/>
    <x v="0"/>
    <x v="0"/>
    <x v="0"/>
  </r>
  <r>
    <x v="6"/>
    <x v="0"/>
    <x v="0"/>
    <x v="0"/>
    <x v="0"/>
    <x v="2"/>
    <x v="2"/>
    <n v="20223"/>
    <s v="830053800"/>
    <s v="TELMEX COLOMBIA SA"/>
    <s v="201905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ELMEX - SERVICIO CO BOGOT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0"/>
    <x v="0"/>
    <x v="2"/>
    <x v="2"/>
    <n v="20342"/>
    <s v="860007660"/>
    <s v="HELM BANK S.A."/>
    <s v="2019062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C 4225"/>
    <n v="0.12"/>
    <n v="0"/>
    <n v="0.12"/>
    <x v="0"/>
    <x v="0"/>
    <x v="0"/>
    <n v="0.12"/>
    <n v="0"/>
    <n v="0.12"/>
    <x v="0"/>
    <x v="0"/>
    <x v="0"/>
    <n v="0.12"/>
    <n v="0"/>
    <n v="0.12"/>
    <x v="0"/>
    <x v="0"/>
    <x v="0"/>
    <x v="0"/>
    <x v="0"/>
  </r>
  <r>
    <x v="2"/>
    <x v="0"/>
    <x v="0"/>
    <x v="0"/>
    <x v="0"/>
    <x v="2"/>
    <x v="2"/>
    <n v="20346"/>
    <s v="800153993"/>
    <s v="COMUNICACIONES CELULAR S A  COMCEL S A"/>
    <s v="2019062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 TELMEX - CO 462 / INGENIERIA-COPYS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0"/>
    <x v="0"/>
    <x v="2"/>
    <x v="2"/>
    <n v="20366"/>
    <s v="72136462"/>
    <s v="GARIZABALO MONTES RAFAEL ANGEL"/>
    <s v="201906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72136462"/>
    <s v="GARIZABALO MONTES RAFAEL ANGE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AJUSTE A NOMINA MES ABRIL-2019"/>
    <n v="25038"/>
    <n v="0"/>
    <n v="25038"/>
    <x v="0"/>
    <x v="0"/>
    <x v="0"/>
    <n v="25038"/>
    <n v="0"/>
    <n v="25038"/>
    <x v="0"/>
    <x v="0"/>
    <x v="0"/>
    <n v="25038"/>
    <n v="0"/>
    <n v="25038"/>
    <x v="0"/>
    <x v="0"/>
    <x v="0"/>
    <x v="0"/>
    <x v="0"/>
  </r>
  <r>
    <x v="2"/>
    <x v="0"/>
    <x v="0"/>
    <x v="0"/>
    <x v="0"/>
    <x v="2"/>
    <x v="2"/>
    <n v="20379"/>
    <s v="890399003"/>
    <s v="EMPRESAS MUNICIPALES DE CALI E.I.C.E.  E.S.P."/>
    <s v="201906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CO 460 Y DIR NAL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39"/>
    <s v="800153993"/>
    <s v="COMUNICACIONES CELULAR S A  COMCEL S A"/>
    <s v="201907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TELMEX SERVICIO CO 462 Y SERVICIO DIR NAL INGENIERIA Y COPYS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47"/>
    <s v="830122566"/>
    <s v="COLOMBIA TELECOMUNICACIONES S.A.-ESP"/>
    <s v="201907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SERVICIOS CO 465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57"/>
    <s v="890399003"/>
    <s v="EMPRESAS MUNICIPALES DE CALI E.I.C.E.  E.S.P."/>
    <s v="201907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DIR NAL Y CO 460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83"/>
    <s v="830114921"/>
    <s v="COLOMBIA MOVIL S.A. E S P"/>
    <s v="201907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14921"/>
    <s v="COLOMBIA MOVIL S.A. E S 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LOCUTOR VIRTUAL CO 465"/>
    <n v="0"/>
    <n v="1"/>
    <n v="-1"/>
    <x v="0"/>
    <x v="0"/>
    <x v="0"/>
    <n v="0"/>
    <n v="1"/>
    <n v="-1"/>
    <x v="0"/>
    <x v="0"/>
    <x v="0"/>
    <n v="0"/>
    <n v="1"/>
    <n v="-1"/>
    <x v="0"/>
    <x v="0"/>
    <x v="0"/>
    <x v="0"/>
    <x v="0"/>
  </r>
  <r>
    <x v="1"/>
    <x v="0"/>
    <x v="0"/>
    <x v="0"/>
    <x v="0"/>
    <x v="2"/>
    <x v="2"/>
    <n v="19765"/>
    <s v="890903938"/>
    <s v="BANCOLOMBIA S.A."/>
    <s v="201902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LEASING"/>
    <n v="299"/>
    <n v="0"/>
    <n v="299"/>
    <x v="0"/>
    <x v="0"/>
    <x v="0"/>
    <n v="299"/>
    <n v="0"/>
    <n v="299"/>
    <x v="0"/>
    <x v="0"/>
    <x v="0"/>
    <n v="299"/>
    <n v="0"/>
    <n v="299"/>
    <x v="0"/>
    <x v="0"/>
    <x v="0"/>
    <x v="0"/>
    <x v="0"/>
  </r>
  <r>
    <x v="5"/>
    <x v="0"/>
    <x v="0"/>
    <x v="0"/>
    <x v="0"/>
    <x v="2"/>
    <x v="2"/>
    <n v="19906"/>
    <s v="890201210"/>
    <s v="EMPRESA DE TELECOMUNICACIONES DE BUCARAMANGA S.A."/>
    <s v="2019032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201210"/>
    <s v="EMPRESA DE TELECOMUNICACIONES DE BUCARAMANG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 TELEFONICO CO 463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2"/>
    <x v="2"/>
    <n v="19917"/>
    <s v="890399003"/>
    <s v="EMPRESAS MUNICIPALES DE CALI E.I.C.E.  E.S.P."/>
    <s v="201903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EMCALI- PAGO DE FACTURAS DE SERVICIOS DIR NAL"/>
    <n v="4"/>
    <n v="0"/>
    <n v="4"/>
    <x v="0"/>
    <x v="0"/>
    <x v="0"/>
    <n v="4"/>
    <n v="0"/>
    <n v="4"/>
    <x v="0"/>
    <x v="0"/>
    <x v="0"/>
    <n v="4"/>
    <n v="0"/>
    <n v="4"/>
    <x v="0"/>
    <x v="0"/>
    <x v="0"/>
    <x v="0"/>
    <x v="0"/>
  </r>
  <r>
    <x v="6"/>
    <x v="0"/>
    <x v="0"/>
    <x v="0"/>
    <x v="0"/>
    <x v="2"/>
    <x v="2"/>
    <n v="20266"/>
    <s v="830122566"/>
    <s v="COLOMBIA TELECOMUNICACIONES S.A.-ESP"/>
    <s v="201905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MOVISTAR - LARGA DISTANCIA DIR NAL - MAYO 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26521"/>
    <n v="0"/>
    <n v="26521"/>
    <x v="0"/>
    <x v="0"/>
    <x v="0"/>
    <n v="26521"/>
    <n v="0"/>
    <n v="26521"/>
    <x v="0"/>
    <x v="0"/>
    <x v="0"/>
    <n v="26521"/>
    <n v="0"/>
    <n v="26521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5"/>
    <x v="5"/>
    <x v="2"/>
    <x v="2"/>
    <x v="0"/>
    <x v="0"/>
    <s v="J293759889"/>
    <s v="MUSICAR DE VENEZUELA,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1164"/>
    <n v="0"/>
    <n v="1164"/>
    <x v="0"/>
    <x v="0"/>
    <x v="0"/>
    <n v="1164"/>
    <n v="0"/>
    <n v="1164"/>
    <x v="0"/>
    <x v="0"/>
    <x v="0"/>
    <n v="1164"/>
    <n v="0"/>
    <n v="1164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5"/>
    <x v="5"/>
    <x v="2"/>
    <x v="2"/>
    <x v="0"/>
    <x v="0"/>
    <s v="J293759889"/>
    <s v="MUSICAR DE VENEZUELA,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3650"/>
    <n v="0"/>
    <n v="3650"/>
    <x v="0"/>
    <x v="0"/>
    <x v="0"/>
    <n v="3650"/>
    <n v="0"/>
    <n v="3650"/>
    <x v="0"/>
    <x v="0"/>
    <x v="0"/>
    <n v="3650"/>
    <n v="0"/>
    <n v="3650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118220"/>
    <n v="0"/>
    <n v="118220"/>
    <x v="0"/>
    <x v="0"/>
    <x v="0"/>
    <n v="118220"/>
    <n v="0"/>
    <n v="118220"/>
    <x v="0"/>
    <x v="0"/>
    <x v="0"/>
    <n v="118220"/>
    <n v="0"/>
    <n v="118220"/>
    <x v="0"/>
    <x v="0"/>
    <x v="0"/>
    <x v="0"/>
    <x v="0"/>
  </r>
  <r>
    <x v="0"/>
    <x v="0"/>
    <x v="0"/>
    <x v="5"/>
    <x v="5"/>
    <x v="1"/>
    <x v="1"/>
    <n v="45417"/>
    <s v="860037900"/>
    <s v="CONSTRUCTORA  BOLIVAR  CALI S.A"/>
    <s v="201901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"/>
    <n v="5549"/>
    <n v="0"/>
    <n v="5549"/>
    <x v="0"/>
    <x v="0"/>
    <x v="0"/>
    <n v="5549"/>
    <n v="0"/>
    <n v="5549"/>
    <x v="0"/>
    <x v="0"/>
    <x v="0"/>
    <n v="5549"/>
    <n v="0"/>
    <n v="5549"/>
    <x v="0"/>
    <x v="0"/>
    <x v="0"/>
    <x v="0"/>
    <x v="0"/>
  </r>
  <r>
    <x v="0"/>
    <x v="0"/>
    <x v="0"/>
    <x v="6"/>
    <x v="6"/>
    <x v="9"/>
    <x v="9"/>
    <n v="1100"/>
    <s v="800021913"/>
    <s v="G.GRAJALES AUTOSERVICIO S.A.S"/>
    <s v="201901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00021913"/>
    <s v="G.GRAJALES AUTOSERVICI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355669 DESCUIENTO POR PAGO ANUAL ANTICIPADO DEL 9 % POR VALOR DE $ 108.180"/>
    <n v="108180"/>
    <n v="0"/>
    <n v="108180"/>
    <x v="0"/>
    <x v="0"/>
    <x v="0"/>
    <n v="108180"/>
    <n v="0"/>
    <n v="108180"/>
    <x v="0"/>
    <x v="0"/>
    <x v="0"/>
    <n v="108180"/>
    <n v="0"/>
    <n v="108180"/>
    <x v="0"/>
    <x v="0"/>
    <x v="0"/>
    <x v="0"/>
    <x v="0"/>
  </r>
  <r>
    <x v="0"/>
    <x v="0"/>
    <x v="0"/>
    <x v="5"/>
    <x v="5"/>
    <x v="1"/>
    <x v="1"/>
    <n v="45476"/>
    <s v="800054863"/>
    <s v="HEMISFERIO TOURS Y CIA LTDA"/>
    <s v="201901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54863"/>
    <s v="HEMISFERIO TOURS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9588"/>
    <n v="0"/>
    <n v="9588"/>
    <x v="0"/>
    <x v="0"/>
    <x v="0"/>
    <n v="9588"/>
    <n v="0"/>
    <n v="9588"/>
    <x v="0"/>
    <x v="0"/>
    <x v="0"/>
    <n v="9588"/>
    <n v="0"/>
    <n v="9588"/>
    <x v="0"/>
    <x v="0"/>
    <x v="0"/>
    <x v="0"/>
    <x v="0"/>
  </r>
  <r>
    <x v="0"/>
    <x v="0"/>
    <x v="0"/>
    <x v="4"/>
    <x v="4"/>
    <x v="1"/>
    <x v="1"/>
    <n v="20063"/>
    <s v="800086042"/>
    <s v="INACAR S.A.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00086042"/>
    <s v="INACAR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3879"/>
    <n v="6712"/>
    <n v="0"/>
    <n v="6712"/>
    <x v="0"/>
    <x v="0"/>
    <x v="0"/>
    <n v="6712"/>
    <n v="0"/>
    <n v="6712"/>
    <x v="0"/>
    <x v="0"/>
    <x v="0"/>
    <n v="6712"/>
    <n v="0"/>
    <n v="6712"/>
    <x v="0"/>
    <x v="0"/>
    <x v="0"/>
    <x v="0"/>
    <x v="0"/>
  </r>
  <r>
    <x v="0"/>
    <x v="0"/>
    <x v="0"/>
    <x v="1"/>
    <x v="1"/>
    <x v="1"/>
    <x v="1"/>
    <n v="23889"/>
    <s v="900205377"/>
    <s v="COMERCIALIZADORA AGROHIERROS S.A.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205377"/>
    <s v="COMERCIALIZADORA AGROHIERRO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75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5"/>
    <x v="5"/>
    <x v="1"/>
    <x v="1"/>
    <n v="45431"/>
    <s v="890300012"/>
    <s v="COLPOZOS  SAS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012"/>
    <s v="COLPOZOS 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80"/>
    <n v="0"/>
    <n v="2880"/>
    <x v="0"/>
    <x v="0"/>
    <x v="0"/>
    <n v="2880"/>
    <n v="0"/>
    <n v="2880"/>
    <x v="0"/>
    <x v="0"/>
    <x v="0"/>
    <n v="2880"/>
    <n v="0"/>
    <n v="2880"/>
    <x v="0"/>
    <x v="0"/>
    <x v="0"/>
    <x v="0"/>
    <x v="0"/>
  </r>
  <r>
    <x v="0"/>
    <x v="0"/>
    <x v="0"/>
    <x v="5"/>
    <x v="5"/>
    <x v="1"/>
    <x v="1"/>
    <n v="45434"/>
    <s v="817001528"/>
    <s v="PAVCO DE OCCIDENTE SAS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7"/>
    <n v="0"/>
    <n v="1407"/>
    <x v="0"/>
    <x v="0"/>
    <x v="0"/>
    <n v="1407"/>
    <n v="0"/>
    <n v="1407"/>
    <x v="0"/>
    <x v="0"/>
    <x v="0"/>
    <n v="1407"/>
    <n v="0"/>
    <n v="1407"/>
    <x v="0"/>
    <x v="0"/>
    <x v="0"/>
    <x v="0"/>
    <x v="0"/>
  </r>
  <r>
    <x v="0"/>
    <x v="0"/>
    <x v="0"/>
    <x v="5"/>
    <x v="5"/>
    <x v="1"/>
    <x v="1"/>
    <n v="45439"/>
    <s v="860046201"/>
    <s v="FORTOX S.A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0"/>
    <x v="0"/>
    <x v="0"/>
    <x v="5"/>
    <x v="5"/>
    <x v="9"/>
    <x v="9"/>
    <n v="1197"/>
    <s v="830510909"/>
    <s v="RIVERCOL S.A."/>
    <s v="201901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30510909"/>
    <s v="RIVERCOL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SEMESTRE ANTICIPADO DESCUENTO 4.5 % $68.589"/>
    <n v="68589"/>
    <n v="0"/>
    <n v="68589"/>
    <x v="0"/>
    <x v="0"/>
    <x v="0"/>
    <n v="68589"/>
    <n v="0"/>
    <n v="68589"/>
    <x v="0"/>
    <x v="0"/>
    <x v="0"/>
    <n v="68589"/>
    <n v="0"/>
    <n v="68589"/>
    <x v="0"/>
    <x v="0"/>
    <x v="0"/>
    <x v="0"/>
    <x v="0"/>
  </r>
  <r>
    <x v="0"/>
    <x v="0"/>
    <x v="0"/>
    <x v="1"/>
    <x v="1"/>
    <x v="1"/>
    <x v="1"/>
    <n v="23919"/>
    <s v="802016130"/>
    <s v="CENTRO COMERCIAL BUENAVISTA"/>
    <s v="201901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130"/>
    <s v="CENTRO COMERCIAL BUENAVIS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2563"/>
    <n v="0.2"/>
    <n v="0"/>
    <n v="0.2"/>
    <x v="0"/>
    <x v="0"/>
    <x v="0"/>
    <n v="0.2"/>
    <n v="0"/>
    <n v="0.2"/>
    <x v="0"/>
    <x v="0"/>
    <x v="0"/>
    <n v="0.2"/>
    <n v="0"/>
    <n v="0.2"/>
    <x v="0"/>
    <x v="0"/>
    <x v="0"/>
    <x v="0"/>
    <x v="0"/>
  </r>
  <r>
    <x v="0"/>
    <x v="0"/>
    <x v="0"/>
    <x v="1"/>
    <x v="1"/>
    <x v="1"/>
    <x v="1"/>
    <n v="23921"/>
    <s v="806012958"/>
    <s v="IPS SALUD DEL CARIBE S.A"/>
    <s v="201901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879 - FVA-354892 - FVA-354897 - FVA-354902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0"/>
    <x v="0"/>
    <x v="0"/>
    <x v="4"/>
    <x v="4"/>
    <x v="1"/>
    <x v="1"/>
    <n v="20111"/>
    <s v="900418536"/>
    <s v="SUMAS CONSTRUCCIONES SAS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418536"/>
    <s v="SUMAS CONSTRUCCIONE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2162"/>
    <n v="1301"/>
    <n v="0"/>
    <n v="1301"/>
    <x v="0"/>
    <x v="0"/>
    <x v="0"/>
    <n v="1301"/>
    <n v="0"/>
    <n v="1301"/>
    <x v="0"/>
    <x v="0"/>
    <x v="0"/>
    <n v="1301"/>
    <n v="0"/>
    <n v="1301"/>
    <x v="0"/>
    <x v="0"/>
    <x v="0"/>
    <x v="0"/>
    <x v="0"/>
  </r>
  <r>
    <x v="0"/>
    <x v="0"/>
    <x v="0"/>
    <x v="4"/>
    <x v="4"/>
    <x v="1"/>
    <x v="1"/>
    <n v="20112"/>
    <s v="900418536"/>
    <s v="SUMAS CONSTRUCCIONES SAS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418536"/>
    <s v="SUMAS CONSTRUCCIONE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2165"/>
    <n v="2082"/>
    <n v="0"/>
    <n v="2082"/>
    <x v="0"/>
    <x v="0"/>
    <x v="0"/>
    <n v="2082"/>
    <n v="0"/>
    <n v="2082"/>
    <x v="0"/>
    <x v="0"/>
    <x v="0"/>
    <n v="2082"/>
    <n v="0"/>
    <n v="2082"/>
    <x v="0"/>
    <x v="0"/>
    <x v="0"/>
    <x v="0"/>
    <x v="0"/>
  </r>
  <r>
    <x v="0"/>
    <x v="0"/>
    <x v="0"/>
    <x v="4"/>
    <x v="4"/>
    <x v="1"/>
    <x v="1"/>
    <n v="20113"/>
    <s v="899999068"/>
    <s v="ECOPETROL S.A.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9999068"/>
    <s v="ECOPETROL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470"/>
    <n v="26716"/>
    <n v="0"/>
    <n v="26716"/>
    <x v="0"/>
    <x v="0"/>
    <x v="0"/>
    <n v="26716"/>
    <n v="0"/>
    <n v="26716"/>
    <x v="0"/>
    <x v="0"/>
    <x v="0"/>
    <n v="26716"/>
    <n v="0"/>
    <n v="26716"/>
    <x v="0"/>
    <x v="0"/>
    <x v="0"/>
    <x v="0"/>
    <x v="0"/>
  </r>
  <r>
    <x v="0"/>
    <x v="0"/>
    <x v="0"/>
    <x v="5"/>
    <x v="5"/>
    <x v="1"/>
    <x v="1"/>
    <n v="45522"/>
    <s v="900203566"/>
    <s v="ABASTECEMOS  DE OCCIDENTE S.A."/>
    <s v="201901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203566"/>
    <s v="ABASTECEMOS 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2865"/>
    <n v="0"/>
    <n v="2865"/>
    <x v="0"/>
    <x v="0"/>
    <x v="0"/>
    <n v="2865"/>
    <n v="0"/>
    <n v="2865"/>
    <x v="0"/>
    <x v="0"/>
    <x v="0"/>
    <n v="2865"/>
    <n v="0"/>
    <n v="2865"/>
    <x v="0"/>
    <x v="0"/>
    <x v="0"/>
    <x v="0"/>
    <x v="0"/>
  </r>
  <r>
    <x v="0"/>
    <x v="0"/>
    <x v="0"/>
    <x v="6"/>
    <x v="6"/>
    <x v="9"/>
    <x v="9"/>
    <n v="1107"/>
    <s v="900729995"/>
    <s v="HOTELES DEL OTUN SAS"/>
    <s v="201901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900729995"/>
    <s v="HOTELES DEL OTUN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355636-565-570 DESCUENTO DEL 9% POR PAGO ANTICIPADO"/>
    <n v="337883"/>
    <n v="0"/>
    <n v="337883"/>
    <x v="0"/>
    <x v="0"/>
    <x v="0"/>
    <n v="337883"/>
    <n v="0"/>
    <n v="337883"/>
    <x v="0"/>
    <x v="0"/>
    <x v="0"/>
    <n v="337883"/>
    <n v="0"/>
    <n v="337883"/>
    <x v="0"/>
    <x v="0"/>
    <x v="0"/>
    <x v="0"/>
    <x v="0"/>
  </r>
  <r>
    <x v="0"/>
    <x v="0"/>
    <x v="0"/>
    <x v="1"/>
    <x v="1"/>
    <x v="1"/>
    <x v="1"/>
    <n v="23992"/>
    <s v="32757237"/>
    <s v="MEDINA OLIVEROS FARATH DIVA"/>
    <s v="201901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2472"/>
    <n v="707"/>
    <n v="0"/>
    <n v="707"/>
    <x v="0"/>
    <x v="0"/>
    <x v="0"/>
    <n v="707"/>
    <n v="0"/>
    <n v="707"/>
    <x v="0"/>
    <x v="0"/>
    <x v="0"/>
    <n v="707"/>
    <n v="0"/>
    <n v="707"/>
    <x v="0"/>
    <x v="0"/>
    <x v="0"/>
    <x v="0"/>
    <x v="0"/>
  </r>
  <r>
    <x v="0"/>
    <x v="0"/>
    <x v="0"/>
    <x v="4"/>
    <x v="4"/>
    <x v="1"/>
    <x v="1"/>
    <n v="20144"/>
    <s v="890201881"/>
    <s v="AVIDESA MAC POLLO S.A."/>
    <s v="201901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01881"/>
    <s v="AVIDESA MAC POLLO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6380"/>
    <n v="1790"/>
    <n v="0"/>
    <n v="1790"/>
    <x v="0"/>
    <x v="0"/>
    <x v="0"/>
    <n v="1790"/>
    <n v="0"/>
    <n v="1790"/>
    <x v="0"/>
    <x v="0"/>
    <x v="0"/>
    <n v="1790"/>
    <n v="0"/>
    <n v="1790"/>
    <x v="0"/>
    <x v="0"/>
    <x v="0"/>
    <x v="0"/>
    <x v="0"/>
  </r>
  <r>
    <x v="0"/>
    <x v="0"/>
    <x v="0"/>
    <x v="4"/>
    <x v="4"/>
    <x v="1"/>
    <x v="1"/>
    <n v="20148"/>
    <s v="890208890"/>
    <s v="ALDIA S.A.S."/>
    <s v="201901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08890"/>
    <s v="ALDI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6402"/>
    <n v="6525"/>
    <n v="0"/>
    <n v="6525"/>
    <x v="0"/>
    <x v="0"/>
    <x v="0"/>
    <n v="6525"/>
    <n v="0"/>
    <n v="6525"/>
    <x v="0"/>
    <x v="0"/>
    <x v="0"/>
    <n v="6525"/>
    <n v="0"/>
    <n v="6525"/>
    <x v="0"/>
    <x v="0"/>
    <x v="0"/>
    <x v="0"/>
    <x v="0"/>
  </r>
  <r>
    <x v="0"/>
    <x v="0"/>
    <x v="0"/>
    <x v="1"/>
    <x v="1"/>
    <x v="1"/>
    <x v="1"/>
    <n v="24005"/>
    <s v="802016306"/>
    <s v="EXPOCONSTRUCCION 43 Y CIA LTDA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766 - FVA-356530"/>
    <n v="64"/>
    <n v="0"/>
    <n v="64"/>
    <x v="0"/>
    <x v="0"/>
    <x v="0"/>
    <n v="64"/>
    <n v="0"/>
    <n v="64"/>
    <x v="0"/>
    <x v="0"/>
    <x v="0"/>
    <n v="64"/>
    <n v="0"/>
    <n v="64"/>
    <x v="0"/>
    <x v="0"/>
    <x v="0"/>
    <x v="0"/>
    <x v="0"/>
  </r>
  <r>
    <x v="0"/>
    <x v="0"/>
    <x v="0"/>
    <x v="1"/>
    <x v="1"/>
    <x v="1"/>
    <x v="1"/>
    <n v="24006"/>
    <s v="901062361"/>
    <s v="INVERSIONES MARCRI S.A.S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A FVA-356565"/>
    <n v="10"/>
    <n v="0"/>
    <n v="10"/>
    <x v="0"/>
    <x v="0"/>
    <x v="0"/>
    <n v="10"/>
    <n v="0"/>
    <n v="10"/>
    <x v="0"/>
    <x v="0"/>
    <x v="0"/>
    <n v="10"/>
    <n v="0"/>
    <n v="10"/>
    <x v="0"/>
    <x v="0"/>
    <x v="0"/>
    <x v="0"/>
    <x v="0"/>
  </r>
  <r>
    <x v="0"/>
    <x v="0"/>
    <x v="0"/>
    <x v="5"/>
    <x v="5"/>
    <x v="1"/>
    <x v="1"/>
    <n v="45634"/>
    <s v="890942766"/>
    <s v="CONSTRUCTORA MONSERRATE DE COLOMBIA S.A.S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42766"/>
    <s v="CONSTRUCTORA MONSERRATE DE COLOMB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."/>
    <n v="3830"/>
    <n v="0"/>
    <n v="3830"/>
    <x v="0"/>
    <x v="0"/>
    <x v="0"/>
    <n v="3830"/>
    <n v="0"/>
    <n v="3830"/>
    <x v="0"/>
    <x v="0"/>
    <x v="0"/>
    <n v="3830"/>
    <n v="0"/>
    <n v="3830"/>
    <x v="0"/>
    <x v="0"/>
    <x v="0"/>
    <x v="0"/>
    <x v="0"/>
  </r>
  <r>
    <x v="0"/>
    <x v="0"/>
    <x v="0"/>
    <x v="5"/>
    <x v="5"/>
    <x v="1"/>
    <x v="1"/>
    <n v="45638"/>
    <s v="890900842"/>
    <s v="C.C. F. COMFENALCO ANTIOQUIA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00842"/>
    <s v="C.C. F. COMFENALCO ANTIOQU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. SE APLICAA FACTUAR ESTE VALOR EN LA CUENTA."/>
    <n v="350"/>
    <n v="0"/>
    <n v="350"/>
    <x v="0"/>
    <x v="0"/>
    <x v="0"/>
    <n v="350"/>
    <n v="0"/>
    <n v="350"/>
    <x v="0"/>
    <x v="0"/>
    <x v="0"/>
    <n v="350"/>
    <n v="0"/>
    <n v="350"/>
    <x v="0"/>
    <x v="0"/>
    <x v="0"/>
    <x v="0"/>
    <x v="0"/>
  </r>
  <r>
    <x v="0"/>
    <x v="0"/>
    <x v="0"/>
    <x v="4"/>
    <x v="4"/>
    <x v="9"/>
    <x v="9"/>
    <n v="221"/>
    <s v="5670719"/>
    <s v="BAYONA SERRANO ANTONIO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5670719"/>
    <s v="BAYONA SERRANO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6400, DESCUENTO DEL 9% POR PAGO ANUAL ANTICIPADO, VALOR DSTO DE $200.582"/>
    <n v="200582"/>
    <n v="0"/>
    <n v="200582"/>
    <x v="0"/>
    <x v="0"/>
    <x v="0"/>
    <n v="200582"/>
    <n v="0"/>
    <n v="200582"/>
    <x v="0"/>
    <x v="0"/>
    <x v="0"/>
    <n v="200582"/>
    <n v="0"/>
    <n v="200582"/>
    <x v="0"/>
    <x v="0"/>
    <x v="0"/>
    <x v="0"/>
    <x v="0"/>
  </r>
  <r>
    <x v="0"/>
    <x v="0"/>
    <x v="0"/>
    <x v="5"/>
    <x v="5"/>
    <x v="1"/>
    <x v="1"/>
    <n v="45618"/>
    <s v="900825179"/>
    <s v="ELIZABETH TRULLAS  CIA S.A.S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50"/>
    <n v="0"/>
    <n v="150"/>
    <x v="0"/>
    <x v="0"/>
    <x v="0"/>
    <n v="150"/>
    <n v="0"/>
    <n v="150"/>
    <x v="0"/>
    <x v="0"/>
    <x v="0"/>
    <n v="150"/>
    <n v="0"/>
    <n v="150"/>
    <x v="0"/>
    <x v="0"/>
    <x v="0"/>
    <x v="0"/>
    <x v="0"/>
  </r>
  <r>
    <x v="0"/>
    <x v="0"/>
    <x v="0"/>
    <x v="5"/>
    <x v="5"/>
    <x v="1"/>
    <x v="1"/>
    <n v="45619"/>
    <s v="890318490"/>
    <s v="FERRETERIA TUBERIAS S.A.S.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0"/>
    <x v="0"/>
    <x v="0"/>
    <x v="5"/>
    <x v="5"/>
    <x v="1"/>
    <x v="1"/>
    <n v="45620"/>
    <s v="900569801"/>
    <s v="MARGARITA PEÑA S.A.S.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0"/>
    <x v="0"/>
    <x v="0"/>
    <x v="5"/>
    <x v="5"/>
    <x v="1"/>
    <x v="1"/>
    <n v="45621"/>
    <s v="890311006"/>
    <s v="FONDO DE EMPLEADOS DE LAS EMP.MPALES DE CALI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DEVOLUCION RETENCION MAL REALIZADA."/>
    <n v="250"/>
    <n v="0"/>
    <n v="250"/>
    <x v="0"/>
    <x v="0"/>
    <x v="0"/>
    <n v="250"/>
    <n v="0"/>
    <n v="250"/>
    <x v="0"/>
    <x v="0"/>
    <x v="0"/>
    <n v="250"/>
    <n v="0"/>
    <n v="250"/>
    <x v="0"/>
    <x v="0"/>
    <x v="0"/>
    <x v="0"/>
    <x v="0"/>
  </r>
  <r>
    <x v="0"/>
    <x v="0"/>
    <x v="0"/>
    <x v="5"/>
    <x v="5"/>
    <x v="1"/>
    <x v="1"/>
    <n v="45623"/>
    <s v="900192072"/>
    <s v="SEOUL MEDICINA ESTETICA INTEGRAL Y SPA S.A.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192072"/>
    <s v="SEOUL MEDICINA ESTETICA INTEGRAL Y SP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591"/>
    <n v="0"/>
    <n v="10591"/>
    <x v="0"/>
    <x v="0"/>
    <x v="0"/>
    <n v="10591"/>
    <n v="0"/>
    <n v="10591"/>
    <x v="0"/>
    <x v="0"/>
    <x v="0"/>
    <n v="10591"/>
    <n v="0"/>
    <n v="10591"/>
    <x v="0"/>
    <x v="0"/>
    <x v="0"/>
    <x v="0"/>
    <x v="0"/>
  </r>
  <r>
    <x v="1"/>
    <x v="0"/>
    <x v="0"/>
    <x v="5"/>
    <x v="5"/>
    <x v="1"/>
    <x v="1"/>
    <n v="45705"/>
    <s v="805002583"/>
    <s v="FARMACIA DROGUERIA SAN JORGE LTDA"/>
    <s v="2019020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2583"/>
    <s v="FARMACIA DROGUERIA SAN JORGE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3"/>
    <x v="3"/>
    <x v="1"/>
    <x v="1"/>
    <n v="37129"/>
    <s v="900041914"/>
    <s v="AVON COLOMBIA S.A.S"/>
    <s v="201902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041914"/>
    <s v="AVON COLOMB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2323"/>
    <n v="399"/>
    <n v="0"/>
    <n v="399"/>
    <x v="0"/>
    <x v="0"/>
    <x v="0"/>
    <n v="399"/>
    <n v="0"/>
    <n v="399"/>
    <x v="0"/>
    <x v="0"/>
    <x v="0"/>
    <n v="399"/>
    <n v="0"/>
    <n v="399"/>
    <x v="0"/>
    <x v="0"/>
    <x v="0"/>
    <x v="0"/>
    <x v="0"/>
  </r>
  <r>
    <x v="1"/>
    <x v="0"/>
    <x v="0"/>
    <x v="6"/>
    <x v="6"/>
    <x v="9"/>
    <x v="9"/>
    <n v="1112"/>
    <s v="900434532"/>
    <s v="SPECIALIZED COLOMBIA S.A.S."/>
    <s v="201902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900434532"/>
    <s v="SPECIALIZED COLOMBI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574 DESCUENTO DEL 9 % POR PAGO ANUAL ANTICIPADO POR VALOR DE 1.851.528 Y RETE IVA DEL 15% POR VALOR DE $ 586.317, Y FAC: 355708 DESCUENTO  9 % POR PAGO ANUAL ANTICIPADO DE $ 105.863 Y RETE IVA $80.573"/>
    <n v="1957391"/>
    <n v="0"/>
    <n v="1957391"/>
    <x v="0"/>
    <x v="0"/>
    <x v="0"/>
    <n v="1957391"/>
    <n v="0"/>
    <n v="1957391"/>
    <x v="0"/>
    <x v="0"/>
    <x v="0"/>
    <n v="1957391"/>
    <n v="0"/>
    <n v="1957391"/>
    <x v="0"/>
    <x v="0"/>
    <x v="0"/>
    <x v="0"/>
    <x v="0"/>
  </r>
  <r>
    <x v="1"/>
    <x v="0"/>
    <x v="0"/>
    <x v="5"/>
    <x v="5"/>
    <x v="1"/>
    <x v="1"/>
    <n v="45895"/>
    <s v="805006389"/>
    <s v="HOSPITAL EN CASA S.A.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6389"/>
    <s v="HOSPITAL EN CAS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346479,348191,349921. BANCOOMEVA"/>
    <n v="3142"/>
    <n v="0"/>
    <n v="3142"/>
    <x v="0"/>
    <x v="0"/>
    <x v="0"/>
    <n v="3142"/>
    <n v="0"/>
    <n v="3142"/>
    <x v="0"/>
    <x v="0"/>
    <x v="0"/>
    <n v="3142"/>
    <n v="0"/>
    <n v="3142"/>
    <x v="0"/>
    <x v="0"/>
    <x v="0"/>
    <x v="0"/>
    <x v="0"/>
  </r>
  <r>
    <x v="1"/>
    <x v="0"/>
    <x v="0"/>
    <x v="2"/>
    <x v="2"/>
    <x v="9"/>
    <x v="9"/>
    <n v="1467"/>
    <s v="830111257"/>
    <s v="GRUPO EMPRESARIAL EN LINEA S.A."/>
    <s v="201902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30111257"/>
    <s v="GRUPO EMPRESARIAL EN LINE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REALIZA PAGO DE AÑO ANTICIPADO APLICA EL 9 %"/>
    <n v="521241"/>
    <n v="0"/>
    <n v="521241"/>
    <x v="0"/>
    <x v="0"/>
    <x v="0"/>
    <n v="521241"/>
    <n v="0"/>
    <n v="521241"/>
    <x v="0"/>
    <x v="0"/>
    <x v="0"/>
    <n v="521241"/>
    <n v="0"/>
    <n v="521241"/>
    <x v="0"/>
    <x v="0"/>
    <x v="0"/>
    <x v="0"/>
    <x v="0"/>
  </r>
  <r>
    <x v="1"/>
    <x v="0"/>
    <x v="0"/>
    <x v="2"/>
    <x v="2"/>
    <x v="9"/>
    <x v="9"/>
    <n v="1470"/>
    <s v="800130907"/>
    <s v="SALUD TOTAL E.P.S-S S.A."/>
    <s v="201902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130907"/>
    <s v="SALUD TOTAL E.P.S-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OR CONCEPTO DE PRONTO PAGO 9% $1.799.872 Y USO PLATAFORMA COMPRANET $50.000"/>
    <n v="1799872"/>
    <n v="0"/>
    <n v="1799872"/>
    <x v="0"/>
    <x v="0"/>
    <x v="0"/>
    <n v="1799872"/>
    <n v="0"/>
    <n v="1799872"/>
    <x v="0"/>
    <x v="0"/>
    <x v="0"/>
    <n v="1799872"/>
    <n v="0"/>
    <n v="1799872"/>
    <x v="0"/>
    <x v="0"/>
    <x v="0"/>
    <x v="0"/>
    <x v="0"/>
  </r>
  <r>
    <x v="1"/>
    <x v="0"/>
    <x v="0"/>
    <x v="2"/>
    <x v="2"/>
    <x v="9"/>
    <x v="9"/>
    <n v="1472"/>
    <s v="860510431"/>
    <s v="ALVARO VELEZ Y CIA S.A.S"/>
    <s v="201902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10431"/>
    <s v="ALVARO VELEZ Y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NTO PAGO 2.25% $8.087 Y RTE ICA $4.960"/>
    <n v="8087"/>
    <n v="0"/>
    <n v="8087"/>
    <x v="0"/>
    <x v="0"/>
    <x v="0"/>
    <n v="8087"/>
    <n v="0"/>
    <n v="8087"/>
    <x v="0"/>
    <x v="0"/>
    <x v="0"/>
    <n v="8087"/>
    <n v="0"/>
    <n v="8087"/>
    <x v="0"/>
    <x v="0"/>
    <x v="0"/>
    <x v="0"/>
    <x v="0"/>
  </r>
  <r>
    <x v="1"/>
    <x v="0"/>
    <x v="0"/>
    <x v="1"/>
    <x v="1"/>
    <x v="1"/>
    <x v="1"/>
    <n v="24079"/>
    <s v="806012958"/>
    <s v="IPS SALUD DEL CARIBE S.A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639 - FVA-356652 - FVA-356658 - FVA-356663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1"/>
    <x v="0"/>
    <x v="0"/>
    <x v="0"/>
    <x v="0"/>
    <x v="0"/>
    <x v="0"/>
    <n v="4278"/>
    <s v="900863024"/>
    <s v="SUPERMERCADO PUNTO &amp; FAMA SAS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863024"/>
    <s v="SUPERMERCADO PUNTO &amp; FAMA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ANTICIP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0"/>
    <x v="0"/>
    <n v="4279"/>
    <s v="900112301"/>
    <s v="SIGMART INGENIERIA SAS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312765"/>
    <s v="COLOMBIAN PARADISE FLOWER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SALDO A FAVOR"/>
    <n v="1836"/>
    <n v="0"/>
    <n v="1836"/>
    <x v="0"/>
    <x v="0"/>
    <x v="0"/>
    <n v="1836"/>
    <n v="0"/>
    <n v="1836"/>
    <x v="0"/>
    <x v="0"/>
    <x v="0"/>
    <n v="1836"/>
    <n v="0"/>
    <n v="1836"/>
    <x v="0"/>
    <x v="0"/>
    <x v="0"/>
    <x v="0"/>
    <x v="0"/>
  </r>
  <r>
    <x v="1"/>
    <x v="0"/>
    <x v="0"/>
    <x v="5"/>
    <x v="5"/>
    <x v="1"/>
    <x v="1"/>
    <n v="45911"/>
    <s v="14606678"/>
    <s v="COLLAZOS ARROYO HAROLD ANDRES"/>
    <s v="201902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4606678"/>
    <s v="COLLAZOS ARROYO HAROLD ANDR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0"/>
    <n v="0"/>
    <n v="100"/>
    <x v="0"/>
    <x v="0"/>
    <x v="0"/>
    <n v="100"/>
    <n v="0"/>
    <n v="100"/>
    <x v="0"/>
    <x v="0"/>
    <x v="0"/>
    <n v="100"/>
    <n v="0"/>
    <n v="100"/>
    <x v="0"/>
    <x v="0"/>
    <x v="0"/>
    <x v="0"/>
    <x v="0"/>
  </r>
  <r>
    <x v="1"/>
    <x v="0"/>
    <x v="0"/>
    <x v="5"/>
    <x v="5"/>
    <x v="1"/>
    <x v="1"/>
    <n v="45914"/>
    <s v="800069469"/>
    <s v="ARTEMISA S.A.S"/>
    <s v="201902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69469"/>
    <s v="ARTEMIS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HELM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0"/>
    <x v="0"/>
    <n v="4281"/>
    <s v="900338137"/>
    <s v="INSTITUTO DE BELLEZA STELLA DURAN RESTREPO"/>
    <s v="201902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338195"/>
    <s v="INSTITUTO DE BELLEZA STELLA DURAN VENEC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ANTICIPO"/>
    <n v="7697"/>
    <n v="0"/>
    <n v="7697"/>
    <x v="0"/>
    <x v="0"/>
    <x v="0"/>
    <n v="7697"/>
    <n v="0"/>
    <n v="7697"/>
    <x v="0"/>
    <x v="0"/>
    <x v="0"/>
    <n v="7697"/>
    <n v="0"/>
    <n v="7697"/>
    <x v="0"/>
    <x v="0"/>
    <x v="0"/>
    <x v="0"/>
    <x v="0"/>
  </r>
  <r>
    <x v="5"/>
    <x v="0"/>
    <x v="0"/>
    <x v="0"/>
    <x v="0"/>
    <x v="0"/>
    <x v="0"/>
    <n v="4283"/>
    <s v="805029384"/>
    <s v="BUENAVISTA CONSTRUCTORA Y PROMOTORA S.A.S"/>
    <s v="20190307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0"/>
    <x v="0"/>
    <x v="0"/>
    <x v="0"/>
    <x v="0"/>
    <x v="0"/>
    <s v="805029384"/>
    <s v="BUENAVISTA CONSTRUCTORA Y PROMOTOR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 RETENCION APLICADA DE MAS EN PAGO AL CLIENTE COMO PROVEEDOR"/>
    <n v="38402"/>
    <n v="0"/>
    <n v="38402"/>
    <x v="0"/>
    <x v="0"/>
    <x v="0"/>
    <n v="38402"/>
    <n v="0"/>
    <n v="38402"/>
    <x v="0"/>
    <x v="0"/>
    <x v="0"/>
    <n v="38402"/>
    <n v="0"/>
    <n v="38402"/>
    <x v="0"/>
    <x v="0"/>
    <x v="0"/>
    <x v="0"/>
    <x v="0"/>
  </r>
  <r>
    <x v="3"/>
    <x v="0"/>
    <x v="0"/>
    <x v="0"/>
    <x v="0"/>
    <x v="0"/>
    <x v="0"/>
    <n v="4338"/>
    <s v="830017656"/>
    <s v="LAGOS DE MALIBU LTDA"/>
    <s v="20190731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4"/>
    <x v="4"/>
    <x v="0"/>
    <x v="0"/>
    <x v="0"/>
    <x v="0"/>
    <s v="1130654183"/>
    <s v="CUENCA ALVAEREZ ALVAR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S SALDOS GASTOS FINANCIEROS"/>
    <n v="72414"/>
    <n v="0"/>
    <n v="72414"/>
    <x v="0"/>
    <x v="0"/>
    <x v="0"/>
    <n v="72414"/>
    <n v="0"/>
    <n v="72414"/>
    <x v="0"/>
    <x v="0"/>
    <x v="0"/>
    <n v="72414"/>
    <n v="0"/>
    <n v="72414"/>
    <x v="0"/>
    <x v="0"/>
    <x v="0"/>
    <x v="0"/>
    <x v="0"/>
  </r>
  <r>
    <x v="7"/>
    <x v="0"/>
    <x v="0"/>
    <x v="0"/>
    <x v="0"/>
    <x v="2"/>
    <x v="2"/>
    <n v="19997"/>
    <s v="890106291"/>
    <s v="ALCALDIA DE SOLEDAD"/>
    <s v="20190422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2"/>
    <x v="2"/>
    <x v="0"/>
    <x v="0"/>
    <x v="0"/>
    <x v="0"/>
    <s v="890106291"/>
    <s v="ALCALDIA DE SOLEDA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IMPUESTO DE INDUSTRIA Y COMERCIO SOLEDAD ATLANTICO"/>
    <n v="524000"/>
    <n v="0"/>
    <n v="524000"/>
    <x v="0"/>
    <x v="0"/>
    <x v="0"/>
    <n v="524000"/>
    <n v="0"/>
    <n v="524000"/>
    <x v="0"/>
    <x v="0"/>
    <x v="0"/>
    <n v="524000"/>
    <n v="0"/>
    <n v="524000"/>
    <x v="0"/>
    <x v="0"/>
    <x v="0"/>
    <x v="0"/>
    <x v="0"/>
  </r>
  <r>
    <x v="0"/>
    <x v="0"/>
    <x v="0"/>
    <x v="3"/>
    <x v="3"/>
    <x v="1"/>
    <x v="1"/>
    <n v="36985"/>
    <s v="811040443"/>
    <s v="B Y B CONSTRUCTORES S.A."/>
    <s v="201901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40443"/>
    <s v="B Y B CONSTRUCTOR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49472"/>
    <n v="1209"/>
    <n v="0"/>
    <n v="1209"/>
    <x v="0"/>
    <x v="0"/>
    <x v="0"/>
    <n v="1209"/>
    <n v="0"/>
    <n v="1209"/>
    <x v="0"/>
    <x v="0"/>
    <x v="0"/>
    <n v="1209"/>
    <n v="0"/>
    <n v="1209"/>
    <x v="0"/>
    <x v="0"/>
    <x v="0"/>
    <x v="0"/>
    <x v="0"/>
  </r>
  <r>
    <x v="0"/>
    <x v="0"/>
    <x v="0"/>
    <x v="3"/>
    <x v="3"/>
    <x v="1"/>
    <x v="1"/>
    <n v="36988"/>
    <s v="811027681"/>
    <s v="URBANIZA S.A."/>
    <s v="201901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27681"/>
    <s v="URBANIZ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CNELA FACTURA # 350658"/>
    <n v="7624"/>
    <n v="0"/>
    <n v="7624"/>
    <x v="0"/>
    <x v="0"/>
    <x v="0"/>
    <n v="7624"/>
    <n v="0"/>
    <n v="7624"/>
    <x v="0"/>
    <x v="0"/>
    <x v="0"/>
    <n v="7624"/>
    <n v="0"/>
    <n v="7624"/>
    <x v="0"/>
    <x v="0"/>
    <x v="0"/>
    <x v="0"/>
    <x v="0"/>
  </r>
  <r>
    <x v="0"/>
    <x v="0"/>
    <x v="0"/>
    <x v="0"/>
    <x v="0"/>
    <x v="0"/>
    <x v="0"/>
    <n v="4267"/>
    <s v="900017447"/>
    <s v="FALABELLA DE COLOMBIA S A"/>
    <s v="201901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093117"/>
    <s v="ARQUITECTURA Y CONCRET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SALDO A FAVOR"/>
    <n v="11098"/>
    <n v="0"/>
    <n v="11098"/>
    <x v="0"/>
    <x v="0"/>
    <x v="0"/>
    <n v="11098"/>
    <n v="0"/>
    <n v="11098"/>
    <x v="0"/>
    <x v="0"/>
    <x v="0"/>
    <n v="11098"/>
    <n v="0"/>
    <n v="11098"/>
    <x v="0"/>
    <x v="0"/>
    <x v="0"/>
    <x v="0"/>
    <x v="0"/>
  </r>
  <r>
    <x v="0"/>
    <x v="0"/>
    <x v="0"/>
    <x v="5"/>
    <x v="5"/>
    <x v="1"/>
    <x v="1"/>
    <n v="45652"/>
    <s v="830037843"/>
    <s v="WINNER GROUP S.A.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30037843"/>
    <s v="WINNER GROUP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"/>
    <n v="280"/>
    <n v="0"/>
    <n v="280"/>
    <x v="0"/>
    <x v="0"/>
    <x v="0"/>
    <n v="280"/>
    <n v="0"/>
    <n v="280"/>
    <x v="0"/>
    <x v="0"/>
    <x v="0"/>
    <n v="280"/>
    <n v="0"/>
    <n v="280"/>
    <x v="0"/>
    <x v="0"/>
    <x v="0"/>
    <x v="0"/>
    <x v="0"/>
  </r>
  <r>
    <x v="1"/>
    <x v="0"/>
    <x v="0"/>
    <x v="5"/>
    <x v="5"/>
    <x v="9"/>
    <x v="9"/>
    <n v="1230"/>
    <s v="800074047"/>
    <s v="REPUESTOS CALI S.A.S"/>
    <s v="201902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74047"/>
    <s v="REPUESTOS CAL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DESCUENTO 9% AÑO ANTICIPADO, DESC EN FACTURA $174.280,OK"/>
    <n v="174280"/>
    <n v="0"/>
    <n v="174280"/>
    <x v="0"/>
    <x v="0"/>
    <x v="0"/>
    <n v="174280"/>
    <n v="0"/>
    <n v="174280"/>
    <x v="0"/>
    <x v="0"/>
    <x v="0"/>
    <n v="174280"/>
    <n v="0"/>
    <n v="174280"/>
    <x v="0"/>
    <x v="0"/>
    <x v="0"/>
    <x v="0"/>
    <x v="0"/>
  </r>
  <r>
    <x v="1"/>
    <x v="0"/>
    <x v="0"/>
    <x v="5"/>
    <x v="5"/>
    <x v="9"/>
    <x v="9"/>
    <n v="1232"/>
    <s v="890308111"/>
    <s v="EL MOLINO-EDUARDO MOLINARI PALACIN &amp; CIA S.EN.C."/>
    <s v="201902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8111"/>
    <s v="EL MOLINO-EDUARDO MOLINARI PALACIN &amp; CIA S.EN.C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AÑO ANTICIPADO 9% EN FACTURA OK, $130.634"/>
    <n v="130634"/>
    <n v="0"/>
    <n v="130634"/>
    <x v="0"/>
    <x v="0"/>
    <x v="0"/>
    <n v="130634"/>
    <n v="0"/>
    <n v="130634"/>
    <x v="0"/>
    <x v="0"/>
    <x v="0"/>
    <n v="130634"/>
    <n v="0"/>
    <n v="130634"/>
    <x v="0"/>
    <x v="0"/>
    <x v="0"/>
    <x v="0"/>
    <x v="0"/>
  </r>
  <r>
    <x v="3"/>
    <x v="0"/>
    <x v="0"/>
    <x v="6"/>
    <x v="6"/>
    <x v="9"/>
    <x v="9"/>
    <n v="1157"/>
    <s v="900947448"/>
    <s v="CFCA INGENIERIA S.A.S"/>
    <s v="20190723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6"/>
    <x v="6"/>
    <x v="0"/>
    <x v="0"/>
    <x v="0"/>
    <x v="0"/>
    <s v="900947448"/>
    <s v="CFCA INGENIER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642 CLIENTE PAGO $116.109 DEMAS POR IVA QUE NO SE DESCONTO"/>
    <n v="0"/>
    <n v="116109"/>
    <n v="-116109"/>
    <x v="0"/>
    <x v="0"/>
    <x v="0"/>
    <n v="0"/>
    <n v="116109"/>
    <n v="-116109"/>
    <x v="0"/>
    <x v="0"/>
    <x v="0"/>
    <n v="0"/>
    <n v="116109"/>
    <n v="-11610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8038.07"/>
    <n v="0"/>
    <n v="8038.0700000000006"/>
    <x v="0"/>
    <x v="0"/>
    <x v="0"/>
    <n v="8038.07"/>
    <n v="0"/>
    <n v="8038.0700000000006"/>
    <x v="0"/>
    <x v="0"/>
    <x v="0"/>
    <n v="8038.07"/>
    <n v="0"/>
    <n v="8038.070000000000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21323.19"/>
    <n v="0"/>
    <n v="21323.19"/>
    <x v="0"/>
    <x v="0"/>
    <x v="0"/>
    <n v="21323.19"/>
    <n v="0"/>
    <n v="21323.19"/>
    <x v="0"/>
    <x v="0"/>
    <x v="0"/>
    <n v="21323.19"/>
    <n v="0"/>
    <n v="21323.1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9254.46"/>
    <n v="0"/>
    <n v="19254.46"/>
    <x v="0"/>
    <x v="0"/>
    <x v="0"/>
    <n v="19254.46"/>
    <n v="0"/>
    <n v="19254.46"/>
    <x v="0"/>
    <x v="0"/>
    <x v="0"/>
    <n v="19254.46"/>
    <n v="0"/>
    <n v="19254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9128.12"/>
    <n v="0"/>
    <n v="19128.12"/>
    <x v="0"/>
    <x v="0"/>
    <x v="0"/>
    <n v="19128.12"/>
    <n v="0"/>
    <n v="19128.12"/>
    <x v="0"/>
    <x v="0"/>
    <x v="0"/>
    <n v="19128.12"/>
    <n v="0"/>
    <n v="19128.1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5633.97"/>
    <n v="0"/>
    <n v="15633.970000000001"/>
    <x v="0"/>
    <x v="0"/>
    <x v="0"/>
    <n v="15633.97"/>
    <n v="0"/>
    <n v="15633.970000000001"/>
    <x v="0"/>
    <x v="0"/>
    <x v="0"/>
    <n v="15633.97"/>
    <n v="0"/>
    <n v="15633.97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0064.459999999999"/>
    <n v="0"/>
    <n v="10064.460000000001"/>
    <x v="0"/>
    <x v="0"/>
    <x v="0"/>
    <n v="10064.459999999999"/>
    <n v="0"/>
    <n v="10064.460000000001"/>
    <x v="0"/>
    <x v="0"/>
    <x v="0"/>
    <n v="10064.459999999999"/>
    <n v="0"/>
    <n v="10064.460000000001"/>
    <x v="0"/>
    <x v="0"/>
    <x v="0"/>
    <x v="0"/>
    <x v="0"/>
  </r>
  <r>
    <x v="6"/>
    <x v="0"/>
    <x v="0"/>
    <x v="3"/>
    <x v="3"/>
    <x v="3"/>
    <x v="3"/>
    <n v="162"/>
    <s v="1128280824"/>
    <s v="OSORIO SANCHEZ WILSON DARIO"/>
    <s v="20190531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1"/>
    <x v="1"/>
    <x v="1"/>
    <x v="1"/>
    <x v="1"/>
    <x v="1"/>
    <s v="98578076"/>
    <s v="VELEZ VARGAS ELBER ELI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TRANSPORTE DESINSTALACIÓN CLIENTE MAXIMO"/>
    <n v="3500"/>
    <n v="0"/>
    <n v="3500"/>
    <x v="0"/>
    <x v="0"/>
    <x v="0"/>
    <n v="3500"/>
    <n v="0"/>
    <n v="3500"/>
    <x v="0"/>
    <x v="0"/>
    <x v="0"/>
    <n v="3500"/>
    <n v="0"/>
    <n v="3500"/>
    <x v="0"/>
    <x v="0"/>
    <x v="0"/>
    <x v="0"/>
    <x v="0"/>
  </r>
  <r>
    <x v="2"/>
    <x v="0"/>
    <x v="0"/>
    <x v="0"/>
    <x v="0"/>
    <x v="3"/>
    <x v="3"/>
    <n v="347"/>
    <s v="16632990"/>
    <s v="MUNERA ANGUS JUAN GUILLERMO"/>
    <s v="20190605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1"/>
    <x v="1"/>
    <x v="1"/>
    <x v="1"/>
    <x v="1"/>
    <x v="1"/>
    <s v="900376423"/>
    <s v="RESTAURANTE TORTELL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LMUERZO DE TRABAJO ABOGADO LABORAL -MARCO CARRASQUILLA, ANA MARIA VALLEJO Y JUAN GUILLERMO MUNERA"/>
    <n v="6524"/>
    <n v="0"/>
    <n v="6524"/>
    <x v="0"/>
    <x v="0"/>
    <x v="0"/>
    <n v="6524"/>
    <n v="0"/>
    <n v="6524"/>
    <x v="0"/>
    <x v="0"/>
    <x v="0"/>
    <n v="6524"/>
    <n v="0"/>
    <n v="6524"/>
    <x v="0"/>
    <x v="0"/>
    <x v="0"/>
    <x v="0"/>
    <x v="0"/>
  </r>
  <r>
    <x v="0"/>
    <x v="0"/>
    <x v="0"/>
    <x v="4"/>
    <x v="4"/>
    <x v="1"/>
    <x v="1"/>
    <n v="20154"/>
    <s v="890211796"/>
    <s v="CENTRO COMERCIAL CANAVERAL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11796"/>
    <s v="CENTRO COMERCIAL CANAVER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6388"/>
    <n v="1736"/>
    <n v="0"/>
    <n v="1736"/>
    <x v="0"/>
    <x v="0"/>
    <x v="0"/>
    <n v="1736"/>
    <n v="0"/>
    <n v="1736"/>
    <x v="0"/>
    <x v="0"/>
    <x v="0"/>
    <n v="1736"/>
    <n v="0"/>
    <n v="1736"/>
    <x v="0"/>
    <x v="0"/>
    <x v="0"/>
    <x v="0"/>
    <x v="0"/>
  </r>
  <r>
    <x v="1"/>
    <x v="0"/>
    <x v="0"/>
    <x v="5"/>
    <x v="5"/>
    <x v="1"/>
    <x v="1"/>
    <n v="45733"/>
    <s v="890300012"/>
    <s v="COLPOZOS  SAS"/>
    <s v="201902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012"/>
    <s v="COLPOZOS 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80"/>
    <n v="0"/>
    <n v="2880"/>
    <x v="0"/>
    <x v="0"/>
    <x v="0"/>
    <n v="2880"/>
    <n v="0"/>
    <n v="2880"/>
    <x v="0"/>
    <x v="0"/>
    <x v="0"/>
    <n v="2880"/>
    <n v="0"/>
    <n v="2880"/>
    <x v="0"/>
    <x v="0"/>
    <x v="0"/>
    <x v="0"/>
    <x v="0"/>
  </r>
  <r>
    <x v="1"/>
    <x v="0"/>
    <x v="0"/>
    <x v="5"/>
    <x v="5"/>
    <x v="1"/>
    <x v="1"/>
    <n v="45735"/>
    <s v="817001528"/>
    <s v="PAVCO DE OCCIDENTE SAS"/>
    <s v="201902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7"/>
    <n v="0"/>
    <n v="1407"/>
    <x v="0"/>
    <x v="0"/>
    <x v="0"/>
    <n v="1407"/>
    <n v="0"/>
    <n v="1407"/>
    <x v="0"/>
    <x v="0"/>
    <x v="0"/>
    <n v="1407"/>
    <n v="0"/>
    <n v="1407"/>
    <x v="0"/>
    <x v="0"/>
    <x v="0"/>
    <x v="0"/>
    <x v="0"/>
  </r>
  <r>
    <x v="1"/>
    <x v="0"/>
    <x v="0"/>
    <x v="1"/>
    <x v="1"/>
    <x v="1"/>
    <x v="1"/>
    <n v="24091"/>
    <s v="892115006"/>
    <s v="CAJA DE COMP. FAMILIAR DE LA GUAJIRA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2115006"/>
    <s v="CAJA DE COMP. FAMILIAR DE LA GUAJIR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830"/>
    <n v="3644"/>
    <n v="0"/>
    <n v="3644"/>
    <x v="0"/>
    <x v="0"/>
    <x v="0"/>
    <n v="3644"/>
    <n v="0"/>
    <n v="3644"/>
    <x v="0"/>
    <x v="0"/>
    <x v="0"/>
    <n v="3644"/>
    <n v="0"/>
    <n v="3644"/>
    <x v="0"/>
    <x v="0"/>
    <x v="0"/>
    <x v="0"/>
    <x v="0"/>
  </r>
  <r>
    <x v="0"/>
    <x v="0"/>
    <x v="0"/>
    <x v="3"/>
    <x v="3"/>
    <x v="1"/>
    <x v="1"/>
    <n v="36993"/>
    <s v="811007125"/>
    <s v="RIO ASEO TOTAL"/>
    <s v="20190110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3"/>
    <x v="3"/>
    <x v="0"/>
    <x v="0"/>
    <x v="0"/>
    <x v="0"/>
    <s v="811007125"/>
    <s v="RIO ASEO TO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0580_x000d__x000a_RETIENE ESTAMPILLAS $8.862"/>
    <n v="8862"/>
    <n v="0"/>
    <n v="8862"/>
    <x v="0"/>
    <x v="0"/>
    <x v="0"/>
    <n v="8862"/>
    <n v="0"/>
    <n v="8862"/>
    <x v="0"/>
    <x v="0"/>
    <x v="0"/>
    <n v="8862"/>
    <n v="0"/>
    <n v="8862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7"/>
    <x v="0"/>
    <x v="0"/>
    <x v="0"/>
    <x v="0"/>
    <x v="2"/>
    <x v="2"/>
    <n v="20039"/>
    <s v="900092385"/>
    <s v="EPM TELECOMUNICACIONES S.A.  E.S.P."/>
    <s v="2019042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OS PUBLICOS VARIOS C.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0"/>
    <x v="0"/>
    <x v="2"/>
    <x v="2"/>
    <n v="20213"/>
    <s v="890201222"/>
    <s v="MUNICIPIO DE BUCARAMANGA"/>
    <s v="20190529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7"/>
    <x v="7"/>
    <x v="0"/>
    <x v="0"/>
    <x v="0"/>
    <x v="0"/>
    <s v="890201222"/>
    <s v="MUNICIPIO DE BUCARAMANG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EXTEMPORANEIDAD IMPUESTO INDUSTRIA Y COMERCIO BUCARAMANGA"/>
    <n v="342000"/>
    <n v="0"/>
    <n v="342000"/>
    <x v="0"/>
    <x v="0"/>
    <x v="0"/>
    <n v="342000"/>
    <n v="0"/>
    <n v="342000"/>
    <x v="0"/>
    <x v="0"/>
    <x v="0"/>
    <n v="342000"/>
    <n v="0"/>
    <n v="342000"/>
    <x v="0"/>
    <x v="0"/>
    <x v="0"/>
    <x v="0"/>
    <x v="0"/>
  </r>
  <r>
    <x v="0"/>
    <x v="0"/>
    <x v="0"/>
    <x v="5"/>
    <x v="5"/>
    <x v="1"/>
    <x v="1"/>
    <n v="45393"/>
    <s v="800048954"/>
    <s v="CLINICA VERSALLES S.A."/>
    <s v="2019010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2748"/>
    <n v="0"/>
    <n v="12748"/>
    <x v="0"/>
    <x v="0"/>
    <x v="0"/>
    <n v="12748"/>
    <n v="0"/>
    <n v="12748"/>
    <x v="0"/>
    <x v="0"/>
    <x v="0"/>
    <n v="12748"/>
    <n v="0"/>
    <n v="12748"/>
    <x v="0"/>
    <x v="0"/>
    <x v="0"/>
    <x v="0"/>
    <x v="0"/>
  </r>
  <r>
    <x v="0"/>
    <x v="0"/>
    <x v="0"/>
    <x v="1"/>
    <x v="1"/>
    <x v="1"/>
    <x v="1"/>
    <n v="23888"/>
    <s v="890107487"/>
    <s v="SUPERTIENDAS Y DROGUERIAS OLIMPICA S.A."/>
    <s v="2019010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7487"/>
    <s v="SUPERTIENDAS Y DROGUERIAS OLIMPIC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ON DE FACTURAS SEGUN RELACION ADJUNTA"/>
    <n v="5"/>
    <n v="0"/>
    <n v="5"/>
    <x v="0"/>
    <x v="0"/>
    <x v="0"/>
    <n v="5"/>
    <n v="0"/>
    <n v="5"/>
    <x v="0"/>
    <x v="0"/>
    <x v="0"/>
    <n v="5"/>
    <n v="0"/>
    <n v="5"/>
    <x v="0"/>
    <x v="0"/>
    <x v="0"/>
    <x v="0"/>
    <x v="0"/>
  </r>
  <r>
    <x v="0"/>
    <x v="0"/>
    <x v="0"/>
    <x v="2"/>
    <x v="2"/>
    <x v="9"/>
    <x v="9"/>
    <n v="1454"/>
    <s v="800212060"/>
    <s v="PARQUE COMERCIAL LA COLINA 138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212060"/>
    <s v="PARQUE COMERCIAL LA COLINA 1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9% PAGO ANUAL $135.751"/>
    <n v="135751"/>
    <n v="0"/>
    <n v="135751"/>
    <x v="0"/>
    <x v="0"/>
    <x v="0"/>
    <n v="135751"/>
    <n v="0"/>
    <n v="135751"/>
    <x v="0"/>
    <x v="0"/>
    <x v="0"/>
    <n v="135751"/>
    <n v="0"/>
    <n v="135751"/>
    <x v="0"/>
    <x v="0"/>
    <x v="0"/>
    <x v="0"/>
    <x v="0"/>
  </r>
  <r>
    <x v="1"/>
    <x v="0"/>
    <x v="0"/>
    <x v="5"/>
    <x v="5"/>
    <x v="1"/>
    <x v="1"/>
    <n v="45792"/>
    <s v="800048954"/>
    <s v="CLINICA VERSALLES S.A."/>
    <s v="201902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500"/>
    <n v="0"/>
    <n v="6500"/>
    <x v="0"/>
    <x v="0"/>
    <x v="0"/>
    <n v="6500"/>
    <n v="0"/>
    <n v="6500"/>
    <x v="0"/>
    <x v="0"/>
    <x v="0"/>
    <n v="6500"/>
    <n v="0"/>
    <n v="6500"/>
    <x v="0"/>
    <x v="0"/>
    <x v="0"/>
    <x v="0"/>
    <x v="0"/>
  </r>
  <r>
    <x v="1"/>
    <x v="0"/>
    <x v="0"/>
    <x v="1"/>
    <x v="1"/>
    <x v="1"/>
    <x v="1"/>
    <n v="24058"/>
    <s v="890102508"/>
    <s v="SALES INMOBILIARIA S.A."/>
    <s v="201902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48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1"/>
    <x v="1"/>
    <x v="9"/>
    <x v="9"/>
    <n v="363"/>
    <s v="860007627"/>
    <s v="COMPAÑIA DE JESUS"/>
    <s v="201902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60007627"/>
    <s v="COMPAÑIA DE JESU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66, SE APLICA EL DESCUENTO FINANCIERO DEL 9% POR PAGO DE AÑO ANTICIPADO. APLICA RETENCION DE ICA POR VALOR DE $13.816"/>
    <n v="155432"/>
    <n v="0"/>
    <n v="155432"/>
    <x v="0"/>
    <x v="0"/>
    <x v="0"/>
    <n v="155432"/>
    <n v="0"/>
    <n v="155432"/>
    <x v="0"/>
    <x v="0"/>
    <x v="0"/>
    <n v="155432"/>
    <n v="0"/>
    <n v="155432"/>
    <x v="0"/>
    <x v="0"/>
    <x v="0"/>
    <x v="0"/>
    <x v="0"/>
  </r>
  <r>
    <x v="1"/>
    <x v="0"/>
    <x v="0"/>
    <x v="3"/>
    <x v="3"/>
    <x v="9"/>
    <x v="9"/>
    <n v="1088"/>
    <s v="890929647"/>
    <s v="QUIMICOS Y PLASTICOS INDUSTRIALES S.A."/>
    <s v="201902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29647"/>
    <s v="QUIMICOS Y PLASTICOS INDUSTRIA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7679 CANCELA CON DCTO DEL 9% POR PRONTO PAGO $112.938"/>
    <n v="112938"/>
    <n v="0"/>
    <n v="112938"/>
    <x v="0"/>
    <x v="0"/>
    <x v="0"/>
    <n v="112938"/>
    <n v="0"/>
    <n v="112938"/>
    <x v="0"/>
    <x v="0"/>
    <x v="0"/>
    <n v="112938"/>
    <n v="0"/>
    <n v="112938"/>
    <x v="0"/>
    <x v="0"/>
    <x v="0"/>
    <x v="0"/>
    <x v="0"/>
  </r>
  <r>
    <x v="1"/>
    <x v="0"/>
    <x v="0"/>
    <x v="3"/>
    <x v="3"/>
    <x v="1"/>
    <x v="1"/>
    <n v="37154"/>
    <s v="811046900"/>
    <s v="CENTRO CARDIOVASCULAR COLOMBIANO - CLINICA SANTA M"/>
    <s v="201902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46900"/>
    <s v="CENTRO CARDIOVASCULAR COLOMBIANO - CLINICA SANTA M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CNELA FACTURA #"/>
    <n v="2629"/>
    <n v="0"/>
    <n v="2629"/>
    <x v="0"/>
    <x v="0"/>
    <x v="0"/>
    <n v="2629"/>
    <n v="0"/>
    <n v="2629"/>
    <x v="0"/>
    <x v="0"/>
    <x v="0"/>
    <n v="2629"/>
    <n v="0"/>
    <n v="262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75574.59"/>
    <n v="0"/>
    <n v="175574.59"/>
    <x v="0"/>
    <x v="0"/>
    <x v="0"/>
    <n v="175574.59"/>
    <n v="0"/>
    <n v="175574.59"/>
    <x v="0"/>
    <x v="0"/>
    <x v="0"/>
    <n v="175574.59"/>
    <n v="0"/>
    <n v="175574.5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381.98"/>
    <n v="0"/>
    <n v="381.98"/>
    <x v="0"/>
    <x v="0"/>
    <x v="0"/>
    <n v="381.98"/>
    <n v="0"/>
    <n v="381.98"/>
    <x v="0"/>
    <x v="0"/>
    <x v="0"/>
    <n v="381.98"/>
    <n v="0"/>
    <n v="381.98"/>
    <x v="0"/>
    <x v="0"/>
    <x v="0"/>
    <x v="0"/>
    <x v="0"/>
  </r>
  <r>
    <x v="0"/>
    <x v="0"/>
    <x v="0"/>
    <x v="6"/>
    <x v="6"/>
    <x v="9"/>
    <x v="9"/>
    <n v="1102"/>
    <s v="810003155"/>
    <s v="CENTRO DE NEGOCIOS SIGLO XXI"/>
    <s v="201901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10003155"/>
    <s v="CENTRO DE NEGOCIOS SIGLO XX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355688 DESCUENTO DEL 9% POR PAGO ANUAL ANTICIPADO DE $82.808"/>
    <n v="82808"/>
    <n v="0"/>
    <n v="82808"/>
    <x v="0"/>
    <x v="0"/>
    <x v="0"/>
    <n v="82808"/>
    <n v="0"/>
    <n v="82808"/>
    <x v="0"/>
    <x v="0"/>
    <x v="0"/>
    <n v="82808"/>
    <n v="0"/>
    <n v="82808"/>
    <x v="0"/>
    <x v="0"/>
    <x v="0"/>
    <x v="0"/>
    <x v="0"/>
  </r>
  <r>
    <x v="0"/>
    <x v="0"/>
    <x v="0"/>
    <x v="5"/>
    <x v="5"/>
    <x v="1"/>
    <x v="1"/>
    <n v="45504"/>
    <s v="1509246"/>
    <s v="MORALES SANTACRUZ JESUS ANTONIO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91"/>
    <n v="0"/>
    <n v="791"/>
    <x v="0"/>
    <x v="0"/>
    <x v="0"/>
    <n v="791"/>
    <n v="0"/>
    <n v="791"/>
    <x v="0"/>
    <x v="0"/>
    <x v="0"/>
    <n v="791"/>
    <n v="0"/>
    <n v="791"/>
    <x v="0"/>
    <x v="0"/>
    <x v="0"/>
    <x v="0"/>
    <x v="0"/>
  </r>
  <r>
    <x v="0"/>
    <x v="0"/>
    <x v="0"/>
    <x v="5"/>
    <x v="5"/>
    <x v="1"/>
    <x v="1"/>
    <n v="45505"/>
    <s v="650187917"/>
    <s v="FREI  HEINRICH ERNEST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50187917"/>
    <s v="FREI  HEINRICH ERNEST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60"/>
    <n v="0"/>
    <n v="660"/>
    <x v="0"/>
    <x v="0"/>
    <x v="0"/>
    <n v="660"/>
    <n v="0"/>
    <n v="660"/>
    <x v="0"/>
    <x v="0"/>
    <x v="0"/>
    <n v="660"/>
    <n v="0"/>
    <n v="660"/>
    <x v="0"/>
    <x v="0"/>
    <x v="0"/>
    <x v="0"/>
    <x v="0"/>
  </r>
  <r>
    <x v="0"/>
    <x v="0"/>
    <x v="0"/>
    <x v="1"/>
    <x v="1"/>
    <x v="1"/>
    <x v="1"/>
    <n v="23937"/>
    <s v="892115006"/>
    <s v="CAJA DE COMP. FAMILIAR DE LA GUAJIRA"/>
    <s v="201901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2115006"/>
    <s v="CAJA DE COMP. FAMILIAR DE LA GUAJIR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0880  - FV5-651"/>
    <n v="3653"/>
    <n v="0"/>
    <n v="3653"/>
    <x v="0"/>
    <x v="0"/>
    <x v="0"/>
    <n v="3653"/>
    <n v="0"/>
    <n v="3653"/>
    <x v="0"/>
    <x v="0"/>
    <x v="0"/>
    <n v="3653"/>
    <n v="0"/>
    <n v="3653"/>
    <x v="0"/>
    <x v="0"/>
    <x v="0"/>
    <x v="0"/>
    <x v="0"/>
  </r>
  <r>
    <x v="0"/>
    <x v="0"/>
    <x v="0"/>
    <x v="1"/>
    <x v="1"/>
    <x v="1"/>
    <x v="1"/>
    <n v="23941"/>
    <s v="900061516"/>
    <s v="MUEBLES JAMAR S.A"/>
    <s v="201901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697 - FV5-716"/>
    <n v="4"/>
    <n v="0"/>
    <n v="4"/>
    <x v="0"/>
    <x v="0"/>
    <x v="0"/>
    <n v="4"/>
    <n v="0"/>
    <n v="4"/>
    <x v="0"/>
    <x v="0"/>
    <x v="0"/>
    <n v="4"/>
    <n v="0"/>
    <n v="4"/>
    <x v="0"/>
    <x v="0"/>
    <x v="0"/>
    <x v="0"/>
    <x v="0"/>
  </r>
  <r>
    <x v="0"/>
    <x v="0"/>
    <x v="0"/>
    <x v="3"/>
    <x v="3"/>
    <x v="9"/>
    <x v="9"/>
    <n v="1078"/>
    <s v="811015694"/>
    <s v="INVERSIONES QUINTERO GARCIA LIMITADA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15694"/>
    <s v="INVERSIONES QUINTERO GARCIA LIMITA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355002 DESCUENTO COMERCIAL AÑO ANTICIPADO"/>
    <n v="139329"/>
    <n v="0"/>
    <n v="139329"/>
    <x v="0"/>
    <x v="0"/>
    <x v="0"/>
    <n v="139329"/>
    <n v="0"/>
    <n v="139329"/>
    <x v="0"/>
    <x v="0"/>
    <x v="0"/>
    <n v="139329"/>
    <n v="0"/>
    <n v="139329"/>
    <x v="0"/>
    <x v="0"/>
    <x v="0"/>
    <x v="0"/>
    <x v="0"/>
  </r>
  <r>
    <x v="0"/>
    <x v="0"/>
    <x v="0"/>
    <x v="3"/>
    <x v="3"/>
    <x v="1"/>
    <x v="1"/>
    <n v="37060"/>
    <s v="900059238"/>
    <s v="MAKRO SUPERMAYORISTA S.A.S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59238"/>
    <s v="MAKRO SUPERMAYORIST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FV4- 980 - SOPORTE ENVIADO POR DAYRO ECHEVERRIA"/>
    <n v="59"/>
    <n v="0"/>
    <n v="59"/>
    <x v="0"/>
    <x v="0"/>
    <x v="0"/>
    <n v="59"/>
    <n v="0"/>
    <n v="59"/>
    <x v="0"/>
    <x v="0"/>
    <x v="0"/>
    <n v="59"/>
    <n v="0"/>
    <n v="59"/>
    <x v="0"/>
    <x v="0"/>
    <x v="0"/>
    <x v="0"/>
    <x v="0"/>
  </r>
  <r>
    <x v="0"/>
    <x v="0"/>
    <x v="0"/>
    <x v="5"/>
    <x v="5"/>
    <x v="1"/>
    <x v="1"/>
    <n v="45555"/>
    <s v="900081559"/>
    <s v="REDITOS EMPRESARIALES S.A"/>
    <s v="201901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081559"/>
    <s v="REDITOS EMPRESARIAL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187"/>
    <n v="0"/>
    <n v="2187"/>
    <x v="0"/>
    <x v="0"/>
    <x v="0"/>
    <n v="2187"/>
    <n v="0"/>
    <n v="2187"/>
    <x v="0"/>
    <x v="0"/>
    <x v="0"/>
    <n v="2187"/>
    <n v="0"/>
    <n v="2187"/>
    <x v="0"/>
    <x v="0"/>
    <x v="0"/>
    <x v="0"/>
    <x v="0"/>
  </r>
  <r>
    <x v="0"/>
    <x v="0"/>
    <x v="0"/>
    <x v="5"/>
    <x v="5"/>
    <x v="1"/>
    <x v="1"/>
    <n v="45558"/>
    <s v="811003486"/>
    <s v="QUIPUX SAS"/>
    <s v="201901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03486"/>
    <s v="QUIPUX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VA 355031, CO MEDELLIN"/>
    <n v="3189"/>
    <n v="0"/>
    <n v="3189"/>
    <x v="0"/>
    <x v="0"/>
    <x v="0"/>
    <n v="3189"/>
    <n v="0"/>
    <n v="3189"/>
    <x v="0"/>
    <x v="0"/>
    <x v="0"/>
    <n v="3189"/>
    <n v="0"/>
    <n v="3189"/>
    <x v="0"/>
    <x v="0"/>
    <x v="0"/>
    <x v="0"/>
    <x v="0"/>
  </r>
  <r>
    <x v="0"/>
    <x v="0"/>
    <x v="0"/>
    <x v="5"/>
    <x v="5"/>
    <x v="9"/>
    <x v="9"/>
    <n v="1202"/>
    <s v="805024070"/>
    <s v="MGI VIA CONSULTORIA S.A.S."/>
    <s v="201901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24070"/>
    <s v="MGI VIA CONSULTORI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GO AÑO ANTICIPADO, 9% EN FACTURA $104.993"/>
    <n v="104993"/>
    <n v="0"/>
    <n v="104993"/>
    <x v="0"/>
    <x v="0"/>
    <x v="0"/>
    <n v="104993"/>
    <n v="0"/>
    <n v="104993"/>
    <x v="0"/>
    <x v="0"/>
    <x v="0"/>
    <n v="104993"/>
    <n v="0"/>
    <n v="104993"/>
    <x v="0"/>
    <x v="0"/>
    <x v="0"/>
    <x v="0"/>
    <x v="0"/>
  </r>
  <r>
    <x v="0"/>
    <x v="0"/>
    <x v="0"/>
    <x v="5"/>
    <x v="5"/>
    <x v="1"/>
    <x v="1"/>
    <n v="45591"/>
    <s v="811021363"/>
    <s v="UNIPLES S.A."/>
    <s v="201901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21363"/>
    <s v="UNIP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5"/>
    <x v="5"/>
    <x v="9"/>
    <x v="9"/>
    <n v="1205"/>
    <s v="811028725"/>
    <s v="DISTRIMEDICAL S.A.S"/>
    <s v="201901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28725"/>
    <s v="DISTRIMEDIC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,DESCUENTO DEL 4.5% EN FACTURA SEMESTRE ANTICIPADO$58.514"/>
    <n v="58514"/>
    <n v="0"/>
    <n v="58514"/>
    <x v="0"/>
    <x v="0"/>
    <x v="0"/>
    <n v="58514"/>
    <n v="0"/>
    <n v="58514"/>
    <x v="0"/>
    <x v="0"/>
    <x v="0"/>
    <n v="58514"/>
    <n v="0"/>
    <n v="58514"/>
    <x v="0"/>
    <x v="0"/>
    <x v="0"/>
    <x v="0"/>
    <x v="0"/>
  </r>
  <r>
    <x v="0"/>
    <x v="0"/>
    <x v="0"/>
    <x v="5"/>
    <x v="5"/>
    <x v="1"/>
    <x v="1"/>
    <n v="45599"/>
    <s v="900535544"/>
    <s v="PREMIER INVESMENT S.A."/>
    <s v="201901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35544"/>
    <s v="PREMIER INVESMENT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ULTIMA CUOTA ACUERDO ANTERIOR."/>
    <n v="2824"/>
    <n v="0"/>
    <n v="2824"/>
    <x v="0"/>
    <x v="0"/>
    <x v="0"/>
    <n v="2824"/>
    <n v="0"/>
    <n v="2824"/>
    <x v="0"/>
    <x v="0"/>
    <x v="0"/>
    <n v="2824"/>
    <n v="0"/>
    <n v="2824"/>
    <x v="0"/>
    <x v="0"/>
    <x v="0"/>
    <x v="0"/>
    <x v="0"/>
  </r>
  <r>
    <x v="1"/>
    <x v="0"/>
    <x v="0"/>
    <x v="3"/>
    <x v="3"/>
    <x v="9"/>
    <x v="9"/>
    <n v="1082"/>
    <s v="890923354"/>
    <s v="CENTRO CCIAL CAMINO REAL"/>
    <s v="2019020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23354"/>
    <s v="CENTRO CCIAL CAMINO RE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4938, SE APLICA PRONTO PAGO DE $ 1.575.005 EL CLIENTE PAGA ANUAL CON UN DCTO DEL 9%"/>
    <n v="1575005"/>
    <n v="0"/>
    <n v="1575005"/>
    <x v="0"/>
    <x v="0"/>
    <x v="0"/>
    <n v="1575005"/>
    <n v="0"/>
    <n v="1575005"/>
    <x v="0"/>
    <x v="0"/>
    <x v="0"/>
    <n v="1575005"/>
    <n v="0"/>
    <n v="1575005"/>
    <x v="0"/>
    <x v="0"/>
    <x v="0"/>
    <x v="0"/>
    <x v="0"/>
  </r>
  <r>
    <x v="1"/>
    <x v="0"/>
    <x v="0"/>
    <x v="3"/>
    <x v="3"/>
    <x v="1"/>
    <x v="1"/>
    <n v="37116"/>
    <s v="811013715"/>
    <s v="LINEA ADHESIVA S.A"/>
    <s v="201902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13715"/>
    <s v="LINEA ADHESIV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5005 SE REALIZA DCTO POR PRONTO PAGO DE $ 51.008"/>
    <n v="51008"/>
    <n v="0"/>
    <n v="51008"/>
    <x v="0"/>
    <x v="0"/>
    <x v="0"/>
    <n v="51008"/>
    <n v="0"/>
    <n v="51008"/>
    <x v="0"/>
    <x v="0"/>
    <x v="0"/>
    <n v="51008"/>
    <n v="0"/>
    <n v="51008"/>
    <x v="0"/>
    <x v="0"/>
    <x v="0"/>
    <x v="0"/>
    <x v="0"/>
  </r>
  <r>
    <x v="7"/>
    <x v="0"/>
    <x v="0"/>
    <x v="3"/>
    <x v="3"/>
    <x v="9"/>
    <x v="9"/>
    <n v="1117"/>
    <s v="890906347"/>
    <s v="E.S.E HOSP MANUEL URIBE ANGEL"/>
    <s v="20190412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3"/>
    <x v="3"/>
    <x v="0"/>
    <x v="0"/>
    <x v="0"/>
    <x v="0"/>
    <s v="890906347"/>
    <s v="E.S.E HOSP MANUEL URIBE ANGE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970-354587-354586_x000d__x000a_RETEIVA $ 49.561_x000d__x000a_"/>
    <n v="4999"/>
    <n v="0"/>
    <n v="4999"/>
    <x v="0"/>
    <x v="0"/>
    <x v="0"/>
    <n v="4999"/>
    <n v="0"/>
    <n v="4999"/>
    <x v="0"/>
    <x v="0"/>
    <x v="0"/>
    <n v="4999"/>
    <n v="0"/>
    <n v="499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4.699999999997"/>
    <n v="0"/>
    <n v="39864.700000000004"/>
    <x v="0"/>
    <x v="0"/>
    <x v="0"/>
    <n v="0"/>
    <n v="0"/>
    <n v="0"/>
    <x v="0"/>
    <x v="0"/>
    <x v="0"/>
    <n v="39864.699999999997"/>
    <n v="0"/>
    <n v="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4.699999999997"/>
    <n v="-39864.700000000004"/>
    <x v="0"/>
    <x v="0"/>
    <x v="0"/>
    <n v="0"/>
    <n v="0"/>
    <n v="0"/>
    <x v="0"/>
    <x v="0"/>
    <x v="0"/>
    <n v="0"/>
    <n v="39864.699999999997"/>
    <n v="-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1"/>
    <x v="0"/>
    <x v="0"/>
    <x v="2"/>
    <x v="2"/>
    <x v="9"/>
    <x v="9"/>
    <n v="1482"/>
    <s v="860002964"/>
    <s v="BANCO DE BOGOTA S.A.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RET/ICA $ 8.218 Y $ 92.872 POR PAGO ANTICIPADO"/>
    <n v="92872"/>
    <n v="0"/>
    <n v="92872"/>
    <x v="0"/>
    <x v="0"/>
    <x v="0"/>
    <n v="92872"/>
    <n v="0"/>
    <n v="92872"/>
    <x v="0"/>
    <x v="0"/>
    <x v="0"/>
    <n v="92872"/>
    <n v="0"/>
    <n v="92872"/>
    <x v="0"/>
    <x v="0"/>
    <x v="0"/>
    <x v="0"/>
    <x v="0"/>
  </r>
  <r>
    <x v="1"/>
    <x v="0"/>
    <x v="0"/>
    <x v="5"/>
    <x v="5"/>
    <x v="1"/>
    <x v="1"/>
    <n v="45999"/>
    <s v="650187917"/>
    <s v="FREI  HEINRICH ERNEST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50187917"/>
    <s v="FREI  HEINRICH ERNEST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60"/>
    <n v="0"/>
    <n v="660"/>
    <x v="0"/>
    <x v="0"/>
    <x v="0"/>
    <n v="660"/>
    <n v="0"/>
    <n v="660"/>
    <x v="0"/>
    <x v="0"/>
    <x v="0"/>
    <n v="660"/>
    <n v="0"/>
    <n v="660"/>
    <x v="0"/>
    <x v="0"/>
    <x v="0"/>
    <x v="0"/>
    <x v="0"/>
  </r>
  <r>
    <x v="5"/>
    <x v="0"/>
    <x v="0"/>
    <x v="3"/>
    <x v="3"/>
    <x v="1"/>
    <x v="1"/>
    <n v="37269"/>
    <s v="860048371"/>
    <s v="PROTEICOL S.A.S"/>
    <s v="2019030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48371"/>
    <s v="PROTEICO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S # 355946-355947"/>
    <n v="13417"/>
    <n v="0"/>
    <n v="13417"/>
    <x v="0"/>
    <x v="0"/>
    <x v="0"/>
    <n v="13417"/>
    <n v="0"/>
    <n v="13417"/>
    <x v="0"/>
    <x v="0"/>
    <x v="0"/>
    <n v="13417"/>
    <n v="0"/>
    <n v="13417"/>
    <x v="0"/>
    <x v="0"/>
    <x v="0"/>
    <x v="0"/>
    <x v="0"/>
  </r>
  <r>
    <x v="5"/>
    <x v="0"/>
    <x v="0"/>
    <x v="0"/>
    <x v="0"/>
    <x v="0"/>
    <x v="0"/>
    <n v="4285"/>
    <s v="891410922"/>
    <s v="CENTRO COMERCIAL ALCIDES AREVALO (PEREIR"/>
    <s v="201903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1410922"/>
    <s v="CENTRO COMERCIAL ALCIDES AREVALO (PEREIR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5"/>
    <x v="5"/>
    <x v="1"/>
    <x v="1"/>
    <n v="46117"/>
    <s v="805009741"/>
    <s v="COOMEVA MEDICINA PREPAGADA S.A."/>
    <s v="201903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357167,357131,356898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1"/>
    <x v="1"/>
    <x v="1"/>
    <x v="1"/>
    <n v="24230"/>
    <s v="802016130"/>
    <s v="CENTRO COMERCIAL BUENAVISTA"/>
    <s v="201903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130"/>
    <s v="CENTRO COMERCIAL BUENAVIS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578"/>
    <n v="0.2"/>
    <n v="0"/>
    <n v="0.2"/>
    <x v="0"/>
    <x v="0"/>
    <x v="0"/>
    <n v="0.2"/>
    <n v="0"/>
    <n v="0.2"/>
    <x v="0"/>
    <x v="0"/>
    <x v="0"/>
    <n v="0.2"/>
    <n v="0"/>
    <n v="0.2"/>
    <x v="0"/>
    <x v="0"/>
    <x v="0"/>
    <x v="0"/>
    <x v="0"/>
  </r>
  <r>
    <x v="5"/>
    <x v="0"/>
    <x v="0"/>
    <x v="1"/>
    <x v="1"/>
    <x v="1"/>
    <x v="1"/>
    <n v="24231"/>
    <s v="806012958"/>
    <s v="IPS SALUD DEL CARIBE S.A"/>
    <s v="201903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527 - FVA-357540 - FVA-357545 - FVA-357550 - FV6-123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5"/>
    <x v="0"/>
    <x v="0"/>
    <x v="5"/>
    <x v="5"/>
    <x v="1"/>
    <x v="1"/>
    <n v="46236"/>
    <s v="900569801"/>
    <s v="MARGARITA PEÑA S.A.S."/>
    <s v="201903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5"/>
    <x v="0"/>
    <x v="0"/>
    <x v="5"/>
    <x v="5"/>
    <x v="1"/>
    <x v="1"/>
    <n v="46237"/>
    <s v="1509246"/>
    <s v="MORALES SANTACRUZ JESUS ANTONIO"/>
    <s v="201903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791"/>
    <n v="0"/>
    <n v="2791"/>
    <x v="0"/>
    <x v="0"/>
    <x v="0"/>
    <n v="2791"/>
    <n v="0"/>
    <n v="2791"/>
    <x v="0"/>
    <x v="0"/>
    <x v="0"/>
    <n v="2791"/>
    <n v="0"/>
    <n v="2791"/>
    <x v="0"/>
    <x v="0"/>
    <x v="0"/>
    <x v="0"/>
    <x v="0"/>
  </r>
  <r>
    <x v="5"/>
    <x v="0"/>
    <x v="0"/>
    <x v="5"/>
    <x v="5"/>
    <x v="1"/>
    <x v="1"/>
    <n v="46260"/>
    <s v="34318168"/>
    <s v="ERAZO TORRES ZULMA VIVIANA"/>
    <s v="201903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34318168"/>
    <s v="ERAZO TORRES ZULMA VIVIA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00"/>
    <n v="0"/>
    <n v="500"/>
    <x v="0"/>
    <x v="0"/>
    <x v="0"/>
    <n v="500"/>
    <n v="0"/>
    <n v="500"/>
    <x v="0"/>
    <x v="0"/>
    <x v="0"/>
    <n v="500"/>
    <n v="0"/>
    <n v="500"/>
    <x v="0"/>
    <x v="0"/>
    <x v="0"/>
    <x v="0"/>
    <x v="0"/>
  </r>
  <r>
    <x v="5"/>
    <x v="0"/>
    <x v="0"/>
    <x v="5"/>
    <x v="5"/>
    <x v="9"/>
    <x v="9"/>
    <n v="1258"/>
    <s v="830011670"/>
    <s v="COPSERVIR LTDA"/>
    <s v="201903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30011670"/>
    <s v="COPSERVIR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463.970"/>
    <n v="463970"/>
    <n v="0"/>
    <n v="463970"/>
    <x v="0"/>
    <x v="0"/>
    <x v="0"/>
    <n v="463970"/>
    <n v="0"/>
    <n v="463970"/>
    <x v="0"/>
    <x v="0"/>
    <x v="0"/>
    <n v="463970"/>
    <n v="0"/>
    <n v="463970"/>
    <x v="0"/>
    <x v="0"/>
    <x v="0"/>
    <x v="0"/>
    <x v="0"/>
  </r>
  <r>
    <x v="5"/>
    <x v="0"/>
    <x v="0"/>
    <x v="1"/>
    <x v="1"/>
    <x v="1"/>
    <x v="1"/>
    <n v="24278"/>
    <s v="901062361"/>
    <s v="INVERSIONES MARCRI S.A.S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038"/>
    <n v="79"/>
    <n v="0"/>
    <n v="79"/>
    <x v="0"/>
    <x v="0"/>
    <x v="0"/>
    <n v="79"/>
    <n v="0"/>
    <n v="79"/>
    <x v="0"/>
    <x v="0"/>
    <x v="0"/>
    <n v="79"/>
    <n v="0"/>
    <n v="79"/>
    <x v="0"/>
    <x v="0"/>
    <x v="0"/>
    <x v="0"/>
    <x v="0"/>
  </r>
  <r>
    <x v="7"/>
    <x v="0"/>
    <x v="0"/>
    <x v="5"/>
    <x v="5"/>
    <x v="1"/>
    <x v="1"/>
    <n v="46283"/>
    <s v="900699086"/>
    <s v="CLINICA PALMA REAL S.A.S"/>
    <s v="2019040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699086"/>
    <s v="CLINICA PALMA RE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086"/>
    <n v="0"/>
    <n v="2086"/>
    <x v="0"/>
    <x v="0"/>
    <x v="0"/>
    <n v="2086"/>
    <n v="0"/>
    <n v="2086"/>
    <x v="0"/>
    <x v="0"/>
    <x v="0"/>
    <n v="2086"/>
    <n v="0"/>
    <n v="2086"/>
    <x v="0"/>
    <x v="0"/>
    <x v="0"/>
    <x v="0"/>
    <x v="0"/>
  </r>
  <r>
    <x v="7"/>
    <x v="0"/>
    <x v="0"/>
    <x v="5"/>
    <x v="5"/>
    <x v="1"/>
    <x v="1"/>
    <n v="46311"/>
    <s v="860037900"/>
    <s v="CONSTRUCTORA  BOLIVAR  CALI S.A"/>
    <s v="201904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471,472,473,475,476,865."/>
    <n v="2717"/>
    <n v="0"/>
    <n v="2717"/>
    <x v="0"/>
    <x v="0"/>
    <x v="0"/>
    <n v="2717"/>
    <n v="0"/>
    <n v="2717"/>
    <x v="0"/>
    <x v="0"/>
    <x v="0"/>
    <n v="2717"/>
    <n v="0"/>
    <n v="2717"/>
    <x v="0"/>
    <x v="0"/>
    <x v="0"/>
    <x v="0"/>
    <x v="0"/>
  </r>
  <r>
    <x v="7"/>
    <x v="0"/>
    <x v="0"/>
    <x v="2"/>
    <x v="2"/>
    <x v="9"/>
    <x v="9"/>
    <n v="1525"/>
    <s v="860025639"/>
    <s v="MITSUBISHI ELECTRIC DE COLOMBIA LIMITADA"/>
    <s v="201904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25639"/>
    <s v="MITSUBISHI ELECTRIC DE COLOMBIA LIMITA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GENERA PAGO DE AÑO ANTICIPADO APLICA EL %9."/>
    <n v="300705"/>
    <n v="0"/>
    <n v="300705"/>
    <x v="0"/>
    <x v="0"/>
    <x v="0"/>
    <n v="300705"/>
    <n v="0"/>
    <n v="300705"/>
    <x v="0"/>
    <x v="0"/>
    <x v="0"/>
    <n v="300705"/>
    <n v="0"/>
    <n v="300705"/>
    <x v="0"/>
    <x v="0"/>
    <x v="0"/>
    <x v="0"/>
    <x v="0"/>
  </r>
  <r>
    <x v="7"/>
    <x v="0"/>
    <x v="0"/>
    <x v="1"/>
    <x v="1"/>
    <x v="1"/>
    <x v="1"/>
    <n v="24404"/>
    <s v="901062361"/>
    <s v="INVERSIONES MARCRI S.A.S"/>
    <s v="201904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88"/>
    <n v="79"/>
    <n v="0"/>
    <n v="79"/>
    <x v="0"/>
    <x v="0"/>
    <x v="0"/>
    <n v="79"/>
    <n v="0"/>
    <n v="79"/>
    <x v="0"/>
    <x v="0"/>
    <x v="0"/>
    <n v="79"/>
    <n v="0"/>
    <n v="79"/>
    <x v="0"/>
    <x v="0"/>
    <x v="0"/>
    <x v="0"/>
    <x v="0"/>
  </r>
  <r>
    <x v="7"/>
    <x v="0"/>
    <x v="0"/>
    <x v="5"/>
    <x v="5"/>
    <x v="1"/>
    <x v="1"/>
    <n v="46528"/>
    <s v="900569801"/>
    <s v="MARGARITA PEÑA S.A.S."/>
    <s v="201904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6"/>
    <x v="0"/>
    <x v="0"/>
    <x v="1"/>
    <x v="1"/>
    <x v="1"/>
    <x v="1"/>
    <n v="24466"/>
    <s v="890102508"/>
    <s v="SALES INMOBILIARIA S.A.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227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5"/>
    <x v="5"/>
    <x v="1"/>
    <x v="1"/>
    <n v="46667"/>
    <s v="800048954"/>
    <s v="CLINICA VERSALLES S.A."/>
    <s v="201905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800"/>
    <n v="0"/>
    <n v="6800"/>
    <x v="0"/>
    <x v="0"/>
    <x v="0"/>
    <n v="6800"/>
    <n v="0"/>
    <n v="6800"/>
    <x v="0"/>
    <x v="0"/>
    <x v="0"/>
    <n v="6800"/>
    <n v="0"/>
    <n v="6800"/>
    <x v="0"/>
    <x v="0"/>
    <x v="0"/>
    <x v="0"/>
    <x v="0"/>
  </r>
  <r>
    <x v="6"/>
    <x v="0"/>
    <x v="0"/>
    <x v="5"/>
    <x v="5"/>
    <x v="9"/>
    <x v="9"/>
    <n v="1293"/>
    <s v="805011901"/>
    <s v="LASKIN S.A."/>
    <s v="201905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1901"/>
    <s v="LASK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PAGO AÑO ANTICIPADO %9, $244.218"/>
    <n v="244218"/>
    <n v="0"/>
    <n v="244218"/>
    <x v="0"/>
    <x v="0"/>
    <x v="0"/>
    <n v="244218"/>
    <n v="0"/>
    <n v="244218"/>
    <x v="0"/>
    <x v="0"/>
    <x v="0"/>
    <n v="244218"/>
    <n v="0"/>
    <n v="244218"/>
    <x v="0"/>
    <x v="0"/>
    <x v="0"/>
    <x v="0"/>
    <x v="0"/>
  </r>
  <r>
    <x v="6"/>
    <x v="0"/>
    <x v="0"/>
    <x v="5"/>
    <x v="5"/>
    <x v="1"/>
    <x v="1"/>
    <n v="46712"/>
    <s v="890304375"/>
    <s v="INDUGRAFICAS SA."/>
    <s v="201905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375"/>
    <s v="INDUGRAFICAS S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0591.65"/>
    <n v="0"/>
    <n v="10591.65"/>
    <x v="0"/>
    <x v="0"/>
    <x v="0"/>
    <n v="10591.65"/>
    <n v="0"/>
    <n v="10591.65"/>
    <x v="0"/>
    <x v="0"/>
    <x v="0"/>
    <n v="10591.65"/>
    <n v="0"/>
    <n v="10591.65"/>
    <x v="0"/>
    <x v="0"/>
    <x v="0"/>
    <x v="0"/>
    <x v="0"/>
  </r>
  <r>
    <x v="6"/>
    <x v="0"/>
    <x v="0"/>
    <x v="1"/>
    <x v="1"/>
    <x v="1"/>
    <x v="1"/>
    <n v="24488"/>
    <s v="1140900157"/>
    <s v="BOZON ALBA VALENTINA"/>
    <s v="201905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1140900157"/>
    <s v="BOZON ALBA VALENT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09"/>
    <n v="50"/>
    <n v="0"/>
    <n v="50"/>
    <x v="0"/>
    <x v="0"/>
    <x v="0"/>
    <n v="50"/>
    <n v="0"/>
    <n v="50"/>
    <x v="0"/>
    <x v="0"/>
    <x v="0"/>
    <n v="50"/>
    <n v="0"/>
    <n v="50"/>
    <x v="0"/>
    <x v="0"/>
    <x v="0"/>
    <x v="0"/>
    <x v="0"/>
  </r>
  <r>
    <x v="6"/>
    <x v="0"/>
    <x v="0"/>
    <x v="3"/>
    <x v="3"/>
    <x v="1"/>
    <x v="1"/>
    <n v="37749"/>
    <s v="900163527"/>
    <s v="CENTRO COMERCIAL SAN NICOLAS PROPIEDAD HORIZONTAL"/>
    <s v="201905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163527"/>
    <s v="CENTRO COMERCIAL SAN NICOLAS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572_x000d__x000a_SE LE OTORGA DCTO COMERCIAL POR PRONTO PAGO  DE $ 71.111"/>
    <n v="71111"/>
    <n v="0"/>
    <n v="71111"/>
    <x v="0"/>
    <x v="0"/>
    <x v="0"/>
    <n v="71111"/>
    <n v="0"/>
    <n v="71111"/>
    <x v="0"/>
    <x v="0"/>
    <x v="0"/>
    <n v="71111"/>
    <n v="0"/>
    <n v="71111"/>
    <x v="0"/>
    <x v="0"/>
    <x v="0"/>
    <x v="0"/>
    <x v="0"/>
  </r>
  <r>
    <x v="6"/>
    <x v="0"/>
    <x v="0"/>
    <x v="5"/>
    <x v="5"/>
    <x v="1"/>
    <x v="1"/>
    <n v="46741"/>
    <s v="900424306"/>
    <s v="SEGO ENTERPRISE SOLUTIONS SAS"/>
    <s v="201905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424306"/>
    <s v="SEGO ENTERPRISE SOLUTION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4"/>
    <n v="0"/>
    <n v="64"/>
    <x v="0"/>
    <x v="0"/>
    <x v="0"/>
    <n v="64"/>
    <n v="0"/>
    <n v="64"/>
    <x v="0"/>
    <x v="0"/>
    <x v="0"/>
    <n v="64"/>
    <n v="0"/>
    <n v="64"/>
    <x v="0"/>
    <x v="0"/>
    <x v="0"/>
    <x v="0"/>
    <x v="0"/>
  </r>
  <r>
    <x v="6"/>
    <x v="0"/>
    <x v="0"/>
    <x v="5"/>
    <x v="5"/>
    <x v="1"/>
    <x v="1"/>
    <n v="46742"/>
    <s v="890311006"/>
    <s v="FONDO DE EMPLEADOS DE LAS EMP.MPALES DE CALI"/>
    <s v="201905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0"/>
    <n v="0"/>
    <n v="70"/>
    <x v="0"/>
    <x v="0"/>
    <x v="0"/>
    <n v="70"/>
    <n v="0"/>
    <n v="70"/>
    <x v="0"/>
    <x v="0"/>
    <x v="0"/>
    <n v="70"/>
    <n v="0"/>
    <n v="70"/>
    <x v="0"/>
    <x v="0"/>
    <x v="0"/>
    <x v="0"/>
    <x v="0"/>
  </r>
  <r>
    <x v="6"/>
    <x v="0"/>
    <x v="0"/>
    <x v="5"/>
    <x v="5"/>
    <x v="9"/>
    <x v="9"/>
    <n v="1296"/>
    <s v="31945039"/>
    <s v="VILLAREAL MORALES ONEIDA"/>
    <s v="201905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31945039"/>
    <s v="VILLAREAL MORALES ONEI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92.794"/>
    <n v="92794"/>
    <n v="0"/>
    <n v="92794"/>
    <x v="0"/>
    <x v="0"/>
    <x v="0"/>
    <n v="92794"/>
    <n v="0"/>
    <n v="92794"/>
    <x v="0"/>
    <x v="0"/>
    <x v="0"/>
    <n v="92794"/>
    <n v="0"/>
    <n v="92794"/>
    <x v="0"/>
    <x v="0"/>
    <x v="0"/>
    <x v="0"/>
    <x v="0"/>
  </r>
  <r>
    <x v="6"/>
    <x v="0"/>
    <x v="0"/>
    <x v="1"/>
    <x v="1"/>
    <x v="1"/>
    <x v="1"/>
    <n v="24502"/>
    <s v="802016306"/>
    <s v="EXPOCONSTRUCCION 43 Y CIA LTDA"/>
    <s v="201905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52"/>
    <n v="35"/>
    <n v="0"/>
    <n v="35"/>
    <x v="0"/>
    <x v="0"/>
    <x v="0"/>
    <n v="35"/>
    <n v="0"/>
    <n v="35"/>
    <x v="0"/>
    <x v="0"/>
    <x v="0"/>
    <n v="35"/>
    <n v="0"/>
    <n v="35"/>
    <x v="0"/>
    <x v="0"/>
    <x v="0"/>
    <x v="0"/>
    <x v="0"/>
  </r>
  <r>
    <x v="6"/>
    <x v="0"/>
    <x v="0"/>
    <x v="5"/>
    <x v="5"/>
    <x v="1"/>
    <x v="1"/>
    <n v="46800"/>
    <s v="860046201"/>
    <s v="FORTOX S.A"/>
    <s v="201905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"/>
    <n v="0"/>
    <n v="4"/>
    <x v="0"/>
    <x v="0"/>
    <x v="0"/>
    <n v="4"/>
    <n v="0"/>
    <n v="4"/>
    <x v="0"/>
    <x v="0"/>
    <x v="0"/>
    <n v="4"/>
    <n v="0"/>
    <n v="4"/>
    <x v="0"/>
    <x v="0"/>
    <x v="0"/>
    <x v="0"/>
    <x v="0"/>
  </r>
  <r>
    <x v="6"/>
    <x v="0"/>
    <x v="0"/>
    <x v="5"/>
    <x v="5"/>
    <x v="1"/>
    <x v="1"/>
    <n v="46803"/>
    <s v="900825179"/>
    <s v="ELIZABETH TRULLAS  CIA S.A.S"/>
    <s v="201905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6"/>
    <x v="0"/>
    <x v="0"/>
    <x v="5"/>
    <x v="5"/>
    <x v="1"/>
    <x v="1"/>
    <n v="46826"/>
    <s v="900569801"/>
    <s v="MARGARITA PEÑA S.A.S.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2"/>
    <x v="0"/>
    <x v="0"/>
    <x v="5"/>
    <x v="5"/>
    <x v="1"/>
    <x v="1"/>
    <n v="46849"/>
    <s v="900077291"/>
    <s v="INVERSIONES BENAVIDES SOLARTE SCS"/>
    <s v="201906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077291"/>
    <s v="INVERSIONES BENAVIDES SOLARTE SC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00"/>
    <n v="0"/>
    <n v="14000"/>
    <x v="0"/>
    <x v="0"/>
    <x v="0"/>
    <n v="14000"/>
    <n v="0"/>
    <n v="14000"/>
    <x v="0"/>
    <x v="0"/>
    <x v="0"/>
    <n v="14000"/>
    <n v="0"/>
    <n v="14000"/>
    <x v="0"/>
    <x v="0"/>
    <x v="0"/>
    <x v="0"/>
    <x v="0"/>
  </r>
  <r>
    <x v="2"/>
    <x v="0"/>
    <x v="0"/>
    <x v="5"/>
    <x v="5"/>
    <x v="1"/>
    <x v="1"/>
    <n v="46876"/>
    <s v="890304375"/>
    <s v="INDUGRAFICAS SA."/>
    <s v="201906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375"/>
    <s v="INDUGRAFICAS S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0591.65"/>
    <n v="0"/>
    <n v="10591.65"/>
    <x v="0"/>
    <x v="0"/>
    <x v="0"/>
    <n v="10591.65"/>
    <n v="0"/>
    <n v="10591.65"/>
    <x v="0"/>
    <x v="0"/>
    <x v="0"/>
    <n v="10591.65"/>
    <n v="0"/>
    <n v="10591.65"/>
    <x v="0"/>
    <x v="0"/>
    <x v="0"/>
    <x v="0"/>
    <x v="0"/>
  </r>
  <r>
    <x v="2"/>
    <x v="0"/>
    <x v="0"/>
    <x v="5"/>
    <x v="5"/>
    <x v="1"/>
    <x v="1"/>
    <n v="46904"/>
    <s v="890318490"/>
    <s v="FERRETERIA TUBERIAS S.A.S."/>
    <s v="201906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2"/>
    <x v="0"/>
    <x v="0"/>
    <x v="5"/>
    <x v="5"/>
    <x v="1"/>
    <x v="1"/>
    <n v="46905"/>
    <s v="42087065"/>
    <s v="RUEDA OCAMPO CLAUDIA PATRICIA"/>
    <s v="201906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42087065"/>
    <s v="RUEDA OCAMPO CLAUDIA PATRIC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1"/>
    <n v="0"/>
    <n v="21"/>
    <x v="0"/>
    <x v="0"/>
    <x v="0"/>
    <n v="21"/>
    <n v="0"/>
    <n v="21"/>
    <x v="0"/>
    <x v="0"/>
    <x v="0"/>
    <n v="21"/>
    <n v="0"/>
    <n v="21"/>
    <x v="0"/>
    <x v="0"/>
    <x v="0"/>
    <x v="0"/>
    <x v="0"/>
  </r>
  <r>
    <x v="2"/>
    <x v="0"/>
    <x v="0"/>
    <x v="2"/>
    <x v="2"/>
    <x v="9"/>
    <x v="9"/>
    <n v="1574"/>
    <s v="860020058"/>
    <s v="DISTRIBUIDORA TOYOTA S.A.S."/>
    <s v="201906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20058"/>
    <s v="DISTRIBUIDORA TOYOT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SMESTRE 4.5% $61.668"/>
    <n v="61668"/>
    <n v="0"/>
    <n v="61668"/>
    <x v="0"/>
    <x v="0"/>
    <x v="0"/>
    <n v="61668"/>
    <n v="0"/>
    <n v="61668"/>
    <x v="0"/>
    <x v="0"/>
    <x v="0"/>
    <n v="61668"/>
    <n v="0"/>
    <n v="61668"/>
    <x v="0"/>
    <x v="0"/>
    <x v="0"/>
    <x v="0"/>
    <x v="0"/>
  </r>
  <r>
    <x v="2"/>
    <x v="0"/>
    <x v="0"/>
    <x v="5"/>
    <x v="5"/>
    <x v="9"/>
    <x v="9"/>
    <n v="1306"/>
    <s v="800096895"/>
    <s v="GRUPO CARDIOLOGICO DE OCCIDENTE"/>
    <s v="201906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96895"/>
    <s v="GRUPO CARDIOLOGICO DE OCCIDENTE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dcto 9% en factura ok., $146.243"/>
    <n v="146243"/>
    <n v="0"/>
    <n v="146243"/>
    <x v="0"/>
    <x v="0"/>
    <x v="0"/>
    <n v="146243"/>
    <n v="0"/>
    <n v="146243"/>
    <x v="0"/>
    <x v="0"/>
    <x v="0"/>
    <n v="146243"/>
    <n v="0"/>
    <n v="146243"/>
    <x v="0"/>
    <x v="0"/>
    <x v="0"/>
    <x v="0"/>
    <x v="0"/>
  </r>
  <r>
    <x v="2"/>
    <x v="0"/>
    <x v="0"/>
    <x v="5"/>
    <x v="5"/>
    <x v="9"/>
    <x v="9"/>
    <n v="1310"/>
    <s v="830510909"/>
    <s v="RIVERCOL S.A.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30510909"/>
    <s v="RIVERCOL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MESTRE  ANTICIPADO 4.5 % $61.244"/>
    <n v="61244"/>
    <n v="0"/>
    <n v="61244"/>
    <x v="0"/>
    <x v="0"/>
    <x v="0"/>
    <n v="61244"/>
    <n v="0"/>
    <n v="61244"/>
    <x v="0"/>
    <x v="0"/>
    <x v="0"/>
    <n v="61244"/>
    <n v="0"/>
    <n v="61244"/>
    <x v="0"/>
    <x v="0"/>
    <x v="0"/>
    <x v="0"/>
    <x v="0"/>
  </r>
  <r>
    <x v="2"/>
    <x v="0"/>
    <x v="0"/>
    <x v="5"/>
    <x v="5"/>
    <x v="9"/>
    <x v="9"/>
    <n v="1311"/>
    <s v="890303797"/>
    <s v="UNIVERSIDAD SANTIAGO DE CALI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3797"/>
    <s v="UNIVERSIDAD SANTIAGO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AÑO ANTICIPADO, 9% OK, $291.585"/>
    <n v="291585"/>
    <n v="0"/>
    <n v="291585"/>
    <x v="0"/>
    <x v="0"/>
    <x v="0"/>
    <n v="291585"/>
    <n v="0"/>
    <n v="291585"/>
    <x v="0"/>
    <x v="0"/>
    <x v="0"/>
    <n v="291585"/>
    <n v="0"/>
    <n v="291585"/>
    <x v="0"/>
    <x v="0"/>
    <x v="0"/>
    <x v="0"/>
    <x v="0"/>
  </r>
  <r>
    <x v="2"/>
    <x v="0"/>
    <x v="0"/>
    <x v="5"/>
    <x v="5"/>
    <x v="9"/>
    <x v="9"/>
    <n v="1312"/>
    <s v="805007342"/>
    <s v="FONDO DE GARANTIAS S.A. CONFE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7342"/>
    <s v="FONDO DE GARANTIAS S.A. CONFE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.$395.216"/>
    <n v="395216"/>
    <n v="0"/>
    <n v="395216"/>
    <x v="0"/>
    <x v="0"/>
    <x v="0"/>
    <n v="395216"/>
    <n v="0"/>
    <n v="395216"/>
    <x v="0"/>
    <x v="0"/>
    <x v="0"/>
    <n v="395216"/>
    <n v="0"/>
    <n v="395216"/>
    <x v="0"/>
    <x v="0"/>
    <x v="0"/>
    <x v="0"/>
    <x v="0"/>
  </r>
  <r>
    <x v="2"/>
    <x v="0"/>
    <x v="0"/>
    <x v="5"/>
    <x v="5"/>
    <x v="1"/>
    <x v="1"/>
    <n v="46930"/>
    <s v="817001528"/>
    <s v="PAVCO DE OCCIDENTE SAS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7"/>
    <n v="0"/>
    <n v="1407"/>
    <x v="0"/>
    <x v="0"/>
    <x v="0"/>
    <n v="1407"/>
    <n v="0"/>
    <n v="1407"/>
    <x v="0"/>
    <x v="0"/>
    <x v="0"/>
    <n v="1407"/>
    <n v="0"/>
    <n v="1407"/>
    <x v="0"/>
    <x v="0"/>
    <x v="0"/>
    <x v="0"/>
    <x v="0"/>
  </r>
  <r>
    <x v="2"/>
    <x v="0"/>
    <x v="0"/>
    <x v="5"/>
    <x v="5"/>
    <x v="9"/>
    <x v="9"/>
    <n v="1309"/>
    <s v="805012610"/>
    <s v="FINESA S.A.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2610"/>
    <s v="FINES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, DESCUENTO %9  OK, $92.794"/>
    <n v="92794"/>
    <n v="0"/>
    <n v="92794"/>
    <x v="0"/>
    <x v="0"/>
    <x v="0"/>
    <n v="92794"/>
    <n v="0"/>
    <n v="92794"/>
    <x v="0"/>
    <x v="0"/>
    <x v="0"/>
    <n v="92794"/>
    <n v="0"/>
    <n v="92794"/>
    <x v="0"/>
    <x v="0"/>
    <x v="0"/>
    <x v="0"/>
    <x v="0"/>
  </r>
  <r>
    <x v="0"/>
    <x v="0"/>
    <x v="0"/>
    <x v="0"/>
    <x v="0"/>
    <x v="2"/>
    <x v="2"/>
    <n v="19431"/>
    <s v="860007660"/>
    <s v="HELM BANK S.A."/>
    <s v="2019011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HELM BANK 4225 -"/>
    <n v="274281.71999999997"/>
    <n v="0"/>
    <n v="274281.72000000003"/>
    <x v="0"/>
    <x v="0"/>
    <x v="0"/>
    <n v="274281.71999999997"/>
    <n v="0"/>
    <n v="274281.72000000003"/>
    <x v="0"/>
    <x v="0"/>
    <x v="0"/>
    <n v="274281.71999999997"/>
    <n v="0"/>
    <n v="274281.72000000003"/>
    <x v="0"/>
    <x v="0"/>
    <x v="0"/>
    <x v="0"/>
    <x v="0"/>
  </r>
  <r>
    <x v="0"/>
    <x v="0"/>
    <x v="0"/>
    <x v="0"/>
    <x v="0"/>
    <x v="2"/>
    <x v="2"/>
    <n v="19611"/>
    <s v="860002964"/>
    <s v="BANCO DE BOGOT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ENERO DEL 2018"/>
    <n v="246057"/>
    <n v="0"/>
    <n v="246057"/>
    <x v="0"/>
    <x v="0"/>
    <x v="0"/>
    <n v="246057"/>
    <n v="0"/>
    <n v="246057"/>
    <x v="0"/>
    <x v="0"/>
    <x v="0"/>
    <n v="246057"/>
    <n v="0"/>
    <n v="246057"/>
    <x v="0"/>
    <x v="0"/>
    <x v="0"/>
    <x v="0"/>
    <x v="0"/>
  </r>
  <r>
    <x v="0"/>
    <x v="0"/>
    <x v="0"/>
    <x v="0"/>
    <x v="0"/>
    <x v="2"/>
    <x v="2"/>
    <n v="19612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BANCOLOMBIA - ENERO 2019"/>
    <n v="26796.03"/>
    <n v="0"/>
    <n v="26796.03"/>
    <x v="0"/>
    <x v="0"/>
    <x v="0"/>
    <n v="26796.03"/>
    <n v="0"/>
    <n v="26796.03"/>
    <x v="0"/>
    <x v="0"/>
    <x v="0"/>
    <n v="26796.03"/>
    <n v="0"/>
    <n v="26796.03"/>
    <x v="0"/>
    <x v="0"/>
    <x v="0"/>
    <x v="0"/>
    <x v="0"/>
  </r>
  <r>
    <x v="0"/>
    <x v="0"/>
    <x v="0"/>
    <x v="0"/>
    <x v="0"/>
    <x v="2"/>
    <x v="2"/>
    <n v="19633"/>
    <s v="890300279"/>
    <s v="BANCO DE OCCIDENTE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ENERO DEL 2018"/>
    <n v="18426"/>
    <n v="0"/>
    <n v="18426"/>
    <x v="0"/>
    <x v="0"/>
    <x v="0"/>
    <n v="18426"/>
    <n v="0"/>
    <n v="18426"/>
    <x v="0"/>
    <x v="0"/>
    <x v="0"/>
    <n v="18426"/>
    <n v="0"/>
    <n v="18426"/>
    <x v="0"/>
    <x v="0"/>
    <x v="0"/>
    <x v="0"/>
    <x v="0"/>
  </r>
  <r>
    <x v="0"/>
    <x v="0"/>
    <x v="0"/>
    <x v="0"/>
    <x v="0"/>
    <x v="2"/>
    <x v="2"/>
    <n v="19635"/>
    <s v="900406150"/>
    <s v="BANCO COOMEV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ENERO DEL 2019"/>
    <n v="116232.29"/>
    <n v="0"/>
    <n v="116232.29000000001"/>
    <x v="0"/>
    <x v="0"/>
    <x v="0"/>
    <n v="116232.29"/>
    <n v="0"/>
    <n v="116232.29000000001"/>
    <x v="0"/>
    <x v="0"/>
    <x v="0"/>
    <n v="116232.29"/>
    <n v="0"/>
    <n v="116232.29000000001"/>
    <x v="0"/>
    <x v="0"/>
    <x v="0"/>
    <x v="0"/>
    <x v="0"/>
  </r>
  <r>
    <x v="0"/>
    <x v="0"/>
    <x v="0"/>
    <x v="0"/>
    <x v="0"/>
    <x v="2"/>
    <x v="2"/>
    <n v="19620"/>
    <s v="890300279"/>
    <s v="BANCO DE OCCIDENTE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BANCO DE OCCIDENTE"/>
    <n v="261000"/>
    <n v="0"/>
    <n v="261000"/>
    <x v="0"/>
    <x v="0"/>
    <x v="0"/>
    <n v="261000"/>
    <n v="0"/>
    <n v="261000"/>
    <x v="0"/>
    <x v="0"/>
    <x v="0"/>
    <n v="261000"/>
    <n v="0"/>
    <n v="261000"/>
    <x v="0"/>
    <x v="0"/>
    <x v="0"/>
    <x v="0"/>
    <x v="0"/>
  </r>
  <r>
    <x v="0"/>
    <x v="0"/>
    <x v="0"/>
    <x v="0"/>
    <x v="0"/>
    <x v="2"/>
    <x v="2"/>
    <n v="19572"/>
    <s v="890311940"/>
    <s v="TURISMO MARVAN SA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  BANCOLOMBIA"/>
    <n v="3993.14"/>
    <n v="0"/>
    <n v="3993.14"/>
    <x v="0"/>
    <x v="0"/>
    <x v="0"/>
    <n v="3993.14"/>
    <n v="0"/>
    <n v="3993.14"/>
    <x v="0"/>
    <x v="0"/>
    <x v="0"/>
    <n v="3993.14"/>
    <n v="0"/>
    <n v="3993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5"/>
    <x v="5"/>
    <x v="1"/>
    <x v="1"/>
    <n v="45947"/>
    <s v="800004599"/>
    <s v="COMERCIALIZADORA MARDEN LTDA"/>
    <s v="201902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04599"/>
    <s v="COMERCIALIZADORA MARDEN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1"/>
    <x v="0"/>
    <x v="0"/>
    <x v="5"/>
    <x v="5"/>
    <x v="9"/>
    <x v="9"/>
    <n v="1236"/>
    <s v="800024390"/>
    <s v="DIME CLINICA NEUROCARDIOVASCULAR S.A"/>
    <s v="201902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24390"/>
    <s v="DIME CLINICA NEUROCARDIOVASCUL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243.540"/>
    <n v="243540"/>
    <n v="0"/>
    <n v="243540"/>
    <x v="0"/>
    <x v="0"/>
    <x v="0"/>
    <n v="243540"/>
    <n v="0"/>
    <n v="243540"/>
    <x v="0"/>
    <x v="0"/>
    <x v="0"/>
    <n v="243540"/>
    <n v="0"/>
    <n v="243540"/>
    <x v="0"/>
    <x v="0"/>
    <x v="0"/>
    <x v="0"/>
    <x v="0"/>
  </r>
  <r>
    <x v="1"/>
    <x v="0"/>
    <x v="0"/>
    <x v="1"/>
    <x v="1"/>
    <x v="1"/>
    <x v="1"/>
    <n v="24128"/>
    <s v="32757237"/>
    <s v="MEDINA OLIVEROS FARATH DIVA"/>
    <s v="201902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725"/>
    <n v="707"/>
    <n v="0"/>
    <n v="707"/>
    <x v="0"/>
    <x v="0"/>
    <x v="0"/>
    <n v="707"/>
    <n v="0"/>
    <n v="707"/>
    <x v="0"/>
    <x v="0"/>
    <x v="0"/>
    <n v="707"/>
    <n v="0"/>
    <n v="707"/>
    <x v="0"/>
    <x v="0"/>
    <x v="0"/>
    <x v="0"/>
    <x v="0"/>
  </r>
  <r>
    <x v="1"/>
    <x v="0"/>
    <x v="0"/>
    <x v="1"/>
    <x v="1"/>
    <x v="1"/>
    <x v="1"/>
    <n v="24134"/>
    <s v="802010909"/>
    <s v="INVERSIONES WONGFOEN S.A.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29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1"/>
    <x v="0"/>
    <x v="0"/>
    <x v="1"/>
    <x v="1"/>
    <x v="1"/>
    <x v="1"/>
    <n v="24137"/>
    <s v="802016130"/>
    <s v="CENTRO COMERCIAL BUENAVISTA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130"/>
    <s v="CENTRO COMERCIAL BUENAVIS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813"/>
    <n v="0.2"/>
    <n v="0"/>
    <n v="0.2"/>
    <x v="0"/>
    <x v="0"/>
    <x v="0"/>
    <n v="0.2"/>
    <n v="0"/>
    <n v="0.2"/>
    <x v="0"/>
    <x v="0"/>
    <x v="0"/>
    <n v="0.2"/>
    <n v="0"/>
    <n v="0.2"/>
    <x v="0"/>
    <x v="0"/>
    <x v="0"/>
    <x v="0"/>
    <x v="0"/>
  </r>
  <r>
    <x v="1"/>
    <x v="0"/>
    <x v="0"/>
    <x v="5"/>
    <x v="5"/>
    <x v="1"/>
    <x v="1"/>
    <n v="45963"/>
    <s v="900569801"/>
    <s v="MARGARITA PEÑA S.A.S.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341"/>
    <n v="0"/>
    <n v="4341"/>
    <x v="0"/>
    <x v="0"/>
    <x v="0"/>
    <n v="4341"/>
    <n v="0"/>
    <n v="4341"/>
    <x v="0"/>
    <x v="0"/>
    <x v="0"/>
    <n v="4341"/>
    <n v="0"/>
    <n v="4341"/>
    <x v="0"/>
    <x v="0"/>
    <x v="0"/>
    <x v="0"/>
    <x v="0"/>
  </r>
  <r>
    <x v="1"/>
    <x v="0"/>
    <x v="0"/>
    <x v="5"/>
    <x v="5"/>
    <x v="1"/>
    <x v="1"/>
    <n v="45964"/>
    <s v="900825179"/>
    <s v="ELIZABETH TRULLAS  CIA S.A.S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50"/>
    <n v="0"/>
    <n v="150"/>
    <x v="0"/>
    <x v="0"/>
    <x v="0"/>
    <n v="150"/>
    <n v="0"/>
    <n v="150"/>
    <x v="0"/>
    <x v="0"/>
    <x v="0"/>
    <n v="150"/>
    <n v="0"/>
    <n v="150"/>
    <x v="0"/>
    <x v="0"/>
    <x v="0"/>
    <x v="0"/>
    <x v="0"/>
  </r>
  <r>
    <x v="1"/>
    <x v="0"/>
    <x v="0"/>
    <x v="5"/>
    <x v="5"/>
    <x v="1"/>
    <x v="1"/>
    <n v="45974"/>
    <s v="1509246"/>
    <s v="MORALES SANTACRUZ JESUS ANTONIO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791"/>
    <n v="0"/>
    <n v="2791"/>
    <x v="0"/>
    <x v="0"/>
    <x v="0"/>
    <n v="2791"/>
    <n v="0"/>
    <n v="2791"/>
    <x v="0"/>
    <x v="0"/>
    <x v="0"/>
    <n v="2791"/>
    <n v="0"/>
    <n v="2791"/>
    <x v="0"/>
    <x v="0"/>
    <x v="0"/>
    <x v="0"/>
    <x v="0"/>
  </r>
  <r>
    <x v="1"/>
    <x v="0"/>
    <x v="0"/>
    <x v="5"/>
    <x v="5"/>
    <x v="1"/>
    <x v="1"/>
    <n v="45975"/>
    <s v="890318490"/>
    <s v="FERRETERIA TUBERIAS S.A.S.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5"/>
    <x v="0"/>
    <x v="0"/>
    <x v="5"/>
    <x v="5"/>
    <x v="1"/>
    <x v="1"/>
    <n v="46046"/>
    <s v="890304375"/>
    <s v="INDUGRAFICAS SA."/>
    <s v="201903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375"/>
    <s v="INDUGRAFICAS S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O."/>
    <n v="10591.65"/>
    <n v="0"/>
    <n v="10591.65"/>
    <x v="0"/>
    <x v="0"/>
    <x v="0"/>
    <n v="10591.65"/>
    <n v="0"/>
    <n v="10591.65"/>
    <x v="0"/>
    <x v="0"/>
    <x v="0"/>
    <n v="10591.65"/>
    <n v="0"/>
    <n v="10591.65"/>
    <x v="0"/>
    <x v="0"/>
    <x v="0"/>
    <x v="0"/>
    <x v="0"/>
  </r>
  <r>
    <x v="5"/>
    <x v="0"/>
    <x v="0"/>
    <x v="0"/>
    <x v="0"/>
    <x v="0"/>
    <x v="0"/>
    <n v="4286"/>
    <s v="890915992"/>
    <s v="INUBERCO"/>
    <s v="201903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15992"/>
    <s v="INUBERC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SALDO DEJADO DE APLICAR SOBRE FACTURA DEL AÑO 2018"/>
    <n v="21398"/>
    <n v="0"/>
    <n v="21398"/>
    <x v="0"/>
    <x v="0"/>
    <x v="0"/>
    <n v="21398"/>
    <n v="0"/>
    <n v="21398"/>
    <x v="0"/>
    <x v="0"/>
    <x v="0"/>
    <n v="21398"/>
    <n v="0"/>
    <n v="21398"/>
    <x v="0"/>
    <x v="0"/>
    <x v="0"/>
    <x v="0"/>
    <x v="0"/>
  </r>
  <r>
    <x v="5"/>
    <x v="0"/>
    <x v="0"/>
    <x v="1"/>
    <x v="1"/>
    <x v="1"/>
    <x v="1"/>
    <n v="24173"/>
    <s v="901062361"/>
    <s v="INVERSIONES MARCRI S.A.S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49"/>
    <n v="10"/>
    <n v="0"/>
    <n v="10"/>
    <x v="0"/>
    <x v="0"/>
    <x v="0"/>
    <n v="10"/>
    <n v="0"/>
    <n v="10"/>
    <x v="0"/>
    <x v="0"/>
    <x v="0"/>
    <n v="10"/>
    <n v="0"/>
    <n v="10"/>
    <x v="0"/>
    <x v="0"/>
    <x v="0"/>
    <x v="0"/>
    <x v="0"/>
  </r>
  <r>
    <x v="5"/>
    <x v="0"/>
    <x v="0"/>
    <x v="0"/>
    <x v="0"/>
    <x v="0"/>
    <x v="0"/>
    <n v="4288"/>
    <s v="830011167"/>
    <s v="CENTRO DE DISEÑO PORTOBELO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30011167"/>
    <s v="CENTRO DE DISEÑO PORTOBEL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S DEJADOS DE APLICAR EN LOS RECIBOS DE CAJA"/>
    <n v="10956"/>
    <n v="0"/>
    <n v="10956"/>
    <x v="0"/>
    <x v="0"/>
    <x v="0"/>
    <n v="10956"/>
    <n v="0"/>
    <n v="10956"/>
    <x v="0"/>
    <x v="0"/>
    <x v="0"/>
    <n v="10956"/>
    <n v="0"/>
    <n v="10956"/>
    <x v="0"/>
    <x v="0"/>
    <x v="0"/>
    <x v="0"/>
    <x v="0"/>
  </r>
  <r>
    <x v="5"/>
    <x v="0"/>
    <x v="0"/>
    <x v="0"/>
    <x v="0"/>
    <x v="0"/>
    <x v="0"/>
    <n v="4288"/>
    <s v="830011167"/>
    <s v="CENTRO DE DISEÑO PORTOBELO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10268"/>
    <s v="AJOVEC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S DEJADOS DE APLICAR EN LOS RECIBOS DE CAJA"/>
    <n v="360"/>
    <n v="0"/>
    <n v="360"/>
    <x v="0"/>
    <x v="0"/>
    <x v="0"/>
    <n v="360"/>
    <n v="0"/>
    <n v="360"/>
    <x v="0"/>
    <x v="0"/>
    <x v="0"/>
    <n v="360"/>
    <n v="0"/>
    <n v="360"/>
    <x v="0"/>
    <x v="0"/>
    <x v="0"/>
    <x v="0"/>
    <x v="0"/>
  </r>
  <r>
    <x v="5"/>
    <x v="0"/>
    <x v="0"/>
    <x v="5"/>
    <x v="5"/>
    <x v="1"/>
    <x v="1"/>
    <n v="46077"/>
    <s v="800054863"/>
    <s v="HEMISFERIO TOURS Y CIA LTDA"/>
    <s v="201903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54863"/>
    <s v="HEMISFERIO TOURS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450"/>
    <n v="0"/>
    <n v="4450"/>
    <x v="0"/>
    <x v="0"/>
    <x v="0"/>
    <n v="4450"/>
    <n v="0"/>
    <n v="4450"/>
    <x v="0"/>
    <x v="0"/>
    <x v="0"/>
    <n v="4450"/>
    <n v="0"/>
    <n v="4450"/>
    <x v="0"/>
    <x v="0"/>
    <x v="0"/>
    <x v="0"/>
    <x v="0"/>
  </r>
  <r>
    <x v="5"/>
    <x v="0"/>
    <x v="0"/>
    <x v="1"/>
    <x v="1"/>
    <x v="1"/>
    <x v="1"/>
    <n v="24181"/>
    <s v="900061516"/>
    <s v="MUEBLES JAMAR S.A"/>
    <s v="201903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35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5"/>
    <x v="0"/>
    <x v="0"/>
    <x v="5"/>
    <x v="5"/>
    <x v="9"/>
    <x v="9"/>
    <n v="1246"/>
    <s v="900393834"/>
    <s v="INVERSIONES OB S.A.S"/>
    <s v="201903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393834"/>
    <s v="INVERSIONES OB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MESTRE ANTICIPADO 4.5% $ 29.700"/>
    <n v="29700"/>
    <n v="0"/>
    <n v="29700"/>
    <x v="0"/>
    <x v="0"/>
    <x v="0"/>
    <n v="29700"/>
    <n v="0"/>
    <n v="29700"/>
    <x v="0"/>
    <x v="0"/>
    <x v="0"/>
    <n v="29700"/>
    <n v="0"/>
    <n v="29700"/>
    <x v="0"/>
    <x v="0"/>
    <x v="0"/>
    <x v="0"/>
    <x v="0"/>
  </r>
  <r>
    <x v="5"/>
    <x v="0"/>
    <x v="0"/>
    <x v="1"/>
    <x v="1"/>
    <x v="1"/>
    <x v="1"/>
    <n v="24193"/>
    <s v="890102508"/>
    <s v="SALES INMOBILIARIA S.A."/>
    <s v="201903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037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1"/>
    <x v="1"/>
    <n v="2381"/>
    <s v="98533053"/>
    <s v="PUETAMAN GUERRERO JAN"/>
    <s v="201903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8533053"/>
    <s v="PUETAMAN GUERRERO J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ARTERA EN ABOGADO"/>
    <n v="5918"/>
    <n v="0"/>
    <n v="5918"/>
    <x v="0"/>
    <x v="0"/>
    <x v="0"/>
    <n v="5918"/>
    <n v="0"/>
    <n v="5918"/>
    <x v="0"/>
    <x v="0"/>
    <x v="0"/>
    <n v="5918"/>
    <n v="0"/>
    <n v="5918"/>
    <x v="0"/>
    <x v="0"/>
    <x v="0"/>
    <x v="0"/>
    <x v="0"/>
  </r>
  <r>
    <x v="5"/>
    <x v="0"/>
    <x v="0"/>
    <x v="6"/>
    <x v="6"/>
    <x v="9"/>
    <x v="9"/>
    <n v="1123"/>
    <s v="830053812"/>
    <s v="ALIANZA FIDUCIARIA S.A. FIDEICOMISOS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30053812"/>
    <s v="ALIANZA FIDUCIARIA S.A. FIDEICOMIS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353624-353625 DESCUENTO DEL 4.5 POR PAGO SEMESTRE ANTICIPADO"/>
    <n v="56858"/>
    <n v="0"/>
    <n v="56858"/>
    <x v="0"/>
    <x v="0"/>
    <x v="0"/>
    <n v="56858"/>
    <n v="0"/>
    <n v="56858"/>
    <x v="0"/>
    <x v="0"/>
    <x v="0"/>
    <n v="56858"/>
    <n v="0"/>
    <n v="56858"/>
    <x v="0"/>
    <x v="0"/>
    <x v="0"/>
    <x v="0"/>
    <x v="0"/>
  </r>
  <r>
    <x v="5"/>
    <x v="0"/>
    <x v="0"/>
    <x v="5"/>
    <x v="5"/>
    <x v="1"/>
    <x v="1"/>
    <n v="46175"/>
    <s v="900825179"/>
    <s v="ELIZABETH TRULLAS  CIA S.A.S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5"/>
    <x v="0"/>
    <x v="0"/>
    <x v="5"/>
    <x v="5"/>
    <x v="1"/>
    <x v="1"/>
    <n v="46176"/>
    <s v="890318490"/>
    <s v="FERRETERIA TUBERIAS S.A.S.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5"/>
    <x v="0"/>
    <x v="0"/>
    <x v="5"/>
    <x v="5"/>
    <x v="9"/>
    <x v="9"/>
    <n v="1255"/>
    <s v="890304049"/>
    <s v="ARQUIDIOCESIS DE CALI"/>
    <s v="201903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049"/>
    <s v="ARQUIDIOCESI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. 9% $494.922"/>
    <n v="494922"/>
    <n v="0"/>
    <n v="494922"/>
    <x v="0"/>
    <x v="0"/>
    <x v="0"/>
    <n v="494922"/>
    <n v="0"/>
    <n v="494922"/>
    <x v="0"/>
    <x v="0"/>
    <x v="0"/>
    <n v="494922"/>
    <n v="0"/>
    <n v="494922"/>
    <x v="0"/>
    <x v="0"/>
    <x v="0"/>
    <x v="0"/>
    <x v="0"/>
  </r>
  <r>
    <x v="5"/>
    <x v="0"/>
    <x v="0"/>
    <x v="0"/>
    <x v="0"/>
    <x v="1"/>
    <x v="1"/>
    <n v="2386"/>
    <s v="900294946"/>
    <s v="BC COMERCIALIZADORA S.A.S"/>
    <s v="201903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294946"/>
    <s v="BC COMERCIALIZADOR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ARTERA EN ABOGADO"/>
    <n v="164461"/>
    <n v="0"/>
    <n v="164461"/>
    <x v="0"/>
    <x v="0"/>
    <x v="0"/>
    <n v="164461"/>
    <n v="0"/>
    <n v="164461"/>
    <x v="0"/>
    <x v="0"/>
    <x v="0"/>
    <n v="164461"/>
    <n v="0"/>
    <n v="164461"/>
    <x v="0"/>
    <x v="0"/>
    <x v="0"/>
    <x v="0"/>
    <x v="0"/>
  </r>
  <r>
    <x v="5"/>
    <x v="0"/>
    <x v="0"/>
    <x v="2"/>
    <x v="2"/>
    <x v="9"/>
    <x v="9"/>
    <n v="1506"/>
    <s v="860003113"/>
    <s v="SANITARIAS E HIDRAULICAS S.A."/>
    <s v="201903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03113"/>
    <s v="SANITARIAS E HIDRAULICA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genera pago por semestre anticipado aplica el 4.5 %"/>
    <n v="42720"/>
    <n v="0"/>
    <n v="42720"/>
    <x v="0"/>
    <x v="0"/>
    <x v="0"/>
    <n v="42720"/>
    <n v="0"/>
    <n v="42720"/>
    <x v="0"/>
    <x v="0"/>
    <x v="0"/>
    <n v="42720"/>
    <n v="0"/>
    <n v="42720"/>
    <x v="0"/>
    <x v="0"/>
    <x v="0"/>
    <x v="0"/>
    <x v="0"/>
  </r>
  <r>
    <x v="5"/>
    <x v="0"/>
    <x v="0"/>
    <x v="5"/>
    <x v="5"/>
    <x v="1"/>
    <x v="1"/>
    <n v="46225"/>
    <s v="31993745"/>
    <s v="RENGIFO MONTEALEGRE MARIA DEL PILAR"/>
    <s v="201903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31993745"/>
    <s v="RENGIFO MONTEALEGRE MARIA DEL PILAR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7"/>
    <x v="0"/>
    <x v="0"/>
    <x v="0"/>
    <x v="0"/>
    <x v="0"/>
    <x v="0"/>
    <n v="4290"/>
    <s v="901046241"/>
    <s v="DECO SHOP S.A.S"/>
    <s v="2019040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1046241"/>
    <s v="DECO SHOP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OR PAGO VOLUNTARIO CARTERA EN ABOGADO"/>
    <n v="224481"/>
    <n v="0"/>
    <n v="224481"/>
    <x v="0"/>
    <x v="0"/>
    <x v="0"/>
    <n v="224481"/>
    <n v="0"/>
    <n v="224481"/>
    <x v="0"/>
    <x v="0"/>
    <x v="0"/>
    <n v="224481"/>
    <n v="0"/>
    <n v="224481"/>
    <x v="0"/>
    <x v="0"/>
    <x v="0"/>
    <x v="0"/>
    <x v="0"/>
  </r>
  <r>
    <x v="7"/>
    <x v="0"/>
    <x v="0"/>
    <x v="1"/>
    <x v="1"/>
    <x v="1"/>
    <x v="1"/>
    <n v="24279"/>
    <s v="890107487"/>
    <s v="SUPERTIENDAS Y DROGUERIAS OLIMPICA S.A."/>
    <s v="2019040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7487"/>
    <s v="SUPERTIENDAS Y DROGUERIAS OLIMPIC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ON DE FACTURAS SEGUN RELACION ADJUNTA"/>
    <n v="2502"/>
    <n v="0"/>
    <n v="2502"/>
    <x v="0"/>
    <x v="0"/>
    <x v="0"/>
    <n v="2502"/>
    <n v="0"/>
    <n v="2502"/>
    <x v="0"/>
    <x v="0"/>
    <x v="0"/>
    <n v="2502"/>
    <n v="0"/>
    <n v="2502"/>
    <x v="0"/>
    <x v="0"/>
    <x v="0"/>
    <x v="0"/>
    <x v="0"/>
  </r>
  <r>
    <x v="7"/>
    <x v="0"/>
    <x v="0"/>
    <x v="1"/>
    <x v="1"/>
    <x v="1"/>
    <x v="1"/>
    <n v="24303"/>
    <s v="32757237"/>
    <s v="MEDINA OLIVEROS FARATH DIVA"/>
    <s v="2019040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487"/>
    <n v="7"/>
    <n v="0"/>
    <n v="7"/>
    <x v="0"/>
    <x v="0"/>
    <x v="0"/>
    <n v="7"/>
    <n v="0"/>
    <n v="7"/>
    <x v="0"/>
    <x v="0"/>
    <x v="0"/>
    <n v="7"/>
    <n v="0"/>
    <n v="7"/>
    <x v="0"/>
    <x v="0"/>
    <x v="0"/>
    <x v="0"/>
    <x v="0"/>
  </r>
  <r>
    <x v="7"/>
    <x v="0"/>
    <x v="0"/>
    <x v="1"/>
    <x v="1"/>
    <x v="1"/>
    <x v="1"/>
    <n v="24304"/>
    <s v="802016306"/>
    <s v="EXPOCONSTRUCCION 43 Y CIA LTDA"/>
    <s v="2019040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12 - FVA-360002"/>
    <n v="17"/>
    <n v="0"/>
    <n v="17"/>
    <x v="0"/>
    <x v="0"/>
    <x v="0"/>
    <n v="17"/>
    <n v="0"/>
    <n v="17"/>
    <x v="0"/>
    <x v="0"/>
    <x v="0"/>
    <n v="17"/>
    <n v="0"/>
    <n v="17"/>
    <x v="0"/>
    <x v="0"/>
    <x v="0"/>
    <x v="0"/>
    <x v="0"/>
  </r>
  <r>
    <x v="7"/>
    <x v="0"/>
    <x v="0"/>
    <x v="1"/>
    <x v="1"/>
    <x v="1"/>
    <x v="1"/>
    <n v="24307"/>
    <s v="890102508"/>
    <s v="SALES INMOBILIARIA S.A."/>
    <s v="2019040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97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7"/>
    <x v="0"/>
    <x v="0"/>
    <x v="3"/>
    <x v="3"/>
    <x v="1"/>
    <x v="1"/>
    <n v="37485"/>
    <s v="811040443"/>
    <s v="B Y B CONSTRUCTORES S.A."/>
    <s v="201904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40443"/>
    <s v="B Y B CONSTRUCTOR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4614"/>
    <n v="1258"/>
    <n v="0"/>
    <n v="1258"/>
    <x v="0"/>
    <x v="0"/>
    <x v="0"/>
    <n v="1258"/>
    <n v="0"/>
    <n v="1258"/>
    <x v="0"/>
    <x v="0"/>
    <x v="0"/>
    <n v="1258"/>
    <n v="0"/>
    <n v="1258"/>
    <x v="0"/>
    <x v="0"/>
    <x v="0"/>
    <x v="0"/>
    <x v="0"/>
  </r>
  <r>
    <x v="6"/>
    <x v="0"/>
    <x v="0"/>
    <x v="6"/>
    <x v="6"/>
    <x v="9"/>
    <x v="9"/>
    <n v="1135"/>
    <s v="25016809"/>
    <s v="MARTINEZ HURTADO NUBIA"/>
    <s v="2019050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25016809"/>
    <s v="MARTINEZ HURTADO NUB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 #358839 DESCUENTO  POR PAGO SEMESTRAL  POR VALOR DE $17.250"/>
    <n v="17250"/>
    <n v="0"/>
    <n v="17250"/>
    <x v="0"/>
    <x v="0"/>
    <x v="0"/>
    <n v="17250"/>
    <n v="0"/>
    <n v="17250"/>
    <x v="0"/>
    <x v="0"/>
    <x v="0"/>
    <n v="17250"/>
    <n v="0"/>
    <n v="17250"/>
    <x v="0"/>
    <x v="0"/>
    <x v="0"/>
    <x v="0"/>
    <x v="0"/>
  </r>
  <r>
    <x v="7"/>
    <x v="0"/>
    <x v="0"/>
    <x v="1"/>
    <x v="1"/>
    <x v="1"/>
    <x v="1"/>
    <n v="24322"/>
    <s v="802016130"/>
    <s v="CENTRO COMERCIAL BUENAVISTA"/>
    <s v="201904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130"/>
    <s v="CENTRO COMERCIAL BUENAVIS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63"/>
    <n v="0.2"/>
    <n v="0"/>
    <n v="0.2"/>
    <x v="0"/>
    <x v="0"/>
    <x v="0"/>
    <n v="0.2"/>
    <n v="0"/>
    <n v="0.2"/>
    <x v="0"/>
    <x v="0"/>
    <x v="0"/>
    <n v="0.2"/>
    <n v="0"/>
    <n v="0.2"/>
    <x v="0"/>
    <x v="0"/>
    <x v="0"/>
    <x v="0"/>
    <x v="0"/>
  </r>
  <r>
    <x v="7"/>
    <x v="0"/>
    <x v="0"/>
    <x v="1"/>
    <x v="1"/>
    <x v="1"/>
    <x v="1"/>
    <n v="24326"/>
    <s v="900061516"/>
    <s v="MUEBLES JAMAR S.A"/>
    <s v="201904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44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7"/>
    <x v="0"/>
    <x v="0"/>
    <x v="1"/>
    <x v="1"/>
    <x v="1"/>
    <x v="1"/>
    <n v="24318"/>
    <s v="802010909"/>
    <s v="INVERSIONES WONGFOEN S.A."/>
    <s v="201904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019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7"/>
    <x v="0"/>
    <x v="0"/>
    <x v="1"/>
    <x v="1"/>
    <x v="1"/>
    <x v="1"/>
    <n v="24340"/>
    <s v="806012958"/>
    <s v="IPS SALUD DEL CARIBE S.A"/>
    <s v="201904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9917 - FVA-359930 - FVA-359935 - FVA-359940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7"/>
    <x v="0"/>
    <x v="0"/>
    <x v="5"/>
    <x v="5"/>
    <x v="1"/>
    <x v="1"/>
    <n v="46378"/>
    <s v="805017506"/>
    <s v="CUTIS S.A."/>
    <s v="201904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7506"/>
    <s v="CUTI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7"/>
    <x v="0"/>
    <x v="0"/>
    <x v="5"/>
    <x v="5"/>
    <x v="1"/>
    <x v="1"/>
    <n v="46380"/>
    <s v="800048954"/>
    <s v="CLINICA VERSALLES S.A."/>
    <s v="201904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800"/>
    <n v="0"/>
    <n v="6800"/>
    <x v="0"/>
    <x v="0"/>
    <x v="0"/>
    <n v="6800"/>
    <n v="0"/>
    <n v="6800"/>
    <x v="0"/>
    <x v="0"/>
    <x v="0"/>
    <n v="6800"/>
    <n v="0"/>
    <n v="6800"/>
    <x v="0"/>
    <x v="0"/>
    <x v="0"/>
    <x v="0"/>
    <x v="0"/>
  </r>
  <r>
    <x v="7"/>
    <x v="0"/>
    <x v="0"/>
    <x v="5"/>
    <x v="5"/>
    <x v="1"/>
    <x v="1"/>
    <n v="46399"/>
    <s v="1509246"/>
    <s v="MORALES SANTACRUZ JESUS ANTONIO"/>
    <s v="201904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91"/>
    <n v="0"/>
    <n v="791"/>
    <x v="0"/>
    <x v="0"/>
    <x v="0"/>
    <n v="791"/>
    <n v="0"/>
    <n v="791"/>
    <x v="0"/>
    <x v="0"/>
    <x v="0"/>
    <n v="791"/>
    <n v="0"/>
    <n v="791"/>
    <x v="0"/>
    <x v="0"/>
    <x v="0"/>
    <x v="0"/>
    <x v="0"/>
  </r>
  <r>
    <x v="7"/>
    <x v="0"/>
    <x v="0"/>
    <x v="5"/>
    <x v="5"/>
    <x v="1"/>
    <x v="1"/>
    <n v="46402"/>
    <s v="800054863"/>
    <s v="HEMISFERIO TOURS Y CIA LTDA"/>
    <s v="201904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54863"/>
    <s v="HEMISFERIO TOURS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987"/>
    <n v="0"/>
    <n v="10987"/>
    <x v="0"/>
    <x v="0"/>
    <x v="0"/>
    <n v="10987"/>
    <n v="0"/>
    <n v="10987"/>
    <x v="0"/>
    <x v="0"/>
    <x v="0"/>
    <n v="10987"/>
    <n v="0"/>
    <n v="10987"/>
    <x v="0"/>
    <x v="0"/>
    <x v="0"/>
    <x v="0"/>
    <x v="0"/>
  </r>
  <r>
    <x v="7"/>
    <x v="0"/>
    <x v="0"/>
    <x v="5"/>
    <x v="5"/>
    <x v="1"/>
    <x v="1"/>
    <n v="46407"/>
    <s v="805009741"/>
    <s v="COOMEVA MEDICINA PREPAGADA S.A."/>
    <s v="201904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766,479,722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7"/>
    <x v="0"/>
    <x v="0"/>
    <x v="3"/>
    <x v="3"/>
    <x v="1"/>
    <x v="1"/>
    <n v="37579"/>
    <s v="800203877"/>
    <s v="INSTITUTO GASTROCLINICO S.A.S"/>
    <s v="201904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203877"/>
    <s v="INSTITUTO GASTROCLINIC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624_x000d__x000a_SE APLICA DCTO POR PRONTO PAGO POR $41.478"/>
    <n v="41478"/>
    <n v="0"/>
    <n v="41478"/>
    <x v="0"/>
    <x v="0"/>
    <x v="0"/>
    <n v="41478"/>
    <n v="0"/>
    <n v="41478"/>
    <x v="0"/>
    <x v="0"/>
    <x v="0"/>
    <n v="41478"/>
    <n v="0"/>
    <n v="41478"/>
    <x v="0"/>
    <x v="0"/>
    <x v="0"/>
    <x v="0"/>
    <x v="0"/>
  </r>
  <r>
    <x v="7"/>
    <x v="0"/>
    <x v="0"/>
    <x v="5"/>
    <x v="5"/>
    <x v="1"/>
    <x v="1"/>
    <n v="46480"/>
    <s v="900203566"/>
    <s v="ABASTECEMOS  DE OCCIDENTE S.A."/>
    <s v="201904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203566"/>
    <s v="ABASTECEMOS 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65"/>
    <n v="0"/>
    <n v="2865"/>
    <x v="0"/>
    <x v="0"/>
    <x v="0"/>
    <n v="2865"/>
    <n v="0"/>
    <n v="2865"/>
    <x v="0"/>
    <x v="0"/>
    <x v="0"/>
    <n v="2865"/>
    <n v="0"/>
    <n v="2865"/>
    <x v="0"/>
    <x v="0"/>
    <x v="0"/>
    <x v="0"/>
    <x v="0"/>
  </r>
  <r>
    <x v="7"/>
    <x v="0"/>
    <x v="0"/>
    <x v="5"/>
    <x v="5"/>
    <x v="9"/>
    <x v="9"/>
    <n v="1276"/>
    <s v="890304049"/>
    <s v="ARQUIDIOCESIS DE CALI"/>
    <s v="201904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049"/>
    <s v="ARQUIDIOCESI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DESCUENTO PAGO AÑO ANTICIPADO, 9% OK, $214.590"/>
    <n v="214590"/>
    <n v="0"/>
    <n v="214590"/>
    <x v="0"/>
    <x v="0"/>
    <x v="0"/>
    <n v="214590"/>
    <n v="0"/>
    <n v="214590"/>
    <x v="0"/>
    <x v="0"/>
    <x v="0"/>
    <n v="214590"/>
    <n v="0"/>
    <n v="214590"/>
    <x v="0"/>
    <x v="0"/>
    <x v="0"/>
    <x v="0"/>
    <x v="0"/>
  </r>
  <r>
    <x v="7"/>
    <x v="0"/>
    <x v="0"/>
    <x v="5"/>
    <x v="5"/>
    <x v="1"/>
    <x v="1"/>
    <n v="46526"/>
    <s v="31933117"/>
    <s v="ARANGO ARBELAEZ MARIA  AUDOLIBIA"/>
    <s v="201904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31933117"/>
    <s v="ARANGO ARBELAEZ MARIA  AUDOLIB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6"/>
    <x v="6"/>
    <x v="9"/>
    <x v="9"/>
    <n v="1136"/>
    <s v="890802036"/>
    <s v="HOSPITAL SAN MARCOS CHINCHINA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0802036"/>
    <s v="HOSPITAL SAN MARCOS CHINCH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610.360594. DESCUENTO POR ESTAMPILLAS $45.300"/>
    <n v="45300"/>
    <n v="0"/>
    <n v="45300"/>
    <x v="0"/>
    <x v="0"/>
    <x v="0"/>
    <n v="45300"/>
    <n v="0"/>
    <n v="45300"/>
    <x v="0"/>
    <x v="0"/>
    <x v="0"/>
    <n v="45300"/>
    <n v="0"/>
    <n v="45300"/>
    <x v="0"/>
    <x v="0"/>
    <x v="0"/>
    <x v="0"/>
    <x v="0"/>
  </r>
  <r>
    <x v="7"/>
    <x v="0"/>
    <x v="0"/>
    <x v="4"/>
    <x v="4"/>
    <x v="9"/>
    <x v="9"/>
    <n v="232"/>
    <s v="890201280"/>
    <s v="COOPERATIVA DE AHORRO Y CREDITO DE PROFESORES"/>
    <s v="201904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01280"/>
    <s v="COOPERATIVA DE AHORRO Y CREDITO DE PROFESOR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60788, FACTURACION ANUAL DE TODOS LOS PUNTOS DE VENTA, EL CLIENTE SE TOMA EL DESCUENTO DEL 9%, VALOR REAL DE LA FACT 26.371.156"/>
    <n v="1994452"/>
    <n v="0"/>
    <n v="1994452"/>
    <x v="0"/>
    <x v="0"/>
    <x v="0"/>
    <n v="1994452"/>
    <n v="0"/>
    <n v="1994452"/>
    <x v="0"/>
    <x v="0"/>
    <x v="0"/>
    <n v="1994452"/>
    <n v="0"/>
    <n v="1994452"/>
    <x v="0"/>
    <x v="0"/>
    <x v="0"/>
    <x v="0"/>
    <x v="0"/>
  </r>
  <r>
    <x v="6"/>
    <x v="0"/>
    <x v="0"/>
    <x v="2"/>
    <x v="2"/>
    <x v="9"/>
    <x v="9"/>
    <n v="1537"/>
    <s v="800058267"/>
    <s v="CENTRO METROPOLITANO PROPIEDAD HORIZONTAL"/>
    <s v="2019050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058267"/>
    <s v="CENTRO METROPOLITANO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REALIZA DESCUNETO DEL 9 % POR PAGO DE AÑO ANTICIPADO."/>
    <n v="86400"/>
    <n v="0"/>
    <n v="86400"/>
    <x v="0"/>
    <x v="0"/>
    <x v="0"/>
    <n v="86400"/>
    <n v="0"/>
    <n v="86400"/>
    <x v="0"/>
    <x v="0"/>
    <x v="0"/>
    <n v="86400"/>
    <n v="0"/>
    <n v="86400"/>
    <x v="0"/>
    <x v="0"/>
    <x v="0"/>
    <x v="0"/>
    <x v="0"/>
  </r>
  <r>
    <x v="6"/>
    <x v="0"/>
    <x v="0"/>
    <x v="1"/>
    <x v="1"/>
    <x v="1"/>
    <x v="1"/>
    <n v="24425"/>
    <s v="32757237"/>
    <s v="MEDINA OLIVEROS FARATH DIVA"/>
    <s v="2019050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370 - FVA-359959"/>
    <n v="9"/>
    <n v="0"/>
    <n v="9"/>
    <x v="0"/>
    <x v="0"/>
    <x v="0"/>
    <n v="9"/>
    <n v="0"/>
    <n v="9"/>
    <x v="0"/>
    <x v="0"/>
    <x v="0"/>
    <n v="9"/>
    <n v="0"/>
    <n v="9"/>
    <x v="0"/>
    <x v="0"/>
    <x v="0"/>
    <x v="0"/>
    <x v="0"/>
  </r>
  <r>
    <x v="6"/>
    <x v="0"/>
    <x v="0"/>
    <x v="2"/>
    <x v="2"/>
    <x v="9"/>
    <x v="9"/>
    <n v="1540"/>
    <s v="900215071"/>
    <s v="BANCO DE LAS MICROFINANZAS - BANCAMIA S.A."/>
    <s v="201905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215071"/>
    <s v="BANCO DE LAS MICROFINANZAS - BANCAM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 % POR PAGO DE AÑO ANTICIPADO Y RTE/ICA $ 34.692"/>
    <n v="214812"/>
    <n v="0"/>
    <n v="214812"/>
    <x v="0"/>
    <x v="0"/>
    <x v="0"/>
    <n v="214812"/>
    <n v="0"/>
    <n v="214812"/>
    <x v="0"/>
    <x v="0"/>
    <x v="0"/>
    <n v="214812"/>
    <n v="0"/>
    <n v="214812"/>
    <x v="0"/>
    <x v="0"/>
    <x v="0"/>
    <x v="0"/>
    <x v="0"/>
  </r>
  <r>
    <x v="6"/>
    <x v="0"/>
    <x v="0"/>
    <x v="5"/>
    <x v="5"/>
    <x v="1"/>
    <x v="1"/>
    <n v="46573"/>
    <s v="817001528"/>
    <s v="PAVCO DE OCCIDENTE SAS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7"/>
    <n v="0"/>
    <n v="1407"/>
    <x v="0"/>
    <x v="0"/>
    <x v="0"/>
    <n v="1407"/>
    <n v="0"/>
    <n v="1407"/>
    <x v="0"/>
    <x v="0"/>
    <x v="0"/>
    <n v="1407"/>
    <n v="0"/>
    <n v="1407"/>
    <x v="0"/>
    <x v="0"/>
    <x v="0"/>
    <x v="0"/>
    <x v="0"/>
  </r>
  <r>
    <x v="6"/>
    <x v="0"/>
    <x v="0"/>
    <x v="5"/>
    <x v="5"/>
    <x v="1"/>
    <x v="1"/>
    <n v="46613"/>
    <s v="890305224"/>
    <s v="CORPORACION CLUB CAMPESTRE FARALLONES"/>
    <s v="201905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5224"/>
    <s v="CORPORACION CLUB CAMPESTRE FARALLON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"/>
    <n v="0"/>
    <n v="24"/>
    <x v="0"/>
    <x v="0"/>
    <x v="0"/>
    <n v="24"/>
    <n v="0"/>
    <n v="24"/>
    <x v="0"/>
    <x v="0"/>
    <x v="0"/>
    <n v="24"/>
    <n v="0"/>
    <n v="24"/>
    <x v="0"/>
    <x v="0"/>
    <x v="0"/>
    <x v="0"/>
    <x v="0"/>
  </r>
  <r>
    <x v="6"/>
    <x v="0"/>
    <x v="0"/>
    <x v="1"/>
    <x v="1"/>
    <x v="1"/>
    <x v="1"/>
    <n v="24452"/>
    <s v="802019287"/>
    <s v="ERICH HELLER &amp; CIA EN COMANDITA SIMPLE"/>
    <s v="201905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9287"/>
    <s v="ERICH HELLER &amp; CIA EN COMANDITA SIMPLE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51"/>
    <n v="3114"/>
    <n v="0"/>
    <n v="3114"/>
    <x v="0"/>
    <x v="0"/>
    <x v="0"/>
    <n v="3114"/>
    <n v="0"/>
    <n v="3114"/>
    <x v="0"/>
    <x v="0"/>
    <x v="0"/>
    <n v="3114"/>
    <n v="0"/>
    <n v="3114"/>
    <x v="0"/>
    <x v="0"/>
    <x v="0"/>
    <x v="0"/>
    <x v="0"/>
  </r>
  <r>
    <x v="6"/>
    <x v="0"/>
    <x v="0"/>
    <x v="3"/>
    <x v="3"/>
    <x v="1"/>
    <x v="1"/>
    <n v="37692"/>
    <s v="811015694"/>
    <s v="INVERSIONES QUINTERO GARCIA LIMITADA"/>
    <s v="201905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15694"/>
    <s v="INVERSIONES QUINTERO GARCIA LIMITA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631_x000d__x000a_SE APLICA DCTO COMERCIAL DEL 4.5%"/>
    <n v="84899"/>
    <n v="0"/>
    <n v="84899"/>
    <x v="0"/>
    <x v="0"/>
    <x v="0"/>
    <n v="84899"/>
    <n v="0"/>
    <n v="84899"/>
    <x v="0"/>
    <x v="0"/>
    <x v="0"/>
    <n v="84899"/>
    <n v="0"/>
    <n v="84899"/>
    <x v="0"/>
    <x v="0"/>
    <x v="0"/>
    <x v="0"/>
    <x v="0"/>
  </r>
  <r>
    <x v="6"/>
    <x v="0"/>
    <x v="0"/>
    <x v="5"/>
    <x v="5"/>
    <x v="1"/>
    <x v="1"/>
    <n v="46641"/>
    <s v="1509246"/>
    <s v="MORALES SANTACRUZ JESUS ANTONIO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123"/>
    <n v="0"/>
    <n v="2123"/>
    <x v="0"/>
    <x v="0"/>
    <x v="0"/>
    <n v="2123"/>
    <n v="0"/>
    <n v="2123"/>
    <x v="0"/>
    <x v="0"/>
    <x v="0"/>
    <n v="2123"/>
    <n v="0"/>
    <n v="2123"/>
    <x v="0"/>
    <x v="0"/>
    <x v="0"/>
    <x v="0"/>
    <x v="0"/>
  </r>
  <r>
    <x v="6"/>
    <x v="0"/>
    <x v="0"/>
    <x v="5"/>
    <x v="5"/>
    <x v="1"/>
    <x v="1"/>
    <n v="46642"/>
    <s v="890318490"/>
    <s v="FERRETERIA TUBERIAS S.A.S.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6"/>
    <x v="0"/>
    <x v="0"/>
    <x v="5"/>
    <x v="5"/>
    <x v="1"/>
    <x v="1"/>
    <n v="46643"/>
    <s v="42087065"/>
    <s v="RUEDA OCAMPO CLAUDIA PATRICIA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42087065"/>
    <s v="RUEDA OCAMPO CLAUDIA PATRIC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1"/>
    <n v="0"/>
    <n v="21"/>
    <x v="0"/>
    <x v="0"/>
    <x v="0"/>
    <n v="21"/>
    <n v="0"/>
    <n v="21"/>
    <x v="0"/>
    <x v="0"/>
    <x v="0"/>
    <n v="21"/>
    <n v="0"/>
    <n v="21"/>
    <x v="0"/>
    <x v="0"/>
    <x v="0"/>
    <x v="0"/>
    <x v="0"/>
  </r>
  <r>
    <x v="6"/>
    <x v="0"/>
    <x v="0"/>
    <x v="1"/>
    <x v="1"/>
    <x v="1"/>
    <x v="1"/>
    <n v="24470"/>
    <s v="890107487"/>
    <s v="SUPERTIENDAS Y DROGUERIAS OLIMPICA S.A.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7487"/>
    <s v="SUPERTIENDAS Y DROGUERIAS OLIMPIC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ON DE FACTURAS SEGUN RELACION ENVIADA POR EL CLIENTE"/>
    <n v="23"/>
    <n v="0"/>
    <n v="23"/>
    <x v="0"/>
    <x v="0"/>
    <x v="0"/>
    <n v="23"/>
    <n v="0"/>
    <n v="23"/>
    <x v="0"/>
    <x v="0"/>
    <x v="0"/>
    <n v="23"/>
    <n v="0"/>
    <n v="23"/>
    <x v="0"/>
    <x v="0"/>
    <x v="0"/>
    <x v="0"/>
    <x v="0"/>
  </r>
  <r>
    <x v="6"/>
    <x v="0"/>
    <x v="0"/>
    <x v="2"/>
    <x v="2"/>
    <x v="9"/>
    <x v="9"/>
    <n v="1546"/>
    <s v="860049609"/>
    <s v="MILSEN S.A."/>
    <s v="201905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49609"/>
    <s v="MILS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ANUAL 9% $175.635"/>
    <n v="175635"/>
    <n v="0"/>
    <n v="175635"/>
    <x v="0"/>
    <x v="0"/>
    <x v="0"/>
    <n v="175635"/>
    <n v="0"/>
    <n v="175635"/>
    <x v="0"/>
    <x v="0"/>
    <x v="0"/>
    <n v="175635"/>
    <n v="0"/>
    <n v="175635"/>
    <x v="0"/>
    <x v="0"/>
    <x v="0"/>
    <x v="0"/>
    <x v="0"/>
  </r>
  <r>
    <x v="6"/>
    <x v="0"/>
    <x v="0"/>
    <x v="2"/>
    <x v="2"/>
    <x v="9"/>
    <x v="9"/>
    <n v="1547"/>
    <s v="860510431"/>
    <s v="ALVARO VELEZ Y CIA S.A.S"/>
    <s v="201905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10431"/>
    <s v="ALVARO VELEZ Y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RONTO PAGO TRIMESTRAL 2.25% $8.34,  RTE ICA $5.118"/>
    <n v="8344"/>
    <n v="0"/>
    <n v="8344"/>
    <x v="0"/>
    <x v="0"/>
    <x v="0"/>
    <n v="8344"/>
    <n v="0"/>
    <n v="8344"/>
    <x v="0"/>
    <x v="0"/>
    <x v="0"/>
    <n v="8344"/>
    <n v="0"/>
    <n v="8344"/>
    <x v="0"/>
    <x v="0"/>
    <x v="0"/>
    <x v="0"/>
    <x v="0"/>
  </r>
  <r>
    <x v="6"/>
    <x v="0"/>
    <x v="0"/>
    <x v="2"/>
    <x v="2"/>
    <x v="9"/>
    <x v="9"/>
    <n v="1548"/>
    <s v="860000189"/>
    <s v="CARCO S.A."/>
    <s v="201905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00189"/>
    <s v="CARCO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REALIZA PAGO DE AÑO ANTICIPADO NO APLICA EL DESCUENTO Y ESTA SOLICITANDO EL REINTEGRO."/>
    <n v="150050"/>
    <n v="0"/>
    <n v="150050"/>
    <x v="0"/>
    <x v="0"/>
    <x v="0"/>
    <n v="150050"/>
    <n v="0"/>
    <n v="150050"/>
    <x v="0"/>
    <x v="0"/>
    <x v="0"/>
    <n v="150050"/>
    <n v="0"/>
    <n v="150050"/>
    <x v="0"/>
    <x v="0"/>
    <x v="0"/>
    <x v="0"/>
    <x v="0"/>
  </r>
  <r>
    <x v="6"/>
    <x v="0"/>
    <x v="0"/>
    <x v="0"/>
    <x v="0"/>
    <x v="1"/>
    <x v="1"/>
    <n v="2393"/>
    <s v="43185725"/>
    <s v="SALAZAR ARISTIZABAL SULAY"/>
    <s v="201905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43185725"/>
    <s v="SALAZAR ARISTIZABAL SULAY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PARTIDA PENDIENTE"/>
    <n v="1898"/>
    <n v="0"/>
    <n v="1898"/>
    <x v="0"/>
    <x v="0"/>
    <x v="0"/>
    <n v="1898"/>
    <n v="0"/>
    <n v="1898"/>
    <x v="0"/>
    <x v="0"/>
    <x v="0"/>
    <n v="1898"/>
    <n v="0"/>
    <n v="1898"/>
    <x v="0"/>
    <x v="0"/>
    <x v="0"/>
    <x v="0"/>
    <x v="0"/>
  </r>
  <r>
    <x v="6"/>
    <x v="0"/>
    <x v="0"/>
    <x v="6"/>
    <x v="6"/>
    <x v="9"/>
    <x v="9"/>
    <n v="1138"/>
    <s v="800178245"/>
    <s v="COOPERATIVA  DE PROMOCION SOCIAL COOPSOCIAL"/>
    <s v="201905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00178245"/>
    <s v="COOPERATIVA  DE PROMOCION SOCIAL COOPSOCI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638 DESCUENTO POR VALOR DE $109.242 POR PAGO ANUAL ANTICIPADO"/>
    <n v="109242"/>
    <n v="0"/>
    <n v="109242"/>
    <x v="0"/>
    <x v="0"/>
    <x v="0"/>
    <n v="109242"/>
    <n v="0"/>
    <n v="109242"/>
    <x v="0"/>
    <x v="0"/>
    <x v="0"/>
    <n v="109242"/>
    <n v="0"/>
    <n v="109242"/>
    <x v="0"/>
    <x v="0"/>
    <x v="0"/>
    <x v="0"/>
    <x v="0"/>
  </r>
  <r>
    <x v="6"/>
    <x v="0"/>
    <x v="0"/>
    <x v="5"/>
    <x v="5"/>
    <x v="1"/>
    <x v="1"/>
    <n v="46787"/>
    <s v="805009741"/>
    <s v="COOMEVA MEDICINA PREPAGADA S.A."/>
    <s v="201905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5"/>
    <x v="5"/>
    <x v="1"/>
    <x v="1"/>
    <n v="46828"/>
    <s v="650187917"/>
    <s v="FREI  HEINRICH ERNEST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50187917"/>
    <s v="FREI  HEINRICH ERNEST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60"/>
    <n v="0"/>
    <n v="660"/>
    <x v="0"/>
    <x v="0"/>
    <x v="0"/>
    <n v="660"/>
    <n v="0"/>
    <n v="660"/>
    <x v="0"/>
    <x v="0"/>
    <x v="0"/>
    <n v="660"/>
    <n v="0"/>
    <n v="660"/>
    <x v="0"/>
    <x v="0"/>
    <x v="0"/>
    <x v="0"/>
    <x v="0"/>
  </r>
  <r>
    <x v="2"/>
    <x v="0"/>
    <x v="0"/>
    <x v="1"/>
    <x v="1"/>
    <x v="1"/>
    <x v="1"/>
    <n v="24577"/>
    <s v="900061516"/>
    <s v="MUEBLES JAMAR S.A"/>
    <s v="201906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72 - FV5-773 - FV5-774 - FV5-775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2"/>
    <x v="0"/>
    <x v="0"/>
    <x v="5"/>
    <x v="5"/>
    <x v="1"/>
    <x v="1"/>
    <n v="46885"/>
    <s v="1130643632"/>
    <s v="ZAPATA VILLARIAGA KATERIN"/>
    <s v="201906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130643632"/>
    <s v="ZAPATA VILLARIAGA KATERI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54"/>
    <n v="0"/>
    <n v="254"/>
    <x v="0"/>
    <x v="0"/>
    <x v="0"/>
    <n v="254"/>
    <n v="0"/>
    <n v="254"/>
    <x v="0"/>
    <x v="0"/>
    <x v="0"/>
    <n v="254"/>
    <n v="0"/>
    <n v="254"/>
    <x v="0"/>
    <x v="0"/>
    <x v="0"/>
    <x v="0"/>
    <x v="0"/>
  </r>
  <r>
    <x v="0"/>
    <x v="0"/>
    <x v="0"/>
    <x v="0"/>
    <x v="0"/>
    <x v="2"/>
    <x v="2"/>
    <n v="19417"/>
    <s v="860035827"/>
    <s v="BANCO AV VILLAS"/>
    <s v="201901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0520-1 AV VILLAS"/>
    <n v="850833"/>
    <n v="0"/>
    <n v="850833"/>
    <x v="0"/>
    <x v="0"/>
    <x v="0"/>
    <n v="850833"/>
    <n v="0"/>
    <n v="850833"/>
    <x v="0"/>
    <x v="0"/>
    <x v="0"/>
    <n v="850833"/>
    <n v="0"/>
    <n v="850833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1"/>
    <x v="0"/>
    <x v="0"/>
    <x v="3"/>
    <x v="3"/>
    <x v="1"/>
    <x v="1"/>
    <n v="37253"/>
    <s v="811003486"/>
    <s v="QUIPUX SAS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03486"/>
    <s v="QUIPUX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CNELA FACTURA # 357680"/>
    <n v="3189"/>
    <n v="0"/>
    <n v="3189"/>
    <x v="0"/>
    <x v="0"/>
    <x v="0"/>
    <n v="3189"/>
    <n v="0"/>
    <n v="3189"/>
    <x v="0"/>
    <x v="0"/>
    <x v="0"/>
    <n v="3189"/>
    <n v="0"/>
    <n v="3189"/>
    <x v="0"/>
    <x v="0"/>
    <x v="0"/>
    <x v="0"/>
    <x v="0"/>
  </r>
  <r>
    <x v="5"/>
    <x v="0"/>
    <x v="0"/>
    <x v="1"/>
    <x v="1"/>
    <x v="1"/>
    <x v="1"/>
    <n v="24269"/>
    <s v="900494780"/>
    <s v="DISEÑARTE S.D. S.A.S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494780"/>
    <s v="DISEÑARTE S.D.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04"/>
    <n v="6"/>
    <n v="0"/>
    <n v="6"/>
    <x v="0"/>
    <x v="0"/>
    <x v="0"/>
    <n v="6"/>
    <n v="0"/>
    <n v="6"/>
    <x v="0"/>
    <x v="0"/>
    <x v="0"/>
    <n v="6"/>
    <n v="0"/>
    <n v="6"/>
    <x v="0"/>
    <x v="0"/>
    <x v="0"/>
    <x v="0"/>
    <x v="0"/>
  </r>
  <r>
    <x v="6"/>
    <x v="0"/>
    <x v="0"/>
    <x v="4"/>
    <x v="4"/>
    <x v="9"/>
    <x v="9"/>
    <n v="235"/>
    <s v="800086042"/>
    <s v="INACAR S.A.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00086042"/>
    <s v="INACAR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62132, DESCTO POR RETE FTE, 22.508, RETE IVA 16.037 Y RETE ICA 5.436"/>
    <n v="5436"/>
    <n v="0"/>
    <n v="5436"/>
    <x v="0"/>
    <x v="0"/>
    <x v="0"/>
    <n v="5436"/>
    <n v="0"/>
    <n v="5436"/>
    <x v="0"/>
    <x v="0"/>
    <x v="0"/>
    <n v="5436"/>
    <n v="0"/>
    <n v="5436"/>
    <x v="0"/>
    <x v="0"/>
    <x v="0"/>
    <x v="0"/>
    <x v="0"/>
  </r>
  <r>
    <x v="1"/>
    <x v="0"/>
    <x v="0"/>
    <x v="4"/>
    <x v="4"/>
    <x v="1"/>
    <x v="1"/>
    <n v="20298"/>
    <s v="804001890"/>
    <s v="UNIVERSIDAD DE SANTANDER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04001890"/>
    <s v="UNIVERSIDAD DE SANTANDER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7341-357342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5"/>
    <x v="0"/>
    <x v="0"/>
    <x v="6"/>
    <x v="6"/>
    <x v="9"/>
    <x v="9"/>
    <n v="1116"/>
    <s v="891900539"/>
    <s v="CAMARA DE COMERCIO DE CARTAGO"/>
    <s v="2019030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1900539"/>
    <s v="CAMARA DE COMERCIO DE CARTAG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597 DESCUENTO DEL 9 %POR PAGO ANUAL ANTICIPADO  $1899.840"/>
    <n v="1899840"/>
    <n v="0"/>
    <n v="1899840"/>
    <x v="0"/>
    <x v="0"/>
    <x v="0"/>
    <n v="1899840"/>
    <n v="0"/>
    <n v="1899840"/>
    <x v="0"/>
    <x v="0"/>
    <x v="0"/>
    <n v="1899840"/>
    <n v="0"/>
    <n v="1899840"/>
    <x v="0"/>
    <x v="0"/>
    <x v="0"/>
    <x v="0"/>
    <x v="0"/>
  </r>
  <r>
    <x v="5"/>
    <x v="0"/>
    <x v="0"/>
    <x v="1"/>
    <x v="1"/>
    <x v="1"/>
    <x v="1"/>
    <n v="24156"/>
    <s v="900054062"/>
    <s v="EDIFICIO MEGA CENTRO COMERCIAL Y DE SERVICIOS BUENAVISTA SANTA MARTA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54062"/>
    <s v="EDIFICIO MEGA CENTRO COMERCIAL Y DE SERVICIOS BUENAVISTA SANTA MAR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490"/>
    <n v="30"/>
    <n v="0"/>
    <n v="30"/>
    <x v="0"/>
    <x v="0"/>
    <x v="0"/>
    <n v="30"/>
    <n v="0"/>
    <n v="30"/>
    <x v="0"/>
    <x v="0"/>
    <x v="0"/>
    <n v="30"/>
    <n v="0"/>
    <n v="30"/>
    <x v="0"/>
    <x v="0"/>
    <x v="0"/>
    <x v="0"/>
    <x v="0"/>
  </r>
  <r>
    <x v="5"/>
    <x v="0"/>
    <x v="0"/>
    <x v="6"/>
    <x v="6"/>
    <x v="9"/>
    <x v="9"/>
    <n v="1121"/>
    <s v="891411381"/>
    <s v="LAB.CLINICO PATOLOGICO LOPEZ CORREA S.A."/>
    <s v="201903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1411381"/>
    <s v="LAB.CLINICO PATOLOGICO LOPEZ CORRE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358838 DESCUENTO DEL 9 % POR  PAGO ANTICIPADO  POR VALOR DE 139.114"/>
    <n v="139114"/>
    <n v="0"/>
    <n v="139114"/>
    <x v="0"/>
    <x v="0"/>
    <x v="0"/>
    <n v="139114"/>
    <n v="0"/>
    <n v="139114"/>
    <x v="0"/>
    <x v="0"/>
    <x v="0"/>
    <n v="139114"/>
    <n v="0"/>
    <n v="139114"/>
    <x v="0"/>
    <x v="0"/>
    <x v="0"/>
    <x v="0"/>
    <x v="0"/>
  </r>
  <r>
    <x v="5"/>
    <x v="0"/>
    <x v="0"/>
    <x v="6"/>
    <x v="6"/>
    <x v="9"/>
    <x v="9"/>
    <n v="1120"/>
    <s v="800021913"/>
    <s v="G.GRAJALES AUTOSERVICIO S.A.S"/>
    <s v="201903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00021913"/>
    <s v="G.GRAJALES AUTOSERVICI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358828 DESCUENTO DE 9% POR PAGO ANTICIPADO DE $ 105.532"/>
    <n v="105532"/>
    <n v="0"/>
    <n v="105532"/>
    <x v="0"/>
    <x v="0"/>
    <x v="0"/>
    <n v="105532"/>
    <n v="0"/>
    <n v="105532"/>
    <x v="0"/>
    <x v="0"/>
    <x v="0"/>
    <n v="105532"/>
    <n v="0"/>
    <n v="105532"/>
    <x v="0"/>
    <x v="0"/>
    <x v="0"/>
    <x v="0"/>
    <x v="0"/>
  </r>
  <r>
    <x v="5"/>
    <x v="0"/>
    <x v="0"/>
    <x v="3"/>
    <x v="3"/>
    <x v="1"/>
    <x v="1"/>
    <n v="37408"/>
    <s v="800017259"/>
    <s v="PASAJE COMERCIAL EL BOULEVARD DE JUNIN P-H"/>
    <s v="201903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017259"/>
    <s v="PASAJE COMERCIAL EL BOULEVARD DE JUNIN P-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9706 DCTO PRONTO 2.25%"/>
    <n v="14388"/>
    <n v="0"/>
    <n v="14388"/>
    <x v="0"/>
    <x v="0"/>
    <x v="0"/>
    <n v="14388"/>
    <n v="0"/>
    <n v="14388"/>
    <x v="0"/>
    <x v="0"/>
    <x v="0"/>
    <n v="14388"/>
    <n v="0"/>
    <n v="14388"/>
    <x v="0"/>
    <x v="0"/>
    <x v="0"/>
    <x v="0"/>
    <x v="0"/>
  </r>
  <r>
    <x v="7"/>
    <x v="0"/>
    <x v="0"/>
    <x v="5"/>
    <x v="5"/>
    <x v="1"/>
    <x v="1"/>
    <n v="46374"/>
    <s v="860046201"/>
    <s v="FORTOX S.A"/>
    <s v="201904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932."/>
    <n v="4"/>
    <n v="0"/>
    <n v="4"/>
    <x v="0"/>
    <x v="0"/>
    <x v="0"/>
    <n v="4"/>
    <n v="0"/>
    <n v="4"/>
    <x v="0"/>
    <x v="0"/>
    <x v="0"/>
    <n v="4"/>
    <n v="0"/>
    <n v="4"/>
    <x v="0"/>
    <x v="0"/>
    <x v="0"/>
    <x v="0"/>
    <x v="0"/>
  </r>
  <r>
    <x v="7"/>
    <x v="0"/>
    <x v="0"/>
    <x v="3"/>
    <x v="3"/>
    <x v="1"/>
    <x v="1"/>
    <n v="37543"/>
    <s v="800010866"/>
    <s v="EXPERTOS SEGURIDAD LTDA."/>
    <s v="201904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010866"/>
    <s v="EXPERTOS SEGURIDAD LTD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719"/>
    <n v="10419"/>
    <n v="0"/>
    <n v="10419"/>
    <x v="0"/>
    <x v="0"/>
    <x v="0"/>
    <n v="10419"/>
    <n v="0"/>
    <n v="10419"/>
    <x v="0"/>
    <x v="0"/>
    <x v="0"/>
    <n v="10419"/>
    <n v="0"/>
    <n v="10419"/>
    <x v="0"/>
    <x v="0"/>
    <x v="0"/>
    <x v="0"/>
    <x v="0"/>
  </r>
  <r>
    <x v="7"/>
    <x v="0"/>
    <x v="0"/>
    <x v="3"/>
    <x v="3"/>
    <x v="1"/>
    <x v="1"/>
    <n v="37589"/>
    <s v="811013715"/>
    <s v="LINEA ADHESIVA S.A"/>
    <s v="201904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13715"/>
    <s v="LINEA ADHESIV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634_x000d__x000a_APLICA DCTO PRONTO PAGO DEL 2.25%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6"/>
    <x v="0"/>
    <x v="0"/>
    <x v="1"/>
    <x v="1"/>
    <x v="1"/>
    <x v="1"/>
    <n v="24445"/>
    <s v="806012958"/>
    <s v="IPS SALUD DEL CARIBE S.A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964 - FVA-360977 - FVA-360983 - FVA-360987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6"/>
    <x v="0"/>
    <x v="0"/>
    <x v="1"/>
    <x v="1"/>
    <x v="1"/>
    <x v="1"/>
    <n v="24450"/>
    <s v="900061516"/>
    <s v="MUEBLES JAMAR S.A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60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5"/>
    <x v="5"/>
    <x v="1"/>
    <x v="1"/>
    <n v="46817"/>
    <s v="1130643632"/>
    <s v="ZAPATA VILLARIAGA KATERIN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130643632"/>
    <s v="ZAPATA VILLARIAGA KATERI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4"/>
    <n v="0"/>
    <n v="54"/>
    <x v="0"/>
    <x v="0"/>
    <x v="0"/>
    <n v="54"/>
    <n v="0"/>
    <n v="54"/>
    <x v="0"/>
    <x v="0"/>
    <x v="0"/>
    <n v="54"/>
    <n v="0"/>
    <n v="54"/>
    <x v="0"/>
    <x v="0"/>
    <x v="0"/>
    <x v="0"/>
    <x v="0"/>
  </r>
  <r>
    <x v="2"/>
    <x v="0"/>
    <x v="0"/>
    <x v="5"/>
    <x v="5"/>
    <x v="9"/>
    <x v="9"/>
    <n v="1308"/>
    <s v="800074047"/>
    <s v="REPUESTOS CALI S.A.S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74047"/>
    <s v="REPUESTOS CAL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, 9% $155.520 OK."/>
    <n v="155520"/>
    <n v="0"/>
    <n v="155520"/>
    <x v="0"/>
    <x v="0"/>
    <x v="0"/>
    <n v="155520"/>
    <n v="0"/>
    <n v="155520"/>
    <x v="0"/>
    <x v="0"/>
    <x v="0"/>
    <n v="155520"/>
    <n v="0"/>
    <n v="155520"/>
    <x v="0"/>
    <x v="0"/>
    <x v="0"/>
    <x v="0"/>
    <x v="0"/>
  </r>
  <r>
    <x v="2"/>
    <x v="0"/>
    <x v="0"/>
    <x v="3"/>
    <x v="3"/>
    <x v="9"/>
    <x v="9"/>
    <n v="1157"/>
    <s v="800123655"/>
    <s v="PRO EXEQUIALES RESURGIR S.A"/>
    <s v="201906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123655"/>
    <s v="PRO EXEQUIALES RESURGI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4733_x000d__x000a_DCTO ANUAL ANTICIPADO 9%"/>
    <n v="186853"/>
    <n v="0"/>
    <n v="186853"/>
    <x v="0"/>
    <x v="0"/>
    <x v="0"/>
    <n v="186853"/>
    <n v="0"/>
    <n v="186853"/>
    <x v="0"/>
    <x v="0"/>
    <x v="0"/>
    <n v="186853"/>
    <n v="0"/>
    <n v="186853"/>
    <x v="0"/>
    <x v="0"/>
    <x v="0"/>
    <x v="0"/>
    <x v="0"/>
  </r>
  <r>
    <x v="2"/>
    <x v="0"/>
    <x v="0"/>
    <x v="3"/>
    <x v="3"/>
    <x v="9"/>
    <x v="9"/>
    <n v="1158"/>
    <s v="800123655"/>
    <s v="PRO EXEQUIALES RESURGIR S.A"/>
    <s v="201906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123655"/>
    <s v="PRO EXEQUIALES RESURGI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4732_x000d__x000a_DCTO CCIAL ANUAL ANTICIPADO 9%"/>
    <n v="104507"/>
    <n v="0"/>
    <n v="104507"/>
    <x v="0"/>
    <x v="0"/>
    <x v="0"/>
    <n v="104507"/>
    <n v="0"/>
    <n v="104507"/>
    <x v="0"/>
    <x v="0"/>
    <x v="0"/>
    <n v="104507"/>
    <n v="0"/>
    <n v="104507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18378"/>
    <n v="0"/>
    <n v="318378"/>
    <x v="0"/>
    <x v="0"/>
    <x v="0"/>
    <n v="318378"/>
    <n v="0"/>
    <n v="318378"/>
    <x v="0"/>
    <x v="0"/>
    <x v="0"/>
    <n v="318378"/>
    <n v="0"/>
    <n v="318378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2295"/>
    <n v="0"/>
    <n v="52295"/>
    <x v="0"/>
    <x v="0"/>
    <x v="0"/>
    <n v="52295"/>
    <n v="0"/>
    <n v="52295"/>
    <x v="0"/>
    <x v="0"/>
    <x v="0"/>
    <n v="52295"/>
    <n v="0"/>
    <n v="52295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Dispersion Nomina"/>
    <n v="1963.15"/>
    <n v="0"/>
    <n v="1963.15"/>
    <x v="0"/>
    <x v="0"/>
    <x v="0"/>
    <n v="1963.15"/>
    <n v="0"/>
    <n v="1963.15"/>
    <x v="0"/>
    <x v="0"/>
    <x v="0"/>
    <n v="1963.15"/>
    <n v="0"/>
    <n v="1963.15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436"/>
    <n v="0"/>
    <n v="3436"/>
    <x v="0"/>
    <x v="0"/>
    <x v="0"/>
    <n v="3436"/>
    <n v="0"/>
    <n v="3436"/>
    <x v="0"/>
    <x v="0"/>
    <x v="0"/>
    <n v="3436"/>
    <n v="0"/>
    <n v="3436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2"/>
    <x v="2"/>
    <n v="19574"/>
    <s v="440100003729"/>
    <s v="TOTALCHOICE HOSTING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0100003729"/>
    <s v="TOTALCHOICE HOSTING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OAGO DE TARJETA DE CREDITO 2581"/>
    <n v="47229.36"/>
    <n v="0"/>
    <n v="47229.36"/>
    <x v="0"/>
    <x v="0"/>
    <x v="0"/>
    <n v="47229.36"/>
    <n v="0"/>
    <n v="47229.36"/>
    <x v="0"/>
    <x v="0"/>
    <x v="0"/>
    <n v="47229.36"/>
    <n v="0"/>
    <n v="47229.36"/>
    <x v="0"/>
    <x v="0"/>
    <x v="0"/>
    <x v="0"/>
    <x v="0"/>
  </r>
  <r>
    <x v="0"/>
    <x v="0"/>
    <x v="0"/>
    <x v="0"/>
    <x v="0"/>
    <x v="2"/>
    <x v="2"/>
    <n v="19575"/>
    <s v="890916575"/>
    <s v="DISTRIBUIDORA DE VINOS Y LICORES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16575"/>
    <s v="DISTRIBUIDORA DE VINOS Y LICOR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3015  BANCOLOMBIA"/>
    <n v="17019.810000000001"/>
    <n v="0"/>
    <n v="17019.810000000001"/>
    <x v="0"/>
    <x v="0"/>
    <x v="0"/>
    <n v="17019.810000000001"/>
    <n v="0"/>
    <n v="17019.810000000001"/>
    <x v="0"/>
    <x v="0"/>
    <x v="0"/>
    <n v="17019.810000000001"/>
    <n v="0"/>
    <n v="17019.81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3732.32"/>
    <n v="0"/>
    <n v="13732.32"/>
    <x v="0"/>
    <x v="0"/>
    <x v="0"/>
    <n v="13732.32"/>
    <n v="0"/>
    <n v="13732.32"/>
    <x v="0"/>
    <x v="0"/>
    <x v="0"/>
    <n v="13732.32"/>
    <n v="0"/>
    <n v="13732.3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5741.5"/>
    <n v="0"/>
    <n v="25741.5"/>
    <x v="0"/>
    <x v="0"/>
    <x v="0"/>
    <n v="25741.5"/>
    <n v="0"/>
    <n v="25741.5"/>
    <x v="0"/>
    <x v="0"/>
    <x v="0"/>
    <n v="25741.5"/>
    <n v="0"/>
    <n v="25741.5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5"/>
    <x v="5"/>
    <x v="9"/>
    <x v="9"/>
    <n v="1265"/>
    <s v="805011901"/>
    <s v="LASKIN S.A.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1901"/>
    <s v="LASK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%9, $82.299"/>
    <n v="82299"/>
    <n v="0"/>
    <n v="82299"/>
    <x v="0"/>
    <x v="0"/>
    <x v="0"/>
    <n v="82299"/>
    <n v="0"/>
    <n v="82299"/>
    <x v="0"/>
    <x v="0"/>
    <x v="0"/>
    <n v="82299"/>
    <n v="0"/>
    <n v="82299"/>
    <x v="0"/>
    <x v="0"/>
    <x v="0"/>
    <x v="0"/>
    <x v="0"/>
  </r>
  <r>
    <x v="5"/>
    <x v="0"/>
    <x v="0"/>
    <x v="5"/>
    <x v="5"/>
    <x v="1"/>
    <x v="1"/>
    <n v="46025"/>
    <s v="805029384"/>
    <s v="BUENAVISTA CONSTRUCTORA Y PROMOTORA S.A.S"/>
    <s v="2019030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29384"/>
    <s v="BUENAVISTA CONSTRUCTORA Y PROMOTOR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0204"/>
    <n v="0"/>
    <n v="10204"/>
    <x v="0"/>
    <x v="0"/>
    <x v="0"/>
    <n v="10204"/>
    <n v="0"/>
    <n v="10204"/>
    <x v="0"/>
    <x v="0"/>
    <x v="0"/>
    <n v="10204"/>
    <n v="0"/>
    <n v="10204"/>
    <x v="0"/>
    <x v="0"/>
    <x v="0"/>
    <x v="0"/>
    <x v="0"/>
  </r>
  <r>
    <x v="5"/>
    <x v="0"/>
    <x v="0"/>
    <x v="5"/>
    <x v="5"/>
    <x v="1"/>
    <x v="1"/>
    <n v="46069"/>
    <s v="860037900"/>
    <s v="CONSTRUCTORA  BOLIVAR  CALI S.A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402"/>
    <n v="0"/>
    <n v="5402"/>
    <x v="0"/>
    <x v="0"/>
    <x v="0"/>
    <n v="5402"/>
    <n v="0"/>
    <n v="5402"/>
    <x v="0"/>
    <x v="0"/>
    <x v="0"/>
    <n v="5402"/>
    <n v="0"/>
    <n v="5402"/>
    <x v="0"/>
    <x v="0"/>
    <x v="0"/>
    <x v="0"/>
    <x v="0"/>
  </r>
  <r>
    <x v="5"/>
    <x v="0"/>
    <x v="0"/>
    <x v="0"/>
    <x v="0"/>
    <x v="0"/>
    <x v="0"/>
    <n v="4289"/>
    <s v="800107179"/>
    <s v="INSTITUTO DEL CORAZON S.A.S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107179"/>
    <s v="INSTITUTO DEL CORAZON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ANTICIPO"/>
    <n v="8987"/>
    <n v="0"/>
    <n v="8987"/>
    <x v="0"/>
    <x v="0"/>
    <x v="0"/>
    <n v="8987"/>
    <n v="0"/>
    <n v="8987"/>
    <x v="0"/>
    <x v="0"/>
    <x v="0"/>
    <n v="8987"/>
    <n v="0"/>
    <n v="8987"/>
    <x v="0"/>
    <x v="0"/>
    <x v="0"/>
    <x v="0"/>
    <x v="0"/>
  </r>
  <r>
    <x v="5"/>
    <x v="0"/>
    <x v="0"/>
    <x v="5"/>
    <x v="5"/>
    <x v="9"/>
    <x v="9"/>
    <n v="1249"/>
    <s v="900115530"/>
    <s v="HUMBERTO QUINTERO O Y CIA S.C.A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115530"/>
    <s v="HUMBERTO QUINTERO O Y CIA S.C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86.400"/>
    <n v="86400"/>
    <n v="0"/>
    <n v="86400"/>
    <x v="0"/>
    <x v="0"/>
    <x v="0"/>
    <n v="86400"/>
    <n v="0"/>
    <n v="86400"/>
    <x v="0"/>
    <x v="0"/>
    <x v="0"/>
    <n v="86400"/>
    <n v="0"/>
    <n v="86400"/>
    <x v="0"/>
    <x v="0"/>
    <x v="0"/>
    <x v="0"/>
    <x v="0"/>
  </r>
  <r>
    <x v="5"/>
    <x v="0"/>
    <x v="0"/>
    <x v="2"/>
    <x v="2"/>
    <x v="9"/>
    <x v="9"/>
    <n v="1512"/>
    <s v="800149453"/>
    <s v="C.P.O  S.A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149453"/>
    <s v="C.P.O 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REALIZA PAGO DE AÑO ANTICIPADO APLICA EL 9 %"/>
    <n v="1045569"/>
    <n v="0"/>
    <n v="1045569"/>
    <x v="0"/>
    <x v="0"/>
    <x v="0"/>
    <n v="1045569"/>
    <n v="0"/>
    <n v="1045569"/>
    <x v="0"/>
    <x v="0"/>
    <x v="0"/>
    <n v="1045569"/>
    <n v="0"/>
    <n v="1045569"/>
    <x v="0"/>
    <x v="0"/>
    <x v="0"/>
    <x v="0"/>
    <x v="0"/>
  </r>
  <r>
    <x v="7"/>
    <x v="0"/>
    <x v="0"/>
    <x v="5"/>
    <x v="5"/>
    <x v="1"/>
    <x v="1"/>
    <n v="46451"/>
    <s v="890318490"/>
    <s v="FERRETERIA TUBERIAS S.A.S."/>
    <s v="201904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136"/>
    <n v="0"/>
    <n v="3136"/>
    <x v="0"/>
    <x v="0"/>
    <x v="0"/>
    <n v="3136"/>
    <n v="0"/>
    <n v="3136"/>
    <x v="0"/>
    <x v="0"/>
    <x v="0"/>
    <n v="3136"/>
    <n v="0"/>
    <n v="3136"/>
    <x v="0"/>
    <x v="0"/>
    <x v="0"/>
    <x v="0"/>
    <x v="0"/>
  </r>
  <r>
    <x v="7"/>
    <x v="0"/>
    <x v="0"/>
    <x v="5"/>
    <x v="5"/>
    <x v="1"/>
    <x v="1"/>
    <n v="46452"/>
    <s v="900825179"/>
    <s v="ELIZABETH TRULLAS  CIA S.A.S"/>
    <s v="201904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7"/>
    <x v="0"/>
    <x v="0"/>
    <x v="5"/>
    <x v="5"/>
    <x v="1"/>
    <x v="1"/>
    <n v="46453"/>
    <s v="900361602"/>
    <s v="TRACKING SOLUTIONS T.S.O SAS"/>
    <s v="201904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361602"/>
    <s v="TRACKING SOLUTIONS T.S.O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678"/>
    <n v="0"/>
    <n v="3678"/>
    <x v="0"/>
    <x v="0"/>
    <x v="0"/>
    <n v="3678"/>
    <n v="0"/>
    <n v="3678"/>
    <x v="0"/>
    <x v="0"/>
    <x v="0"/>
    <n v="3678"/>
    <n v="0"/>
    <n v="3678"/>
    <x v="0"/>
    <x v="0"/>
    <x v="0"/>
    <x v="0"/>
    <x v="0"/>
  </r>
  <r>
    <x v="7"/>
    <x v="0"/>
    <x v="0"/>
    <x v="4"/>
    <x v="4"/>
    <x v="9"/>
    <x v="9"/>
    <n v="233"/>
    <s v="900578072"/>
    <s v="CENTRO OFTALMOLOGICO VGR S.A.S"/>
    <s v="201904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578072"/>
    <s v="CENTRO OFTALMOLOGICO VGR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ÓN FACTURA 360625.  DESCUENTO PRONTO PAGO."/>
    <n v="71569"/>
    <n v="0"/>
    <n v="71569"/>
    <x v="0"/>
    <x v="0"/>
    <x v="0"/>
    <n v="71569"/>
    <n v="0"/>
    <n v="71569"/>
    <x v="0"/>
    <x v="0"/>
    <x v="0"/>
    <n v="71569"/>
    <n v="0"/>
    <n v="71569"/>
    <x v="0"/>
    <x v="0"/>
    <x v="0"/>
    <x v="0"/>
    <x v="0"/>
  </r>
  <r>
    <x v="6"/>
    <x v="0"/>
    <x v="0"/>
    <x v="5"/>
    <x v="5"/>
    <x v="1"/>
    <x v="1"/>
    <n v="46590"/>
    <s v="890327282"/>
    <s v="AUTOPACIFICO S.A.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27282"/>
    <s v="AUTOPACIFICO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0.8"/>
    <n v="0"/>
    <n v="0.8"/>
    <x v="0"/>
    <x v="0"/>
    <x v="0"/>
    <n v="0.8"/>
    <n v="0"/>
    <n v="0.8"/>
    <x v="0"/>
    <x v="0"/>
    <x v="0"/>
    <n v="0.8"/>
    <n v="0"/>
    <n v="0.8"/>
    <x v="0"/>
    <x v="0"/>
    <x v="0"/>
    <x v="0"/>
    <x v="0"/>
  </r>
  <r>
    <x v="2"/>
    <x v="0"/>
    <x v="0"/>
    <x v="1"/>
    <x v="1"/>
    <x v="1"/>
    <x v="1"/>
    <n v="24562"/>
    <s v="802010909"/>
    <s v="INVERSIONES WONGFOEN S.A."/>
    <s v="2019060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208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1"/>
    <x v="0"/>
    <x v="0"/>
    <x v="2"/>
    <x v="2"/>
    <x v="9"/>
    <x v="9"/>
    <n v="1486"/>
    <s v="800212060"/>
    <s v="PARQUE COMERCIAL LA COLINA 138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212060"/>
    <s v="PARQUE COMERCIAL LA COLINA 1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ANUSL 9% $185.282"/>
    <n v="185282"/>
    <n v="0"/>
    <n v="185282"/>
    <x v="0"/>
    <x v="0"/>
    <x v="0"/>
    <n v="185282"/>
    <n v="0"/>
    <n v="185282"/>
    <x v="0"/>
    <x v="0"/>
    <x v="0"/>
    <n v="185282"/>
    <n v="0"/>
    <n v="185282"/>
    <x v="0"/>
    <x v="0"/>
    <x v="0"/>
    <x v="0"/>
    <x v="0"/>
  </r>
  <r>
    <x v="5"/>
    <x v="0"/>
    <x v="0"/>
    <x v="5"/>
    <x v="5"/>
    <x v="9"/>
    <x v="9"/>
    <n v="1264"/>
    <s v="860006744"/>
    <s v="COMUNIDAD DE HERMANOS MARISTAS DE LA ENSEÑANZA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06744"/>
    <s v="COMUNIDAD DE HERMANOS MARISTAS DE LA ENSEÑANZ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%9, $109.473"/>
    <n v="109473"/>
    <n v="0"/>
    <n v="109473"/>
    <x v="0"/>
    <x v="0"/>
    <x v="0"/>
    <n v="109473"/>
    <n v="0"/>
    <n v="109473"/>
    <x v="0"/>
    <x v="0"/>
    <x v="0"/>
    <n v="109473"/>
    <n v="0"/>
    <n v="109473"/>
    <x v="0"/>
    <x v="0"/>
    <x v="0"/>
    <x v="0"/>
    <x v="0"/>
  </r>
  <r>
    <x v="6"/>
    <x v="0"/>
    <x v="0"/>
    <x v="2"/>
    <x v="2"/>
    <x v="1"/>
    <x v="1"/>
    <n v="62931"/>
    <s v="860521035"/>
    <s v="ACRECER TEMPORAL S.A.S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21035"/>
    <s v="ACRECER TEMPOR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VA"/>
    <n v="5446"/>
    <n v="0"/>
    <n v="5446"/>
    <x v="0"/>
    <x v="0"/>
    <x v="0"/>
    <n v="5446"/>
    <n v="0"/>
    <n v="5446"/>
    <x v="0"/>
    <x v="0"/>
    <x v="0"/>
    <n v="5446"/>
    <n v="0"/>
    <n v="54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1779.6"/>
    <n v="0"/>
    <n v="61779.6"/>
    <x v="0"/>
    <x v="0"/>
    <x v="0"/>
    <n v="61779.6"/>
    <n v="0"/>
    <n v="61779.6"/>
    <x v="0"/>
    <x v="0"/>
    <x v="0"/>
    <n v="61779.6"/>
    <n v="0"/>
    <n v="61779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50800"/>
    <n v="0"/>
    <n v="50800"/>
    <x v="0"/>
    <x v="0"/>
    <x v="0"/>
    <n v="50800"/>
    <n v="0"/>
    <n v="50800"/>
    <x v="0"/>
    <x v="0"/>
    <x v="0"/>
    <n v="50800"/>
    <n v="0"/>
    <n v="508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3728.8"/>
    <n v="0"/>
    <n v="13728.800000000001"/>
    <x v="0"/>
    <x v="0"/>
    <x v="0"/>
    <n v="13728.8"/>
    <n v="0"/>
    <n v="13728.800000000001"/>
    <x v="0"/>
    <x v="0"/>
    <x v="0"/>
    <n v="13728.8"/>
    <n v="0"/>
    <n v="13728.8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5"/>
    <x v="0"/>
    <x v="0"/>
    <x v="3"/>
    <x v="3"/>
    <x v="1"/>
    <x v="1"/>
    <n v="37430"/>
    <s v="811034107"/>
    <s v="GRANOS Y CEREALES DEL CAMPO S.A.S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34107"/>
    <s v="GRANOS Y CEREALES DEL CAMP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7640 CLIENTE CANCELA CON EL 25% DCTO DESDE EL AÑO /92"/>
    <n v="508800"/>
    <n v="0"/>
    <n v="508800"/>
    <x v="0"/>
    <x v="0"/>
    <x v="0"/>
    <n v="508800"/>
    <n v="0"/>
    <n v="508800"/>
    <x v="0"/>
    <x v="0"/>
    <x v="0"/>
    <n v="508800"/>
    <n v="0"/>
    <n v="508800"/>
    <x v="0"/>
    <x v="0"/>
    <x v="0"/>
    <x v="0"/>
    <x v="0"/>
  </r>
  <r>
    <x v="6"/>
    <x v="0"/>
    <x v="0"/>
    <x v="1"/>
    <x v="1"/>
    <x v="1"/>
    <x v="1"/>
    <n v="24552"/>
    <s v="32757237"/>
    <s v="MEDINA OLIVEROS FARATH DIVA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08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37811.96"/>
    <n v="0"/>
    <n v="137811.96"/>
    <x v="0"/>
    <x v="0"/>
    <x v="0"/>
    <n v="137811.96"/>
    <n v="0"/>
    <n v="137811.96"/>
    <x v="0"/>
    <x v="0"/>
    <x v="0"/>
    <n v="137811.96"/>
    <n v="0"/>
    <n v="137811.9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4736.5"/>
    <n v="-24736.5"/>
    <x v="0"/>
    <x v="0"/>
    <x v="0"/>
    <n v="0"/>
    <n v="0"/>
    <n v="0"/>
    <x v="0"/>
    <x v="0"/>
    <x v="0"/>
    <n v="0"/>
    <n v="24736.5"/>
    <n v="-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4737"/>
    <n v="0"/>
    <n v="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4737"/>
    <n v="-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3587.63"/>
    <n v="0"/>
    <n v="23587.63"/>
    <x v="0"/>
    <x v="0"/>
    <x v="0"/>
    <n v="0"/>
    <n v="0"/>
    <n v="0"/>
    <x v="0"/>
    <x v="0"/>
    <x v="0"/>
    <n v="23587.63"/>
    <n v="0"/>
    <n v="23587.6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3587.63"/>
    <n v="-23587.63"/>
    <x v="0"/>
    <x v="0"/>
    <x v="0"/>
    <n v="0"/>
    <n v="0"/>
    <n v="0"/>
    <x v="0"/>
    <x v="0"/>
    <x v="0"/>
    <n v="0"/>
    <n v="23587.63"/>
    <n v="-23587.6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3588"/>
    <n v="0"/>
    <n v="2358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3588"/>
    <n v="-2358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9524.160000000003"/>
    <n v="-59524.160000000003"/>
    <x v="0"/>
    <x v="0"/>
    <x v="0"/>
    <n v="0"/>
    <n v="0"/>
    <n v="0"/>
    <x v="0"/>
    <x v="0"/>
    <x v="0"/>
    <n v="0"/>
    <n v="59524.160000000003"/>
    <n v="-59524.16000000000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637085.32999999996"/>
    <n v="0"/>
    <n v="637085.3299999999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637085.32999999996"/>
    <n v="-637085.3299999999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9524.160000000003"/>
    <n v="0"/>
    <n v="59524.160000000003"/>
    <x v="0"/>
    <x v="0"/>
    <x v="0"/>
    <n v="0"/>
    <n v="0"/>
    <n v="0"/>
    <x v="0"/>
    <x v="0"/>
    <x v="0"/>
    <n v="59524.160000000003"/>
    <n v="0"/>
    <n v="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9524"/>
    <n v="0"/>
    <n v="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9524"/>
    <n v="-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9524.160000000003"/>
    <n v="0"/>
    <n v="59524.160000000003"/>
    <x v="0"/>
    <x v="0"/>
    <x v="0"/>
    <n v="0"/>
    <n v="0"/>
    <n v="0"/>
    <x v="0"/>
    <x v="0"/>
    <x v="0"/>
    <n v="59524.160000000003"/>
    <n v="0"/>
    <n v="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9524.160000000003"/>
    <n v="-59524.160000000003"/>
    <x v="0"/>
    <x v="0"/>
    <x v="0"/>
    <n v="0"/>
    <n v="0"/>
    <n v="0"/>
    <x v="0"/>
    <x v="0"/>
    <x v="0"/>
    <n v="0"/>
    <n v="59524.160000000003"/>
    <n v="-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9524"/>
    <n v="0"/>
    <n v="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9524"/>
    <n v="-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9524.160000000003"/>
    <n v="0"/>
    <n v="59524.160000000003"/>
    <x v="0"/>
    <x v="0"/>
    <x v="0"/>
    <n v="0"/>
    <n v="0"/>
    <n v="0"/>
    <x v="0"/>
    <x v="0"/>
    <x v="0"/>
    <n v="59524.160000000003"/>
    <n v="0"/>
    <n v="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9524.160000000003"/>
    <n v="-59524.160000000003"/>
    <x v="0"/>
    <x v="0"/>
    <x v="0"/>
    <n v="0"/>
    <n v="0"/>
    <n v="0"/>
    <x v="0"/>
    <x v="0"/>
    <x v="0"/>
    <n v="0"/>
    <n v="59524.160000000003"/>
    <n v="-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9524"/>
    <n v="0"/>
    <n v="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9524"/>
    <n v="-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9524.160000000003"/>
    <n v="0"/>
    <n v="59524.160000000003"/>
    <x v="0"/>
    <x v="0"/>
    <x v="0"/>
    <n v="0"/>
    <n v="0"/>
    <n v="0"/>
    <x v="0"/>
    <x v="0"/>
    <x v="0"/>
    <n v="59524.160000000003"/>
    <n v="0"/>
    <n v="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9524.160000000003"/>
    <n v="-59524.160000000003"/>
    <x v="0"/>
    <x v="0"/>
    <x v="0"/>
    <n v="0"/>
    <n v="0"/>
    <n v="0"/>
    <x v="0"/>
    <x v="0"/>
    <x v="0"/>
    <n v="0"/>
    <n v="59524.160000000003"/>
    <n v="-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9524"/>
    <n v="0"/>
    <n v="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9524"/>
    <n v="-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46867.96"/>
    <n v="0"/>
    <n v="46867.96"/>
    <x v="0"/>
    <x v="0"/>
    <x v="0"/>
    <n v="0"/>
    <n v="0"/>
    <n v="0"/>
    <x v="0"/>
    <x v="0"/>
    <x v="0"/>
    <n v="46867.96"/>
    <n v="0"/>
    <n v="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46867.96"/>
    <n v="-46867.96"/>
    <x v="0"/>
    <x v="0"/>
    <x v="0"/>
    <n v="0"/>
    <n v="0"/>
    <n v="0"/>
    <x v="0"/>
    <x v="0"/>
    <x v="0"/>
    <n v="0"/>
    <n v="46867.96"/>
    <n v="-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46868"/>
    <n v="0"/>
    <n v="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46868"/>
    <n v="-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46867.96"/>
    <n v="0"/>
    <n v="46867.96"/>
    <x v="0"/>
    <x v="0"/>
    <x v="0"/>
    <n v="0"/>
    <n v="0"/>
    <n v="0"/>
    <x v="0"/>
    <x v="0"/>
    <x v="0"/>
    <n v="46867.96"/>
    <n v="0"/>
    <n v="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310"/>
    <n v="0"/>
    <n v="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310"/>
    <n v="-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4736.5"/>
    <n v="0"/>
    <n v="24736.5"/>
    <x v="0"/>
    <x v="0"/>
    <x v="0"/>
    <n v="0"/>
    <n v="0"/>
    <n v="0"/>
    <x v="0"/>
    <x v="0"/>
    <x v="0"/>
    <n v="24736.5"/>
    <n v="0"/>
    <n v="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4736.5"/>
    <n v="-24736.5"/>
    <x v="0"/>
    <x v="0"/>
    <x v="0"/>
    <n v="0"/>
    <n v="0"/>
    <n v="0"/>
    <x v="0"/>
    <x v="0"/>
    <x v="0"/>
    <n v="0"/>
    <n v="24736.5"/>
    <n v="-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4737"/>
    <n v="0"/>
    <n v="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4737"/>
    <n v="-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4736.5"/>
    <n v="0"/>
    <n v="24736.5"/>
    <x v="0"/>
    <x v="0"/>
    <x v="0"/>
    <n v="0"/>
    <n v="0"/>
    <n v="0"/>
    <x v="0"/>
    <x v="0"/>
    <x v="0"/>
    <n v="24736.5"/>
    <n v="0"/>
    <n v="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4736.5"/>
    <n v="-24736.5"/>
    <x v="0"/>
    <x v="0"/>
    <x v="0"/>
    <n v="0"/>
    <n v="0"/>
    <n v="0"/>
    <x v="0"/>
    <x v="0"/>
    <x v="0"/>
    <n v="0"/>
    <n v="24736.5"/>
    <n v="-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4737"/>
    <n v="0"/>
    <n v="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4737"/>
    <n v="-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4736.5"/>
    <n v="0"/>
    <n v="24736.5"/>
    <x v="0"/>
    <x v="0"/>
    <x v="0"/>
    <n v="0"/>
    <n v="0"/>
    <n v="0"/>
    <x v="0"/>
    <x v="0"/>
    <x v="0"/>
    <n v="24736.5"/>
    <n v="0"/>
    <n v="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4736.5"/>
    <n v="-24736.5"/>
    <x v="0"/>
    <x v="0"/>
    <x v="0"/>
    <n v="0"/>
    <n v="0"/>
    <n v="0"/>
    <x v="0"/>
    <x v="0"/>
    <x v="0"/>
    <n v="0"/>
    <n v="24736.5"/>
    <n v="-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4737"/>
    <n v="0"/>
    <n v="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4737"/>
    <n v="-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4736.5"/>
    <n v="0"/>
    <n v="24736.5"/>
    <x v="0"/>
    <x v="0"/>
    <x v="0"/>
    <n v="0"/>
    <n v="0"/>
    <n v="0"/>
    <x v="0"/>
    <x v="0"/>
    <x v="0"/>
    <n v="24736.5"/>
    <n v="0"/>
    <n v="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6445.599999999999"/>
    <n v="0"/>
    <n v="16445.599999999999"/>
    <x v="0"/>
    <x v="0"/>
    <x v="0"/>
    <n v="0"/>
    <n v="0"/>
    <n v="0"/>
    <x v="0"/>
    <x v="0"/>
    <x v="0"/>
    <n v="16445.599999999999"/>
    <n v="0"/>
    <n v="16445.59999999999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6445.599999999999"/>
    <n v="-16445.599999999999"/>
    <x v="0"/>
    <x v="0"/>
    <x v="0"/>
    <n v="0"/>
    <n v="0"/>
    <n v="0"/>
    <x v="0"/>
    <x v="0"/>
    <x v="0"/>
    <n v="0"/>
    <n v="16445.599999999999"/>
    <n v="-16445.59999999999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6446"/>
    <n v="0"/>
    <n v="1644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6446"/>
    <n v="-1644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547708.06999999995"/>
    <n v="0"/>
    <n v="547708.07000000007"/>
    <x v="0"/>
    <x v="0"/>
    <x v="0"/>
    <n v="547708.06999999995"/>
    <n v="0"/>
    <n v="547708.07000000007"/>
    <x v="0"/>
    <x v="0"/>
    <x v="0"/>
    <n v="547708.06999999995"/>
    <n v="0"/>
    <n v="547708.07000000007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6000"/>
    <n v="0"/>
    <n v="36000"/>
    <x v="0"/>
    <x v="0"/>
    <x v="0"/>
    <n v="36000"/>
    <n v="0"/>
    <n v="36000"/>
    <x v="0"/>
    <x v="0"/>
    <x v="0"/>
    <n v="36000"/>
    <n v="0"/>
    <n v="36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90107.82"/>
    <n v="0"/>
    <n v="90107.82"/>
    <x v="0"/>
    <x v="0"/>
    <x v="0"/>
    <n v="90107.82"/>
    <n v="0"/>
    <n v="90107.82"/>
    <x v="0"/>
    <x v="0"/>
    <x v="0"/>
    <n v="90107.82"/>
    <n v="0"/>
    <n v="90107.8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2850.27"/>
    <n v="0"/>
    <n v="2850.27"/>
    <x v="0"/>
    <x v="0"/>
    <x v="0"/>
    <n v="2850.27"/>
    <n v="0"/>
    <n v="2850.27"/>
    <x v="0"/>
    <x v="0"/>
    <x v="0"/>
    <n v="2850.27"/>
    <n v="0"/>
    <n v="2850.27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3728.8"/>
    <n v="0"/>
    <n v="13728.800000000001"/>
    <x v="0"/>
    <x v="0"/>
    <x v="0"/>
    <n v="13728.8"/>
    <n v="0"/>
    <n v="13728.800000000001"/>
    <x v="0"/>
    <x v="0"/>
    <x v="0"/>
    <n v="13728.8"/>
    <n v="0"/>
    <n v="13728.8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2850.27"/>
    <n v="0"/>
    <n v="2850.27"/>
    <x v="0"/>
    <x v="0"/>
    <x v="0"/>
    <n v="2850.27"/>
    <n v="0"/>
    <n v="2850.27"/>
    <x v="0"/>
    <x v="0"/>
    <x v="0"/>
    <n v="2850.27"/>
    <n v="0"/>
    <n v="2850.27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1906.6"/>
    <n v="0"/>
    <n v="181906.6"/>
    <x v="0"/>
    <x v="0"/>
    <x v="0"/>
    <n v="181906.6"/>
    <n v="0"/>
    <n v="181906.6"/>
    <x v="0"/>
    <x v="0"/>
    <x v="0"/>
    <n v="181906.6"/>
    <n v="0"/>
    <n v="181906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9470.300000000003"/>
    <n v="0"/>
    <n v="39470.300000000003"/>
    <x v="0"/>
    <x v="0"/>
    <x v="0"/>
    <n v="39470.300000000003"/>
    <n v="0"/>
    <n v="39470.300000000003"/>
    <x v="0"/>
    <x v="0"/>
    <x v="0"/>
    <n v="39470.300000000003"/>
    <n v="0"/>
    <n v="39470.30000000000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5444.9"/>
    <n v="0"/>
    <n v="15444.9"/>
    <x v="0"/>
    <x v="0"/>
    <x v="0"/>
    <n v="15444.9"/>
    <n v="0"/>
    <n v="15444.9"/>
    <x v="0"/>
    <x v="0"/>
    <x v="0"/>
    <n v="15444.9"/>
    <n v="0"/>
    <n v="15444.9"/>
    <x v="0"/>
    <x v="0"/>
    <x v="0"/>
    <x v="0"/>
    <x v="0"/>
  </r>
  <r>
    <x v="1"/>
    <x v="0"/>
    <x v="0"/>
    <x v="0"/>
    <x v="0"/>
    <x v="2"/>
    <x v="2"/>
    <n v="19624"/>
    <s v="860035827"/>
    <s v="BANCO AV VILLAS"/>
    <s v="201902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0520-1 AV VILLAS"/>
    <n v="840526"/>
    <n v="0"/>
    <n v="840526"/>
    <x v="0"/>
    <x v="0"/>
    <x v="0"/>
    <n v="840526"/>
    <n v="0"/>
    <n v="840526"/>
    <x v="0"/>
    <x v="0"/>
    <x v="0"/>
    <n v="840526"/>
    <n v="0"/>
    <n v="840526"/>
    <x v="0"/>
    <x v="0"/>
    <x v="0"/>
    <x v="0"/>
    <x v="0"/>
  </r>
  <r>
    <x v="1"/>
    <x v="0"/>
    <x v="0"/>
    <x v="0"/>
    <x v="0"/>
    <x v="2"/>
    <x v="2"/>
    <n v="19688"/>
    <s v="890903938"/>
    <s v="BANCOLOMBIA S.A."/>
    <s v="201902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PERTURA CREDITO CESANTIAS 12 MESES - DTF + 2.5 TA - PROTECCION"/>
    <n v="285254.18"/>
    <n v="0"/>
    <n v="285254.18"/>
    <x v="0"/>
    <x v="0"/>
    <x v="0"/>
    <n v="285254.18"/>
    <n v="0"/>
    <n v="285254.18"/>
    <x v="0"/>
    <x v="0"/>
    <x v="0"/>
    <n v="285254.18"/>
    <n v="0"/>
    <n v="285254.18"/>
    <x v="0"/>
    <x v="0"/>
    <x v="0"/>
    <x v="0"/>
    <x v="0"/>
  </r>
  <r>
    <x v="1"/>
    <x v="0"/>
    <x v="0"/>
    <x v="0"/>
    <x v="0"/>
    <x v="2"/>
    <x v="2"/>
    <n v="19699"/>
    <s v="860007660"/>
    <s v="HELM BANK S.A."/>
    <s v="201902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C 6054"/>
    <n v="150000"/>
    <n v="0"/>
    <n v="150000"/>
    <x v="0"/>
    <x v="0"/>
    <x v="0"/>
    <n v="150000"/>
    <n v="0"/>
    <n v="150000"/>
    <x v="0"/>
    <x v="0"/>
    <x v="0"/>
    <n v="150000"/>
    <n v="0"/>
    <n v="150000"/>
    <x v="0"/>
    <x v="0"/>
    <x v="0"/>
    <x v="0"/>
    <x v="0"/>
  </r>
  <r>
    <x v="1"/>
    <x v="0"/>
    <x v="0"/>
    <x v="0"/>
    <x v="0"/>
    <x v="2"/>
    <x v="2"/>
    <n v="19769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BANCARIAS - FEB 2019 -"/>
    <n v="3213"/>
    <n v="0"/>
    <n v="3213"/>
    <x v="0"/>
    <x v="0"/>
    <x v="0"/>
    <n v="3213"/>
    <n v="0"/>
    <n v="3213"/>
    <x v="0"/>
    <x v="0"/>
    <x v="0"/>
    <n v="3213"/>
    <n v="0"/>
    <n v="3213"/>
    <x v="0"/>
    <x v="0"/>
    <x v="0"/>
    <x v="0"/>
    <x v="0"/>
  </r>
  <r>
    <x v="1"/>
    <x v="0"/>
    <x v="0"/>
    <x v="0"/>
    <x v="0"/>
    <x v="2"/>
    <x v="2"/>
    <n v="19752"/>
    <s v="440000000330"/>
    <s v="BANCOLOMBIA CAYMAN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CUENTA DE COMPENSACION  - MES DE FEB 2018 (TRM 3072.01)"/>
    <n v="418837.84"/>
    <n v="0"/>
    <n v="418837.84"/>
    <x v="0"/>
    <x v="0"/>
    <x v="0"/>
    <n v="418837.84"/>
    <n v="0"/>
    <n v="418837.84"/>
    <x v="0"/>
    <x v="0"/>
    <x v="0"/>
    <n v="418837.84"/>
    <n v="0"/>
    <n v="418837.84"/>
    <x v="0"/>
    <x v="0"/>
    <x v="0"/>
    <x v="0"/>
    <x v="0"/>
  </r>
  <r>
    <x v="1"/>
    <x v="0"/>
    <x v="0"/>
    <x v="0"/>
    <x v="0"/>
    <x v="2"/>
    <x v="2"/>
    <n v="19778"/>
    <s v="890300279"/>
    <s v="BANCO DE OCCIDENTE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- FEB 2019"/>
    <n v="106674.53"/>
    <n v="0"/>
    <n v="106674.53"/>
    <x v="0"/>
    <x v="0"/>
    <x v="0"/>
    <n v="106674.53"/>
    <n v="0"/>
    <n v="106674.53"/>
    <x v="0"/>
    <x v="0"/>
    <x v="0"/>
    <n v="106674.53"/>
    <n v="0"/>
    <n v="106674.53"/>
    <x v="0"/>
    <x v="0"/>
    <x v="0"/>
    <x v="0"/>
    <x v="0"/>
  </r>
  <r>
    <x v="1"/>
    <x v="0"/>
    <x v="0"/>
    <x v="0"/>
    <x v="0"/>
    <x v="2"/>
    <x v="2"/>
    <n v="19779"/>
    <s v="860002964"/>
    <s v="BANCO DE BOGOT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- GAASTOS BANCARIOS FEB 2019"/>
    <n v="85413.88"/>
    <n v="0"/>
    <n v="85413.88"/>
    <x v="0"/>
    <x v="0"/>
    <x v="0"/>
    <n v="85413.88"/>
    <n v="0"/>
    <n v="85413.88"/>
    <x v="0"/>
    <x v="0"/>
    <x v="0"/>
    <n v="85413.88"/>
    <n v="0"/>
    <n v="85413.88"/>
    <x v="0"/>
    <x v="0"/>
    <x v="0"/>
    <x v="0"/>
    <x v="0"/>
  </r>
  <r>
    <x v="1"/>
    <x v="0"/>
    <x v="0"/>
    <x v="0"/>
    <x v="0"/>
    <x v="2"/>
    <x v="2"/>
    <n v="19780"/>
    <s v="900406150"/>
    <s v="BANCO COOMEV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- FEB 2019 -  BANCOOMEVA"/>
    <n v="110972.64"/>
    <n v="0"/>
    <n v="110972.64"/>
    <x v="0"/>
    <x v="0"/>
    <x v="0"/>
    <n v="110972.64"/>
    <n v="0"/>
    <n v="110972.64"/>
    <x v="0"/>
    <x v="0"/>
    <x v="0"/>
    <n v="110972.64"/>
    <n v="0"/>
    <n v="110972.6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0889.8"/>
    <n v="0"/>
    <n v="30889.8"/>
    <x v="0"/>
    <x v="0"/>
    <x v="0"/>
    <n v="30889.8"/>
    <n v="0"/>
    <n v="30889.8"/>
    <x v="0"/>
    <x v="0"/>
    <x v="0"/>
    <n v="30889.8"/>
    <n v="0"/>
    <n v="3088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00.98"/>
    <n v="0"/>
    <n v="10000.98"/>
    <x v="0"/>
    <x v="0"/>
    <x v="0"/>
    <n v="10000.98"/>
    <n v="0"/>
    <n v="10000.98"/>
    <x v="0"/>
    <x v="0"/>
    <x v="0"/>
    <n v="10000.98"/>
    <n v="0"/>
    <n v="10000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8877.099999999999"/>
    <n v="0"/>
    <n v="18877.100000000002"/>
    <x v="0"/>
    <x v="0"/>
    <x v="0"/>
    <n v="18877.099999999999"/>
    <n v="0"/>
    <n v="18877.100000000002"/>
    <x v="0"/>
    <x v="0"/>
    <x v="0"/>
    <n v="18877.099999999999"/>
    <n v="0"/>
    <n v="18877.10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3800.36"/>
    <n v="0"/>
    <n v="3800.36"/>
    <x v="0"/>
    <x v="0"/>
    <x v="0"/>
    <n v="3800.36"/>
    <n v="0"/>
    <n v="3800.36"/>
    <x v="0"/>
    <x v="0"/>
    <x v="0"/>
    <n v="3800.36"/>
    <n v="0"/>
    <n v="3800.3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6631.3"/>
    <n v="0"/>
    <n v="56631.3"/>
    <x v="0"/>
    <x v="0"/>
    <x v="0"/>
    <n v="56631.3"/>
    <n v="0"/>
    <n v="56631.3"/>
    <x v="0"/>
    <x v="0"/>
    <x v="0"/>
    <n v="56631.3"/>
    <n v="0"/>
    <n v="56631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5338.8"/>
    <n v="0"/>
    <n v="185338.80000000002"/>
    <x v="0"/>
    <x v="0"/>
    <x v="0"/>
    <n v="185338.8"/>
    <n v="0"/>
    <n v="185338.80000000002"/>
    <x v="0"/>
    <x v="0"/>
    <x v="0"/>
    <n v="185338.8"/>
    <n v="0"/>
    <n v="185338.8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2309.3"/>
    <n v="0"/>
    <n v="22309.3"/>
    <x v="0"/>
    <x v="0"/>
    <x v="0"/>
    <n v="22309.3"/>
    <n v="0"/>
    <n v="22309.3"/>
    <x v="0"/>
    <x v="0"/>
    <x v="0"/>
    <n v="22309.3"/>
    <n v="0"/>
    <n v="22309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6000"/>
    <n v="0"/>
    <n v="36000"/>
    <x v="0"/>
    <x v="0"/>
    <x v="0"/>
    <n v="36000"/>
    <n v="0"/>
    <n v="36000"/>
    <x v="0"/>
    <x v="0"/>
    <x v="0"/>
    <n v="36000"/>
    <n v="0"/>
    <n v="36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16610.12"/>
    <n v="0"/>
    <n v="116610.12"/>
    <x v="0"/>
    <x v="0"/>
    <x v="0"/>
    <n v="116610.12"/>
    <n v="0"/>
    <n v="116610.12"/>
    <x v="0"/>
    <x v="0"/>
    <x v="0"/>
    <n v="116610.12"/>
    <n v="0"/>
    <n v="116610.1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2850.27"/>
    <n v="0"/>
    <n v="2850.27"/>
    <x v="0"/>
    <x v="0"/>
    <x v="0"/>
    <n v="2850.27"/>
    <n v="0"/>
    <n v="2850.27"/>
    <x v="0"/>
    <x v="0"/>
    <x v="0"/>
    <n v="2850.27"/>
    <n v="0"/>
    <n v="2850.27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95408.28"/>
    <n v="0"/>
    <n v="95408.28"/>
    <x v="0"/>
    <x v="0"/>
    <x v="0"/>
    <n v="95408.28"/>
    <n v="0"/>
    <n v="95408.28"/>
    <x v="0"/>
    <x v="0"/>
    <x v="0"/>
    <n v="95408.28"/>
    <n v="0"/>
    <n v="95408.2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46867.96"/>
    <n v="-46867.96"/>
    <x v="0"/>
    <x v="0"/>
    <x v="0"/>
    <n v="0"/>
    <n v="0"/>
    <n v="0"/>
    <x v="0"/>
    <x v="0"/>
    <x v="0"/>
    <n v="0"/>
    <n v="46867.96"/>
    <n v="-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46868"/>
    <n v="0"/>
    <n v="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46868"/>
    <n v="-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46867.96"/>
    <n v="0"/>
    <n v="46867.96"/>
    <x v="0"/>
    <x v="0"/>
    <x v="0"/>
    <n v="0"/>
    <n v="0"/>
    <n v="0"/>
    <x v="0"/>
    <x v="0"/>
    <x v="0"/>
    <n v="46867.96"/>
    <n v="0"/>
    <n v="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46867.96"/>
    <n v="-46867.96"/>
    <x v="0"/>
    <x v="0"/>
    <x v="0"/>
    <n v="0"/>
    <n v="0"/>
    <n v="0"/>
    <x v="0"/>
    <x v="0"/>
    <x v="0"/>
    <n v="0"/>
    <n v="46867.96"/>
    <n v="-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46868"/>
    <n v="0"/>
    <n v="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46868"/>
    <n v="-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46867.96"/>
    <n v="0"/>
    <n v="46867.96"/>
    <x v="0"/>
    <x v="0"/>
    <x v="0"/>
    <n v="0"/>
    <n v="0"/>
    <n v="0"/>
    <x v="0"/>
    <x v="0"/>
    <x v="0"/>
    <n v="46867.96"/>
    <n v="0"/>
    <n v="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46867.96"/>
    <n v="-46867.96"/>
    <x v="0"/>
    <x v="0"/>
    <x v="0"/>
    <n v="0"/>
    <n v="0"/>
    <n v="0"/>
    <x v="0"/>
    <x v="0"/>
    <x v="0"/>
    <n v="0"/>
    <n v="46867.96"/>
    <n v="-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46868"/>
    <n v="0"/>
    <n v="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46868"/>
    <n v="-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1708.13"/>
    <n v="0"/>
    <n v="61708.130000000005"/>
    <x v="0"/>
    <x v="0"/>
    <x v="0"/>
    <n v="0"/>
    <n v="0"/>
    <n v="0"/>
    <x v="0"/>
    <x v="0"/>
    <x v="0"/>
    <n v="61708.13"/>
    <n v="0"/>
    <n v="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61708.13"/>
    <n v="-61708.130000000005"/>
    <x v="0"/>
    <x v="0"/>
    <x v="0"/>
    <n v="0"/>
    <n v="0"/>
    <n v="0"/>
    <x v="0"/>
    <x v="0"/>
    <x v="0"/>
    <n v="0"/>
    <n v="61708.13"/>
    <n v="-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1708"/>
    <n v="0"/>
    <n v="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61708"/>
    <n v="-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1708.13"/>
    <n v="0"/>
    <n v="61708.130000000005"/>
    <x v="0"/>
    <x v="0"/>
    <x v="0"/>
    <n v="0"/>
    <n v="0"/>
    <n v="0"/>
    <x v="0"/>
    <x v="0"/>
    <x v="0"/>
    <n v="61708.13"/>
    <n v="0"/>
    <n v="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61708.13"/>
    <n v="-61708.130000000005"/>
    <x v="0"/>
    <x v="0"/>
    <x v="0"/>
    <n v="0"/>
    <n v="0"/>
    <n v="0"/>
    <x v="0"/>
    <x v="0"/>
    <x v="0"/>
    <n v="0"/>
    <n v="61708.13"/>
    <n v="-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1708"/>
    <n v="0"/>
    <n v="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61708"/>
    <n v="-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1708.13"/>
    <n v="0"/>
    <n v="61708.130000000005"/>
    <x v="0"/>
    <x v="0"/>
    <x v="0"/>
    <n v="0"/>
    <n v="0"/>
    <n v="0"/>
    <x v="0"/>
    <x v="0"/>
    <x v="0"/>
    <n v="61708.13"/>
    <n v="0"/>
    <n v="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61708.13"/>
    <n v="-61708.130000000005"/>
    <x v="0"/>
    <x v="0"/>
    <x v="0"/>
    <n v="0"/>
    <n v="0"/>
    <n v="0"/>
    <x v="0"/>
    <x v="0"/>
    <x v="0"/>
    <n v="0"/>
    <n v="61708.13"/>
    <n v="-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1708"/>
    <n v="0"/>
    <n v="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61708"/>
    <n v="-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1708.13"/>
    <n v="0"/>
    <n v="61708.130000000005"/>
    <x v="0"/>
    <x v="0"/>
    <x v="0"/>
    <n v="0"/>
    <n v="0"/>
    <n v="0"/>
    <x v="0"/>
    <x v="0"/>
    <x v="0"/>
    <n v="61708.13"/>
    <n v="0"/>
    <n v="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61708.13"/>
    <n v="-61708.130000000005"/>
    <x v="0"/>
    <x v="0"/>
    <x v="0"/>
    <n v="0"/>
    <n v="0"/>
    <n v="0"/>
    <x v="0"/>
    <x v="0"/>
    <x v="0"/>
    <n v="0"/>
    <n v="61708.13"/>
    <n v="-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395687"/>
    <n v="0"/>
    <n v="39568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395687.28"/>
    <n v="0"/>
    <n v="395687.28"/>
    <x v="0"/>
    <x v="0"/>
    <x v="0"/>
    <n v="0"/>
    <n v="0"/>
    <n v="0"/>
    <x v="0"/>
    <x v="0"/>
    <x v="0"/>
    <n v="395687.28"/>
    <n v="0"/>
    <n v="395687.28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395687.28"/>
    <n v="-395687.28"/>
    <x v="0"/>
    <x v="0"/>
    <x v="0"/>
    <n v="0"/>
    <n v="0"/>
    <n v="0"/>
    <x v="0"/>
    <x v="0"/>
    <x v="0"/>
    <n v="0"/>
    <n v="395687.28"/>
    <n v="-395687.28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395687"/>
    <n v="-39568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55215"/>
    <n v="0"/>
    <n v="55215"/>
    <x v="0"/>
    <x v="0"/>
    <x v="0"/>
    <n v="0"/>
    <n v="0"/>
    <n v="0"/>
    <x v="0"/>
    <x v="0"/>
    <x v="0"/>
    <n v="55215"/>
    <n v="0"/>
    <n v="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55215"/>
    <n v="-55215"/>
    <x v="0"/>
    <x v="0"/>
    <x v="0"/>
    <n v="0"/>
    <n v="0"/>
    <n v="0"/>
    <x v="0"/>
    <x v="0"/>
    <x v="0"/>
    <n v="0"/>
    <n v="55215"/>
    <n v="-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55215"/>
    <n v="0"/>
    <n v="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55215"/>
    <n v="-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55215"/>
    <n v="0"/>
    <n v="55215"/>
    <x v="0"/>
    <x v="0"/>
    <x v="0"/>
    <n v="0"/>
    <n v="0"/>
    <n v="0"/>
    <x v="0"/>
    <x v="0"/>
    <x v="0"/>
    <n v="55215"/>
    <n v="0"/>
    <n v="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55215"/>
    <n v="-55215"/>
    <x v="0"/>
    <x v="0"/>
    <x v="0"/>
    <n v="0"/>
    <n v="0"/>
    <n v="0"/>
    <x v="0"/>
    <x v="0"/>
    <x v="0"/>
    <n v="0"/>
    <n v="55215"/>
    <n v="-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55215"/>
    <n v="0"/>
    <n v="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55215"/>
    <n v="-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55215"/>
    <n v="0"/>
    <n v="55215"/>
    <x v="0"/>
    <x v="0"/>
    <x v="0"/>
    <n v="0"/>
    <n v="0"/>
    <n v="0"/>
    <x v="0"/>
    <x v="0"/>
    <x v="0"/>
    <n v="55215"/>
    <n v="0"/>
    <n v="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55215"/>
    <n v="-55215"/>
    <x v="0"/>
    <x v="0"/>
    <x v="0"/>
    <n v="0"/>
    <n v="0"/>
    <n v="0"/>
    <x v="0"/>
    <x v="0"/>
    <x v="0"/>
    <n v="0"/>
    <n v="55215"/>
    <n v="-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55215"/>
    <n v="0"/>
    <n v="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55215"/>
    <n v="-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55215"/>
    <n v="0"/>
    <n v="55215"/>
    <x v="0"/>
    <x v="0"/>
    <x v="0"/>
    <n v="0"/>
    <n v="0"/>
    <n v="0"/>
    <x v="0"/>
    <x v="0"/>
    <x v="0"/>
    <n v="55215"/>
    <n v="0"/>
    <n v="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55215"/>
    <n v="-55215"/>
    <x v="0"/>
    <x v="0"/>
    <x v="0"/>
    <n v="0"/>
    <n v="0"/>
    <n v="0"/>
    <x v="0"/>
    <x v="0"/>
    <x v="0"/>
    <n v="0"/>
    <n v="55215"/>
    <n v="-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55215"/>
    <n v="0"/>
    <n v="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55215"/>
    <n v="-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120836.55"/>
    <n v="0"/>
    <n v="120836.55"/>
    <x v="0"/>
    <x v="0"/>
    <x v="0"/>
    <n v="0"/>
    <n v="0"/>
    <n v="0"/>
    <x v="0"/>
    <x v="0"/>
    <x v="0"/>
    <n v="120836.55"/>
    <n v="0"/>
    <n v="120836.5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120836.55"/>
    <n v="-120836.55"/>
    <x v="0"/>
    <x v="0"/>
    <x v="0"/>
    <n v="0"/>
    <n v="0"/>
    <n v="0"/>
    <x v="0"/>
    <x v="0"/>
    <x v="0"/>
    <n v="0"/>
    <n v="120836.55"/>
    <n v="-120836.5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120836.55"/>
    <n v="0"/>
    <n v="120836.5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71.47"/>
    <n v="0"/>
    <n v="398671.47000000003"/>
    <x v="0"/>
    <x v="0"/>
    <x v="0"/>
    <n v="0"/>
    <n v="0"/>
    <n v="0"/>
    <x v="0"/>
    <x v="0"/>
    <x v="0"/>
    <n v="398671.47"/>
    <n v="0"/>
    <n v="398671.4700000000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71.47"/>
    <n v="-398671.47000000003"/>
    <x v="0"/>
    <x v="0"/>
    <x v="0"/>
    <n v="0"/>
    <n v="0"/>
    <n v="0"/>
    <x v="0"/>
    <x v="0"/>
    <x v="0"/>
    <n v="0"/>
    <n v="398671.47"/>
    <n v="-398671.4700000000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71.47"/>
    <n v="0"/>
    <n v="398671.4700000000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71.47"/>
    <n v="-398671.4700000000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637085.32999999996"/>
    <n v="0"/>
    <n v="637085.32999999996"/>
    <x v="0"/>
    <x v="0"/>
    <x v="0"/>
    <n v="0"/>
    <n v="0"/>
    <n v="0"/>
    <x v="0"/>
    <x v="0"/>
    <x v="0"/>
    <n v="637085.32999999996"/>
    <n v="0"/>
    <n v="637085.32999999996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637085.32999999996"/>
    <n v="-637085.32999999996"/>
    <x v="0"/>
    <x v="0"/>
    <x v="0"/>
    <n v="0"/>
    <n v="0"/>
    <n v="0"/>
    <x v="0"/>
    <x v="0"/>
    <x v="0"/>
    <n v="0"/>
    <n v="637085.32999999996"/>
    <n v="-637085.329999999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20066.76"/>
    <n v="-520066.76"/>
    <x v="0"/>
    <x v="0"/>
    <x v="0"/>
    <n v="0"/>
    <n v="0"/>
    <n v="0"/>
    <x v="0"/>
    <x v="0"/>
    <x v="0"/>
    <n v="0"/>
    <n v="520066.76"/>
    <n v="-520066.7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1708"/>
    <n v="0"/>
    <n v="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61708"/>
    <n v="-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20066.76"/>
    <n v="0"/>
    <n v="520066.76"/>
    <x v="0"/>
    <x v="0"/>
    <x v="0"/>
    <n v="0"/>
    <n v="0"/>
    <n v="0"/>
    <x v="0"/>
    <x v="0"/>
    <x v="0"/>
    <n v="520066.76"/>
    <n v="0"/>
    <n v="520066.7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20067"/>
    <n v="0"/>
    <n v="52006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20067"/>
    <n v="-52006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709.740000000005"/>
    <n v="0"/>
    <n v="73709.740000000005"/>
    <x v="0"/>
    <x v="0"/>
    <x v="0"/>
    <n v="0"/>
    <n v="0"/>
    <n v="0"/>
    <x v="0"/>
    <x v="0"/>
    <x v="0"/>
    <n v="73709.740000000005"/>
    <n v="0"/>
    <n v="737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709.740000000005"/>
    <n v="-73709.740000000005"/>
    <x v="0"/>
    <x v="0"/>
    <x v="0"/>
    <n v="0"/>
    <n v="0"/>
    <n v="0"/>
    <x v="0"/>
    <x v="0"/>
    <x v="0"/>
    <n v="0"/>
    <n v="73709.740000000005"/>
    <n v="-737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710"/>
    <n v="0"/>
    <n v="737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710"/>
    <n v="-737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309.740000000005"/>
    <n v="0"/>
    <n v="73309.740000000005"/>
    <x v="0"/>
    <x v="0"/>
    <x v="0"/>
    <n v="0"/>
    <n v="0"/>
    <n v="0"/>
    <x v="0"/>
    <x v="0"/>
    <x v="0"/>
    <n v="73309.740000000005"/>
    <n v="0"/>
    <n v="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309.740000000005"/>
    <n v="-73309.740000000005"/>
    <x v="0"/>
    <x v="0"/>
    <x v="0"/>
    <n v="0"/>
    <n v="0"/>
    <n v="0"/>
    <x v="0"/>
    <x v="0"/>
    <x v="0"/>
    <n v="0"/>
    <n v="73309.740000000005"/>
    <n v="-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310"/>
    <n v="0"/>
    <n v="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310"/>
    <n v="-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309.740000000005"/>
    <n v="0"/>
    <n v="73309.740000000005"/>
    <x v="0"/>
    <x v="0"/>
    <x v="0"/>
    <n v="0"/>
    <n v="0"/>
    <n v="0"/>
    <x v="0"/>
    <x v="0"/>
    <x v="0"/>
    <n v="73309.740000000005"/>
    <n v="0"/>
    <n v="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309.740000000005"/>
    <n v="-73309.740000000005"/>
    <x v="0"/>
    <x v="0"/>
    <x v="0"/>
    <n v="0"/>
    <n v="0"/>
    <n v="0"/>
    <x v="0"/>
    <x v="0"/>
    <x v="0"/>
    <n v="0"/>
    <n v="73309.740000000005"/>
    <n v="-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310"/>
    <n v="0"/>
    <n v="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310"/>
    <n v="-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309.740000000005"/>
    <n v="0"/>
    <n v="73309.740000000005"/>
    <x v="0"/>
    <x v="0"/>
    <x v="0"/>
    <n v="0"/>
    <n v="0"/>
    <n v="0"/>
    <x v="0"/>
    <x v="0"/>
    <x v="0"/>
    <n v="73309.740000000005"/>
    <n v="0"/>
    <n v="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309.740000000005"/>
    <n v="-73309.740000000005"/>
    <x v="0"/>
    <x v="0"/>
    <x v="0"/>
    <n v="0"/>
    <n v="0"/>
    <n v="0"/>
    <x v="0"/>
    <x v="0"/>
    <x v="0"/>
    <n v="0"/>
    <n v="73309.740000000005"/>
    <n v="-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310"/>
    <n v="0"/>
    <n v="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310"/>
    <n v="-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309.740000000005"/>
    <n v="0"/>
    <n v="73309.740000000005"/>
    <x v="0"/>
    <x v="0"/>
    <x v="0"/>
    <n v="0"/>
    <n v="0"/>
    <n v="0"/>
    <x v="0"/>
    <x v="0"/>
    <x v="0"/>
    <n v="73309.740000000005"/>
    <n v="0"/>
    <n v="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309.740000000005"/>
    <n v="-73309.740000000005"/>
    <x v="0"/>
    <x v="0"/>
    <x v="0"/>
    <n v="0"/>
    <n v="0"/>
    <n v="0"/>
    <x v="0"/>
    <x v="0"/>
    <x v="0"/>
    <n v="0"/>
    <n v="73309.740000000005"/>
    <n v="-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120836.55"/>
    <n v="0"/>
    <n v="120836.5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120836.55"/>
    <n v="-120836.5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120836.55"/>
    <n v="0"/>
    <n v="120836.55"/>
    <x v="0"/>
    <x v="0"/>
    <x v="0"/>
    <n v="0"/>
    <n v="0"/>
    <n v="0"/>
    <x v="0"/>
    <x v="0"/>
    <x v="0"/>
    <n v="120836.55"/>
    <n v="0"/>
    <n v="120836.5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120836.55"/>
    <n v="-120836.55"/>
    <x v="0"/>
    <x v="0"/>
    <x v="0"/>
    <n v="0"/>
    <n v="0"/>
    <n v="0"/>
    <x v="0"/>
    <x v="0"/>
    <x v="0"/>
    <n v="0"/>
    <n v="120836.55"/>
    <n v="-120836.5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120836.55"/>
    <n v="-120836.5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305809.96000000002"/>
    <n v="0"/>
    <n v="305809.96000000002"/>
    <x v="0"/>
    <x v="0"/>
    <x v="0"/>
    <n v="0"/>
    <n v="0"/>
    <n v="0"/>
    <x v="0"/>
    <x v="0"/>
    <x v="0"/>
    <n v="305809.96000000002"/>
    <n v="0"/>
    <n v="305809.96000000002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305809.96000000002"/>
    <n v="-305809.96000000002"/>
    <x v="0"/>
    <x v="0"/>
    <x v="0"/>
    <n v="0"/>
    <n v="0"/>
    <n v="0"/>
    <x v="0"/>
    <x v="0"/>
    <x v="0"/>
    <n v="0"/>
    <n v="305809.96000000002"/>
    <n v="-305809.96000000002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305809.96000000002"/>
    <n v="0"/>
    <n v="305809.960000000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305809.96000000002"/>
    <n v="-305809.960000000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48340.68"/>
    <n v="0"/>
    <n v="48340.68"/>
    <x v="0"/>
    <x v="0"/>
    <x v="0"/>
    <n v="0"/>
    <n v="0"/>
    <n v="0"/>
    <x v="0"/>
    <x v="0"/>
    <x v="0"/>
    <n v="48340.68"/>
    <n v="0"/>
    <n v="48340.68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48340.68"/>
    <n v="-48340.68"/>
    <x v="0"/>
    <x v="0"/>
    <x v="0"/>
    <n v="0"/>
    <n v="0"/>
    <n v="0"/>
    <x v="0"/>
    <x v="0"/>
    <x v="0"/>
    <n v="0"/>
    <n v="48340.68"/>
    <n v="-48340.68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48340.68"/>
    <n v="0"/>
    <n v="48340.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48340.68"/>
    <n v="-48340.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37085.32999999996"/>
    <n v="0"/>
    <n v="637085.32999999996"/>
    <x v="0"/>
    <x v="0"/>
    <x v="0"/>
    <n v="0"/>
    <n v="0"/>
    <n v="0"/>
    <x v="0"/>
    <x v="0"/>
    <x v="0"/>
    <n v="637085.32999999996"/>
    <n v="0"/>
    <n v="637085.329999999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173287.23"/>
    <n v="-173287.23"/>
    <x v="0"/>
    <x v="0"/>
    <x v="0"/>
    <n v="0"/>
    <n v="0"/>
    <n v="0"/>
    <x v="0"/>
    <x v="0"/>
    <x v="0"/>
    <n v="0"/>
    <n v="173287.23"/>
    <n v="-173287.2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37085.32999999996"/>
    <n v="0"/>
    <n v="637085.3299999999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173287.23"/>
    <n v="-173287.2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305809.96000000002"/>
    <n v="0"/>
    <n v="305809.96000000002"/>
    <x v="0"/>
    <x v="0"/>
    <x v="0"/>
    <n v="0"/>
    <n v="0"/>
    <n v="0"/>
    <x v="0"/>
    <x v="0"/>
    <x v="0"/>
    <n v="305809.96000000002"/>
    <n v="0"/>
    <n v="305809.96000000002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3180.27"/>
    <n v="-83180.27"/>
    <x v="0"/>
    <x v="0"/>
    <x v="0"/>
    <n v="0"/>
    <n v="0"/>
    <n v="0"/>
    <x v="0"/>
    <x v="0"/>
    <x v="0"/>
    <n v="0"/>
    <n v="83180.27"/>
    <n v="-83180.27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305809.96000000002"/>
    <n v="0"/>
    <n v="305809.960000000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83180.27"/>
    <n v="-83180.2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305809.96000000002"/>
    <n v="0"/>
    <n v="305809.96000000002"/>
    <x v="0"/>
    <x v="0"/>
    <x v="0"/>
    <n v="0"/>
    <n v="0"/>
    <n v="0"/>
    <x v="0"/>
    <x v="0"/>
    <x v="0"/>
    <n v="305809.96000000002"/>
    <n v="0"/>
    <n v="305809.96000000002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8644.09"/>
    <n v="-78644.09"/>
    <x v="0"/>
    <x v="0"/>
    <x v="0"/>
    <n v="0"/>
    <n v="0"/>
    <n v="0"/>
    <x v="0"/>
    <x v="0"/>
    <x v="0"/>
    <n v="0"/>
    <n v="78644.09"/>
    <n v="-78644.09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305809.96000000002"/>
    <n v="0"/>
    <n v="305809.960000000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8644.09"/>
    <n v="-78644.09"/>
    <x v="0"/>
    <x v="0"/>
    <x v="0"/>
    <n v="0"/>
    <n v="0"/>
    <n v="0"/>
    <x v="0"/>
    <x v="0"/>
    <x v="0"/>
    <x v="0"/>
    <x v="0"/>
  </r>
  <r>
    <x v="1"/>
    <x v="0"/>
    <x v="0"/>
    <x v="0"/>
    <x v="0"/>
    <x v="10"/>
    <x v="10"/>
    <n v="229"/>
    <s v="860047239"/>
    <s v="MUSICAR S.A.S"/>
    <s v="20190228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MUEBLE  BIBLIOTECA POR VENTA S/FV3-494"/>
    <n v="0"/>
    <n v="0"/>
    <n v="0"/>
    <x v="0"/>
    <x v="0"/>
    <x v="0"/>
    <n v="0"/>
    <n v="84127.34"/>
    <n v="-84127.34"/>
    <x v="0"/>
    <x v="0"/>
    <x v="0"/>
    <n v="0"/>
    <n v="0"/>
    <n v="0"/>
    <x v="0"/>
    <x v="0"/>
    <x v="0"/>
    <x v="0"/>
    <x v="0"/>
  </r>
  <r>
    <x v="1"/>
    <x v="0"/>
    <x v="0"/>
    <x v="0"/>
    <x v="0"/>
    <x v="10"/>
    <x v="10"/>
    <n v="229"/>
    <s v="860047239"/>
    <s v="MUSICAR S.A.S"/>
    <s v="20190228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MUEBLE  BIBLIOTECA POR VENTA S/FV3-494"/>
    <n v="119900"/>
    <n v="0"/>
    <n v="119900"/>
    <x v="0"/>
    <x v="0"/>
    <x v="0"/>
    <n v="0"/>
    <n v="0"/>
    <n v="0"/>
    <x v="0"/>
    <x v="0"/>
    <x v="0"/>
    <n v="119900"/>
    <n v="0"/>
    <n v="119900"/>
    <x v="0"/>
    <x v="0"/>
    <x v="0"/>
    <x v="0"/>
    <x v="0"/>
  </r>
  <r>
    <x v="1"/>
    <x v="0"/>
    <x v="0"/>
    <x v="0"/>
    <x v="0"/>
    <x v="10"/>
    <x v="10"/>
    <n v="229"/>
    <s v="860047239"/>
    <s v="MUSICAR S.A.S"/>
    <s v="20190228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MUEBLE  BIBLIOTECA POR VENTA S/FV3-494"/>
    <n v="0"/>
    <n v="119900"/>
    <n v="-119900"/>
    <x v="0"/>
    <x v="0"/>
    <x v="0"/>
    <n v="0"/>
    <n v="0"/>
    <n v="0"/>
    <x v="0"/>
    <x v="0"/>
    <x v="0"/>
    <n v="0"/>
    <n v="119900"/>
    <n v="-119900"/>
    <x v="0"/>
    <x v="0"/>
    <x v="0"/>
    <x v="0"/>
    <x v="0"/>
  </r>
  <r>
    <x v="1"/>
    <x v="0"/>
    <x v="0"/>
    <x v="0"/>
    <x v="0"/>
    <x v="10"/>
    <x v="10"/>
    <n v="229"/>
    <s v="860047239"/>
    <s v="MUSICAR S.A.S"/>
    <s v="20190228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MUEBLE  BIBLIOTECA POR VENTA S/FV3-494"/>
    <n v="0"/>
    <n v="0"/>
    <n v="0"/>
    <x v="0"/>
    <x v="0"/>
    <x v="0"/>
    <n v="119900"/>
    <n v="0"/>
    <n v="119900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9864.71"/>
    <n v="0"/>
    <n v="39864.71"/>
    <x v="0"/>
    <x v="0"/>
    <x v="0"/>
    <n v="0"/>
    <n v="0"/>
    <n v="0"/>
    <x v="0"/>
    <x v="0"/>
    <x v="0"/>
    <n v="39864.71"/>
    <n v="0"/>
    <n v="39864.7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9864.71"/>
    <n v="-39864.71"/>
    <x v="0"/>
    <x v="0"/>
    <x v="0"/>
    <n v="0"/>
    <n v="0"/>
    <n v="0"/>
    <x v="0"/>
    <x v="0"/>
    <x v="0"/>
    <n v="0"/>
    <n v="39864.71"/>
    <n v="-39864.7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9864.71"/>
    <n v="0"/>
    <n v="39864.71"/>
    <x v="0"/>
    <x v="0"/>
    <x v="0"/>
    <n v="0"/>
    <n v="0"/>
    <n v="0"/>
    <x v="0"/>
    <x v="0"/>
    <x v="0"/>
    <n v="39864.71"/>
    <n v="0"/>
    <n v="39864.7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9864.71"/>
    <n v="-39864.71"/>
    <x v="0"/>
    <x v="0"/>
    <x v="0"/>
    <n v="0"/>
    <n v="0"/>
    <n v="0"/>
    <x v="0"/>
    <x v="0"/>
    <x v="0"/>
    <n v="0"/>
    <n v="39864.71"/>
    <n v="-39864.7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5444.9"/>
    <n v="0"/>
    <n v="15444.9"/>
    <x v="0"/>
    <x v="0"/>
    <x v="0"/>
    <n v="15444.9"/>
    <n v="0"/>
    <n v="15444.9"/>
    <x v="0"/>
    <x v="0"/>
    <x v="0"/>
    <n v="15444.9"/>
    <n v="0"/>
    <n v="15444.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413106"/>
    <n v="0"/>
    <n v="413106"/>
    <x v="0"/>
    <x v="0"/>
    <x v="0"/>
    <n v="413106"/>
    <n v="0"/>
    <n v="413106"/>
    <x v="0"/>
    <x v="0"/>
    <x v="0"/>
    <n v="413106"/>
    <n v="0"/>
    <n v="41310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5444.9"/>
    <n v="0"/>
    <n v="15444.9"/>
    <x v="0"/>
    <x v="0"/>
    <x v="0"/>
    <n v="15444.9"/>
    <n v="0"/>
    <n v="15444.9"/>
    <x v="0"/>
    <x v="0"/>
    <x v="0"/>
    <n v="15444.9"/>
    <n v="0"/>
    <n v="15444.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00.98"/>
    <n v="0"/>
    <n v="10000.98"/>
    <x v="0"/>
    <x v="0"/>
    <x v="0"/>
    <n v="10000.98"/>
    <n v="0"/>
    <n v="10000.98"/>
    <x v="0"/>
    <x v="0"/>
    <x v="0"/>
    <n v="10000.98"/>
    <n v="0"/>
    <n v="10000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2"/>
    <n v="0"/>
    <n v="34322"/>
    <x v="0"/>
    <x v="0"/>
    <x v="0"/>
    <n v="34322"/>
    <n v="0"/>
    <n v="34322"/>
    <x v="0"/>
    <x v="0"/>
    <x v="0"/>
    <n v="34322"/>
    <n v="0"/>
    <n v="3432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"/>
    <n v="0"/>
    <n v="3557"/>
    <x v="0"/>
    <x v="0"/>
    <x v="0"/>
    <n v="3557"/>
    <n v="0"/>
    <n v="3557"/>
    <x v="0"/>
    <x v="0"/>
    <x v="0"/>
    <n v="3557"/>
    <n v="0"/>
    <n v="3557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11604"/>
    <n v="0"/>
    <n v="311604"/>
    <x v="0"/>
    <x v="0"/>
    <x v="0"/>
    <n v="311604"/>
    <n v="0"/>
    <n v="311604"/>
    <x v="0"/>
    <x v="0"/>
    <x v="0"/>
    <n v="311604"/>
    <n v="0"/>
    <n v="3116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"/>
    <n v="0"/>
    <n v="3557"/>
    <x v="0"/>
    <x v="0"/>
    <x v="0"/>
    <n v="3557"/>
    <n v="0"/>
    <n v="3557"/>
    <x v="0"/>
    <x v="0"/>
    <x v="0"/>
    <n v="3557"/>
    <n v="0"/>
    <n v="3557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023"/>
    <n v="0"/>
    <n v="54023"/>
    <x v="0"/>
    <x v="0"/>
    <x v="0"/>
    <n v="54023"/>
    <n v="0"/>
    <n v="54023"/>
    <x v="0"/>
    <x v="0"/>
    <x v="0"/>
    <n v="54023"/>
    <n v="0"/>
    <n v="5402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4206.44"/>
    <n v="0"/>
    <n v="74206.44"/>
    <x v="0"/>
    <x v="0"/>
    <x v="0"/>
    <n v="74206.44"/>
    <n v="0"/>
    <n v="74206.44"/>
    <x v="0"/>
    <x v="0"/>
    <x v="0"/>
    <n v="74206.44"/>
    <n v="0"/>
    <n v="74206.44"/>
    <x v="0"/>
    <x v="0"/>
    <x v="0"/>
    <x v="0"/>
    <x v="0"/>
  </r>
  <r>
    <x v="5"/>
    <x v="0"/>
    <x v="0"/>
    <x v="0"/>
    <x v="0"/>
    <x v="2"/>
    <x v="2"/>
    <n v="19839"/>
    <s v="860007660"/>
    <s v="HELM BANK S.A."/>
    <s v="201903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HELM 4225"/>
    <n v="90876.67"/>
    <n v="0"/>
    <n v="90876.67"/>
    <x v="0"/>
    <x v="0"/>
    <x v="0"/>
    <n v="90876.67"/>
    <n v="0"/>
    <n v="90876.67"/>
    <x v="0"/>
    <x v="0"/>
    <x v="0"/>
    <n v="90876.67"/>
    <n v="0"/>
    <n v="90876.67"/>
    <x v="0"/>
    <x v="0"/>
    <x v="0"/>
    <x v="0"/>
    <x v="0"/>
  </r>
  <r>
    <x v="5"/>
    <x v="0"/>
    <x v="0"/>
    <x v="0"/>
    <x v="0"/>
    <x v="2"/>
    <x v="2"/>
    <n v="19932"/>
    <s v="890300279"/>
    <s v="BANCO DE OCCIDENTE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 DE MARZO DEL 2019"/>
    <n v="90940"/>
    <n v="0"/>
    <n v="90940"/>
    <x v="0"/>
    <x v="0"/>
    <x v="0"/>
    <n v="90940"/>
    <n v="0"/>
    <n v="90940"/>
    <x v="0"/>
    <x v="0"/>
    <x v="0"/>
    <n v="90940"/>
    <n v="0"/>
    <n v="9094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6100"/>
    <n v="0"/>
    <n v="6100"/>
    <x v="0"/>
    <x v="0"/>
    <x v="0"/>
    <n v="6100"/>
    <n v="0"/>
    <n v="6100"/>
    <x v="0"/>
    <x v="0"/>
    <x v="0"/>
    <n v="6100"/>
    <n v="0"/>
    <n v="61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605.9"/>
    <n v="0"/>
    <n v="32605.9"/>
    <x v="0"/>
    <x v="0"/>
    <x v="0"/>
    <n v="32605.9"/>
    <n v="0"/>
    <n v="32605.9"/>
    <x v="0"/>
    <x v="0"/>
    <x v="0"/>
    <n v="32605.9"/>
    <n v="0"/>
    <n v="32605.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9173.7"/>
    <n v="0"/>
    <n v="29173.7"/>
    <x v="0"/>
    <x v="0"/>
    <x v="0"/>
    <n v="29173.7"/>
    <n v="0"/>
    <n v="29173.7"/>
    <x v="0"/>
    <x v="0"/>
    <x v="0"/>
    <n v="29173.7"/>
    <n v="0"/>
    <n v="29173.7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38633.72"/>
    <n v="0"/>
    <n v="238633.72"/>
    <x v="0"/>
    <x v="0"/>
    <x v="0"/>
    <n v="0"/>
    <n v="0"/>
    <n v="0"/>
    <x v="0"/>
    <x v="0"/>
    <x v="0"/>
    <n v="238633.72"/>
    <n v="0"/>
    <n v="238633.7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38633.72"/>
    <n v="-238633.72"/>
    <x v="0"/>
    <x v="0"/>
    <x v="0"/>
    <n v="0"/>
    <n v="0"/>
    <n v="0"/>
    <x v="0"/>
    <x v="0"/>
    <x v="0"/>
    <n v="0"/>
    <n v="238633.72"/>
    <n v="-238633.7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238634"/>
    <n v="0"/>
    <n v="2386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238634"/>
    <n v="-2386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38633.72"/>
    <n v="0"/>
    <n v="238633.72"/>
    <x v="0"/>
    <x v="0"/>
    <x v="0"/>
    <n v="0"/>
    <n v="0"/>
    <n v="0"/>
    <x v="0"/>
    <x v="0"/>
    <x v="0"/>
    <n v="238633.72"/>
    <n v="0"/>
    <n v="238633.7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38633.72"/>
    <n v="-238633.72"/>
    <x v="0"/>
    <x v="0"/>
    <x v="0"/>
    <n v="0"/>
    <n v="0"/>
    <n v="0"/>
    <x v="0"/>
    <x v="0"/>
    <x v="0"/>
    <n v="0"/>
    <n v="238633.72"/>
    <n v="-238633.7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238634"/>
    <n v="0"/>
    <n v="2386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238634"/>
    <n v="-2386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134206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134206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134206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134206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70129"/>
    <n v="-270129"/>
    <x v="0"/>
    <x v="0"/>
    <x v="0"/>
    <n v="0"/>
    <n v="0"/>
    <n v="0"/>
    <x v="0"/>
    <x v="0"/>
    <x v="0"/>
    <n v="0"/>
    <n v="270129"/>
    <n v="-27012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70129"/>
    <n v="0"/>
    <n v="270129"/>
    <x v="0"/>
    <x v="0"/>
    <x v="0"/>
    <n v="0"/>
    <n v="0"/>
    <n v="0"/>
    <x v="0"/>
    <x v="0"/>
    <x v="0"/>
    <n v="270129"/>
    <n v="0"/>
    <n v="27012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270129"/>
    <n v="0"/>
    <n v="27012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270129"/>
    <n v="-27012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6810"/>
    <n v="0"/>
    <n v="6810"/>
    <x v="0"/>
    <x v="0"/>
    <x v="0"/>
    <n v="6810"/>
    <n v="0"/>
    <n v="6810"/>
    <x v="0"/>
    <x v="0"/>
    <x v="0"/>
    <n v="6810"/>
    <n v="0"/>
    <n v="681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8877.099999999999"/>
    <n v="0"/>
    <n v="18877.100000000002"/>
    <x v="0"/>
    <x v="0"/>
    <x v="0"/>
    <n v="18877.099999999999"/>
    <n v="0"/>
    <n v="18877.100000000002"/>
    <x v="0"/>
    <x v="0"/>
    <x v="0"/>
    <n v="18877.099999999999"/>
    <n v="0"/>
    <n v="18877.10000000000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708.74"/>
    <n v="0"/>
    <n v="100708.74"/>
    <x v="0"/>
    <x v="0"/>
    <x v="0"/>
    <n v="100708.74"/>
    <n v="0"/>
    <n v="100708.74"/>
    <x v="0"/>
    <x v="0"/>
    <x v="0"/>
    <n v="100708.74"/>
    <n v="0"/>
    <n v="100708.7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309400"/>
    <n v="0"/>
    <n v="309400"/>
    <x v="0"/>
    <x v="0"/>
    <x v="0"/>
    <n v="309400"/>
    <n v="0"/>
    <n v="309400"/>
    <x v="0"/>
    <x v="0"/>
    <x v="0"/>
    <n v="309400"/>
    <n v="0"/>
    <n v="3094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1"/>
    <n v="0"/>
    <n v="17161"/>
    <x v="0"/>
    <x v="0"/>
    <x v="0"/>
    <n v="17161"/>
    <n v="0"/>
    <n v="17161"/>
    <x v="0"/>
    <x v="0"/>
    <x v="0"/>
    <n v="17161"/>
    <n v="0"/>
    <n v="1716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3199.1"/>
    <n v="0"/>
    <n v="53199.1"/>
    <x v="0"/>
    <x v="0"/>
    <x v="0"/>
    <n v="53199.1"/>
    <n v="0"/>
    <n v="53199.1"/>
    <x v="0"/>
    <x v="0"/>
    <x v="0"/>
    <n v="53199.1"/>
    <n v="0"/>
    <n v="53199.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90107.82"/>
    <n v="0"/>
    <n v="90107.82"/>
    <x v="0"/>
    <x v="0"/>
    <x v="0"/>
    <n v="90107.82"/>
    <n v="0"/>
    <n v="90107.82"/>
    <x v="0"/>
    <x v="0"/>
    <x v="0"/>
    <n v="90107.82"/>
    <n v="0"/>
    <n v="90107.8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5338.8"/>
    <n v="0"/>
    <n v="185338.80000000002"/>
    <x v="0"/>
    <x v="0"/>
    <x v="0"/>
    <n v="185338.8"/>
    <n v="0"/>
    <n v="185338.80000000002"/>
    <x v="0"/>
    <x v="0"/>
    <x v="0"/>
    <n v="185338.8"/>
    <n v="0"/>
    <n v="185338.8000000000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S A TERCERO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4206.44"/>
    <n v="0"/>
    <n v="74206.44"/>
    <x v="0"/>
    <x v="0"/>
    <x v="0"/>
    <n v="74206.44"/>
    <n v="0"/>
    <n v="74206.44"/>
    <x v="0"/>
    <x v="0"/>
    <x v="0"/>
    <n v="74206.44"/>
    <n v="0"/>
    <n v="74206.4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42902.5"/>
    <n v="0"/>
    <n v="42902.5"/>
    <x v="0"/>
    <x v="0"/>
    <x v="0"/>
    <n v="42902.5"/>
    <n v="0"/>
    <n v="42902.5"/>
    <x v="0"/>
    <x v="0"/>
    <x v="0"/>
    <n v="42902.5"/>
    <n v="0"/>
    <n v="42902.5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11604"/>
    <n v="0"/>
    <n v="311604"/>
    <x v="0"/>
    <x v="0"/>
    <x v="0"/>
    <n v="311604"/>
    <n v="0"/>
    <n v="311604"/>
    <x v="0"/>
    <x v="0"/>
    <x v="0"/>
    <n v="311604"/>
    <n v="0"/>
    <n v="3116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023"/>
    <n v="0"/>
    <n v="54023"/>
    <x v="0"/>
    <x v="0"/>
    <x v="0"/>
    <n v="54023"/>
    <n v="0"/>
    <n v="54023"/>
    <x v="0"/>
    <x v="0"/>
    <x v="0"/>
    <n v="54023"/>
    <n v="0"/>
    <n v="54023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"/>
    <n v="0"/>
    <n v="3557"/>
    <x v="0"/>
    <x v="0"/>
    <x v="0"/>
    <n v="3557"/>
    <n v="0"/>
    <n v="3557"/>
    <x v="0"/>
    <x v="0"/>
    <x v="0"/>
    <n v="3557"/>
    <n v="0"/>
    <n v="3557"/>
    <x v="0"/>
    <x v="0"/>
    <x v="0"/>
    <x v="0"/>
    <x v="0"/>
  </r>
  <r>
    <x v="7"/>
    <x v="0"/>
    <x v="0"/>
    <x v="0"/>
    <x v="0"/>
    <x v="2"/>
    <x v="2"/>
    <n v="19958"/>
    <s v="860002964"/>
    <s v="BANCO DE BOGOTA S.A."/>
    <s v="201904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ALDO DE OBLIGACION 349 CREDITO ROTATIVO"/>
    <n v="52479"/>
    <n v="0"/>
    <n v="52479"/>
    <x v="0"/>
    <x v="0"/>
    <x v="0"/>
    <n v="52479"/>
    <n v="0"/>
    <n v="52479"/>
    <x v="0"/>
    <x v="0"/>
    <x v="0"/>
    <n v="52479"/>
    <n v="0"/>
    <n v="52479"/>
    <x v="0"/>
    <x v="0"/>
    <x v="0"/>
    <x v="0"/>
    <x v="0"/>
  </r>
  <r>
    <x v="7"/>
    <x v="0"/>
    <x v="0"/>
    <x v="0"/>
    <x v="0"/>
    <x v="2"/>
    <x v="2"/>
    <n v="19998"/>
    <s v="900406150"/>
    <s v="BANCO COOMEVA S.A."/>
    <s v="201904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ACARIOS MES DE MARZO DEL 2019"/>
    <n v="116233.28"/>
    <n v="0"/>
    <n v="116233.28"/>
    <x v="0"/>
    <x v="0"/>
    <x v="0"/>
    <n v="116233.28"/>
    <n v="0"/>
    <n v="116233.28"/>
    <x v="0"/>
    <x v="0"/>
    <x v="0"/>
    <n v="116233.28"/>
    <n v="0"/>
    <n v="116233.28"/>
    <x v="0"/>
    <x v="0"/>
    <x v="0"/>
    <x v="0"/>
    <x v="0"/>
  </r>
  <r>
    <x v="7"/>
    <x v="0"/>
    <x v="0"/>
    <x v="0"/>
    <x v="0"/>
    <x v="11"/>
    <x v="11"/>
    <n v="26012"/>
    <s v="1018441067"/>
    <s v="ALONSO GUTIERREZ YINNETH CATALINA"/>
    <s v="201904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6 + GASTOS BANCARIOS"/>
    <n v="8045"/>
    <n v="0"/>
    <n v="8045"/>
    <x v="0"/>
    <x v="0"/>
    <x v="0"/>
    <n v="8045"/>
    <n v="0"/>
    <n v="8045"/>
    <x v="0"/>
    <x v="0"/>
    <x v="0"/>
    <n v="8045"/>
    <n v="0"/>
    <n v="8045"/>
    <x v="0"/>
    <x v="0"/>
    <x v="0"/>
    <x v="0"/>
    <x v="0"/>
  </r>
  <r>
    <x v="7"/>
    <x v="0"/>
    <x v="0"/>
    <x v="0"/>
    <x v="0"/>
    <x v="11"/>
    <x v="11"/>
    <n v="26013"/>
    <s v="1045717933"/>
    <s v="PALMA GUTIERREZ KETTY JANETH"/>
    <s v="201904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4  + GASTOS BANCARIOS"/>
    <n v="7304"/>
    <n v="0"/>
    <n v="7304"/>
    <x v="0"/>
    <x v="0"/>
    <x v="0"/>
    <n v="7304"/>
    <n v="0"/>
    <n v="7304"/>
    <x v="0"/>
    <x v="0"/>
    <x v="0"/>
    <n v="7304"/>
    <n v="0"/>
    <n v="7304"/>
    <x v="0"/>
    <x v="0"/>
    <x v="0"/>
    <x v="0"/>
    <x v="0"/>
  </r>
  <r>
    <x v="7"/>
    <x v="0"/>
    <x v="0"/>
    <x v="0"/>
    <x v="0"/>
    <x v="11"/>
    <x v="11"/>
    <n v="26015"/>
    <s v="31908098"/>
    <s v="LOPEZ GARCIA MARIA DEL SOCORRO"/>
    <s v="2019040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31908098"/>
    <s v="LOPEZ GARCIA MARIA DEL SOCORR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0 + GASTOS BANCARIOS"/>
    <n v="8384"/>
    <n v="0"/>
    <n v="8384"/>
    <x v="0"/>
    <x v="0"/>
    <x v="0"/>
    <n v="8384"/>
    <n v="0"/>
    <n v="8384"/>
    <x v="0"/>
    <x v="0"/>
    <x v="0"/>
    <n v="8384"/>
    <n v="0"/>
    <n v="8384"/>
    <x v="0"/>
    <x v="0"/>
    <x v="0"/>
    <x v="0"/>
    <x v="0"/>
  </r>
  <r>
    <x v="7"/>
    <x v="0"/>
    <x v="0"/>
    <x v="0"/>
    <x v="0"/>
    <x v="11"/>
    <x v="11"/>
    <n v="26026"/>
    <s v="1098657994"/>
    <s v="HERNANDEZ ROJAS JOHN EDISON"/>
    <s v="201904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2+ GASTOS BANCARIOS"/>
    <n v="7202"/>
    <n v="0"/>
    <n v="7202"/>
    <x v="0"/>
    <x v="0"/>
    <x v="0"/>
    <n v="7202"/>
    <n v="0"/>
    <n v="7202"/>
    <x v="0"/>
    <x v="0"/>
    <x v="0"/>
    <n v="7202"/>
    <n v="0"/>
    <n v="7202"/>
    <x v="0"/>
    <x v="0"/>
    <x v="0"/>
    <x v="0"/>
    <x v="0"/>
  </r>
  <r>
    <x v="7"/>
    <x v="0"/>
    <x v="0"/>
    <x v="0"/>
    <x v="0"/>
    <x v="11"/>
    <x v="11"/>
    <n v="26027"/>
    <s v="29873536"/>
    <s v="ZUÑIGA CEBALLOS CLAUDIA MARIA"/>
    <s v="201904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35+ GASTOS BANCARIOS"/>
    <n v="7713"/>
    <n v="0"/>
    <n v="7713"/>
    <x v="0"/>
    <x v="0"/>
    <x v="0"/>
    <n v="7713"/>
    <n v="0"/>
    <n v="7713"/>
    <x v="0"/>
    <x v="0"/>
    <x v="0"/>
    <n v="7713"/>
    <n v="0"/>
    <n v="7713"/>
    <x v="0"/>
    <x v="0"/>
    <x v="0"/>
    <x v="0"/>
    <x v="0"/>
  </r>
  <r>
    <x v="7"/>
    <x v="0"/>
    <x v="0"/>
    <x v="0"/>
    <x v="0"/>
    <x v="2"/>
    <x v="2"/>
    <n v="20001"/>
    <s v="890903938"/>
    <s v="BANCOLOMBIA S.A."/>
    <s v="201904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11940"/>
    <s v="TURISMO MARVAN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BANCOLOMBIA"/>
    <n v="12609.8"/>
    <n v="0"/>
    <n v="12609.800000000001"/>
    <x v="0"/>
    <x v="0"/>
    <x v="0"/>
    <n v="12609.8"/>
    <n v="0"/>
    <n v="12609.800000000001"/>
    <x v="0"/>
    <x v="0"/>
    <x v="0"/>
    <n v="12609.8"/>
    <n v="0"/>
    <n v="12609.800000000001"/>
    <x v="0"/>
    <x v="0"/>
    <x v="0"/>
    <x v="0"/>
    <x v="0"/>
  </r>
  <r>
    <x v="7"/>
    <x v="0"/>
    <x v="0"/>
    <x v="0"/>
    <x v="0"/>
    <x v="2"/>
    <x v="2"/>
    <n v="20002"/>
    <s v="890903938"/>
    <s v="BANCOLOMBIA S.A."/>
    <s v="201904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3015  BANCOLOMBIA"/>
    <n v="2408.8200000000002"/>
    <n v="0"/>
    <n v="2408.8200000000002"/>
    <x v="0"/>
    <x v="0"/>
    <x v="0"/>
    <n v="2408.8200000000002"/>
    <n v="0"/>
    <n v="2408.8200000000002"/>
    <x v="0"/>
    <x v="0"/>
    <x v="0"/>
    <n v="2408.8200000000002"/>
    <n v="0"/>
    <n v="2408.8200000000002"/>
    <x v="0"/>
    <x v="0"/>
    <x v="0"/>
    <x v="0"/>
    <x v="0"/>
  </r>
  <r>
    <x v="7"/>
    <x v="0"/>
    <x v="0"/>
    <x v="0"/>
    <x v="0"/>
    <x v="11"/>
    <x v="11"/>
    <n v="26071"/>
    <s v="1018441067"/>
    <s v="ALONSO GUTIERREZ YINNETH CATALINA"/>
    <s v="201904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18441067"/>
    <s v="ALONSO GUTIERREZ YINNETH CATAL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7- GASTOS BANCARIOS"/>
    <n v="11342"/>
    <n v="0"/>
    <n v="11342"/>
    <x v="0"/>
    <x v="0"/>
    <x v="0"/>
    <n v="11342"/>
    <n v="0"/>
    <n v="11342"/>
    <x v="0"/>
    <x v="0"/>
    <x v="0"/>
    <n v="11342"/>
    <n v="0"/>
    <n v="11342"/>
    <x v="0"/>
    <x v="0"/>
    <x v="0"/>
    <x v="0"/>
    <x v="0"/>
  </r>
  <r>
    <x v="7"/>
    <x v="0"/>
    <x v="0"/>
    <x v="0"/>
    <x v="0"/>
    <x v="11"/>
    <x v="11"/>
    <n v="26072"/>
    <s v="1045717933"/>
    <s v="PALMA GUTIERREZ KETTY JANETH"/>
    <s v="201904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45717933"/>
    <s v="PALMA GUTIERREZ KETTY JANET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5 + GASTOS BANCARIOS"/>
    <n v="7540"/>
    <n v="0"/>
    <n v="7540"/>
    <x v="0"/>
    <x v="0"/>
    <x v="0"/>
    <n v="7540"/>
    <n v="0"/>
    <n v="7540"/>
    <x v="0"/>
    <x v="0"/>
    <x v="0"/>
    <n v="7540"/>
    <n v="0"/>
    <n v="7540"/>
    <x v="0"/>
    <x v="0"/>
    <x v="0"/>
    <x v="0"/>
    <x v="0"/>
  </r>
  <r>
    <x v="7"/>
    <x v="0"/>
    <x v="0"/>
    <x v="0"/>
    <x v="0"/>
    <x v="11"/>
    <x v="11"/>
    <n v="26073"/>
    <s v="4519543"/>
    <s v="GARCIA CASTAÑO FREDY JHOVANNY"/>
    <s v="201904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519543"/>
    <s v="GARCIA CASTAÑO FREDY JHOVANNY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53 + GASTOS BANCARIOS"/>
    <n v="3364"/>
    <n v="0"/>
    <n v="3364"/>
    <x v="0"/>
    <x v="0"/>
    <x v="0"/>
    <n v="3364"/>
    <n v="0"/>
    <n v="3364"/>
    <x v="0"/>
    <x v="0"/>
    <x v="0"/>
    <n v="3364"/>
    <n v="0"/>
    <n v="3364"/>
    <x v="0"/>
    <x v="0"/>
    <x v="0"/>
    <x v="0"/>
    <x v="0"/>
  </r>
  <r>
    <x v="7"/>
    <x v="0"/>
    <x v="0"/>
    <x v="0"/>
    <x v="0"/>
    <x v="11"/>
    <x v="11"/>
    <n v="26074"/>
    <s v="1036930909"/>
    <s v="ALZATE SANCHEZ NATACHA"/>
    <s v="201904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36930909"/>
    <s v="ALZATE SANCHEZ NATACH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77+ GASTOS BANCARIOS"/>
    <n v="11845"/>
    <n v="0"/>
    <n v="11845"/>
    <x v="0"/>
    <x v="0"/>
    <x v="0"/>
    <n v="11845"/>
    <n v="0"/>
    <n v="11845"/>
    <x v="0"/>
    <x v="0"/>
    <x v="0"/>
    <n v="11845"/>
    <n v="0"/>
    <n v="11845"/>
    <x v="0"/>
    <x v="0"/>
    <x v="0"/>
    <x v="0"/>
    <x v="0"/>
  </r>
  <r>
    <x v="7"/>
    <x v="0"/>
    <x v="0"/>
    <x v="0"/>
    <x v="0"/>
    <x v="11"/>
    <x v="11"/>
    <n v="26163"/>
    <s v="16285567"/>
    <s v="MONTOYA GOMEZ PABLO IGNACIO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57-559+ GASTOS BANCARIOS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7"/>
    <x v="0"/>
    <x v="0"/>
    <x v="0"/>
    <x v="0"/>
    <x v="11"/>
    <x v="11"/>
    <n v="26164"/>
    <s v="94512729"/>
    <s v="GARCES GONZALEZ JACOBO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58+ GASTOS BANCARIOS"/>
    <n v="5000"/>
    <n v="0"/>
    <n v="5000"/>
    <x v="0"/>
    <x v="0"/>
    <x v="0"/>
    <n v="5000"/>
    <n v="0"/>
    <n v="5000"/>
    <x v="0"/>
    <x v="0"/>
    <x v="0"/>
    <n v="5000"/>
    <n v="0"/>
    <n v="5000"/>
    <x v="0"/>
    <x v="0"/>
    <x v="0"/>
    <x v="0"/>
    <x v="0"/>
  </r>
  <r>
    <x v="7"/>
    <x v="0"/>
    <x v="0"/>
    <x v="0"/>
    <x v="0"/>
    <x v="11"/>
    <x v="11"/>
    <n v="26165"/>
    <s v="31908098"/>
    <s v="LOPEZ GARCIA MARIA DEL SOCORRO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1- GASTOS BANCARIOS"/>
    <n v="8263"/>
    <n v="0"/>
    <n v="8263"/>
    <x v="0"/>
    <x v="0"/>
    <x v="0"/>
    <n v="8263"/>
    <n v="0"/>
    <n v="8263"/>
    <x v="0"/>
    <x v="0"/>
    <x v="0"/>
    <n v="8263"/>
    <n v="0"/>
    <n v="8263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11"/>
    <x v="11"/>
    <n v="26011"/>
    <s v="71631400"/>
    <s v="CARRASQUILLA PIZARRO MARCO ANTONIO"/>
    <s v="201904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29 - MAS GASTOS BANCARI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11"/>
    <x v="11"/>
    <n v="26162"/>
    <s v="31572163"/>
    <s v="VALLEJO AGUIRRE ANA MARIA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60+ GASTOS BANCARIOS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5130"/>
    <n v="0"/>
    <n v="5130"/>
    <x v="0"/>
    <x v="0"/>
    <x v="0"/>
    <n v="5130"/>
    <n v="0"/>
    <n v="5130"/>
    <x v="0"/>
    <x v="0"/>
    <x v="0"/>
    <n v="5130"/>
    <n v="0"/>
    <n v="513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974.7"/>
    <n v="0"/>
    <n v="974.7"/>
    <x v="0"/>
    <x v="0"/>
    <x v="0"/>
    <n v="974.7"/>
    <n v="0"/>
    <n v="974.7"/>
    <x v="0"/>
    <x v="0"/>
    <x v="0"/>
    <n v="974.7"/>
    <n v="0"/>
    <n v="974.7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2"/>
    <x v="0"/>
    <x v="0"/>
    <x v="1"/>
    <x v="1"/>
    <x v="1"/>
    <x v="1"/>
    <n v="24619"/>
    <s v="802016306"/>
    <s v="EXPOCONSTRUCCION 43 Y CIA LTDA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193 - FVA-364998"/>
    <n v="70"/>
    <n v="0"/>
    <n v="70"/>
    <x v="0"/>
    <x v="0"/>
    <x v="0"/>
    <n v="70"/>
    <n v="0"/>
    <n v="70"/>
    <x v="0"/>
    <x v="0"/>
    <x v="0"/>
    <n v="70"/>
    <n v="0"/>
    <n v="70"/>
    <x v="0"/>
    <x v="0"/>
    <x v="0"/>
    <x v="0"/>
    <x v="0"/>
  </r>
  <r>
    <x v="2"/>
    <x v="0"/>
    <x v="0"/>
    <x v="1"/>
    <x v="1"/>
    <x v="1"/>
    <x v="1"/>
    <n v="24622"/>
    <s v="1140900157"/>
    <s v="BOZON ALBA VALENTINA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1140900157"/>
    <s v="BOZON ALBA VALENT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151"/>
    <n v="50"/>
    <n v="0"/>
    <n v="50"/>
    <x v="0"/>
    <x v="0"/>
    <x v="0"/>
    <n v="50"/>
    <n v="0"/>
    <n v="50"/>
    <x v="0"/>
    <x v="0"/>
    <x v="0"/>
    <n v="50"/>
    <n v="0"/>
    <n v="50"/>
    <x v="0"/>
    <x v="0"/>
    <x v="0"/>
    <x v="0"/>
    <x v="0"/>
  </r>
  <r>
    <x v="2"/>
    <x v="0"/>
    <x v="0"/>
    <x v="1"/>
    <x v="1"/>
    <x v="1"/>
    <x v="1"/>
    <n v="24627"/>
    <s v="890301054"/>
    <s v="TORRECAFE AGUILA ROJA CIA. S.A.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301054"/>
    <s v="TORRECAFE AGUILA ROJA CIA.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5034"/>
    <n v="92"/>
    <n v="0"/>
    <n v="92"/>
    <x v="0"/>
    <x v="0"/>
    <x v="0"/>
    <n v="92"/>
    <n v="0"/>
    <n v="92"/>
    <x v="0"/>
    <x v="0"/>
    <x v="0"/>
    <n v="92"/>
    <n v="0"/>
    <n v="92"/>
    <x v="0"/>
    <x v="0"/>
    <x v="0"/>
    <x v="0"/>
    <x v="0"/>
  </r>
  <r>
    <x v="2"/>
    <x v="0"/>
    <x v="0"/>
    <x v="1"/>
    <x v="1"/>
    <x v="1"/>
    <x v="1"/>
    <n v="24628"/>
    <s v="802010909"/>
    <s v="INVERSIONES WONGFOEN S.A.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5014_x000d__x000a_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2"/>
    <x v="0"/>
    <x v="0"/>
    <x v="0"/>
    <x v="0"/>
    <x v="0"/>
    <x v="0"/>
    <n v="4315"/>
    <s v="1020757156"/>
    <s v="ROA GUTIERREZ LUIS EDUARDO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1020757156"/>
    <s v="ROA GUTIERREZ LUIS EDUARD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 DEJADO DE APLICAR DESCUENTO COMERCIAL"/>
    <n v="138000"/>
    <n v="0"/>
    <n v="138000"/>
    <x v="0"/>
    <x v="0"/>
    <x v="0"/>
    <n v="138000"/>
    <n v="0"/>
    <n v="138000"/>
    <x v="0"/>
    <x v="0"/>
    <x v="0"/>
    <n v="138000"/>
    <n v="0"/>
    <n v="138000"/>
    <x v="0"/>
    <x v="0"/>
    <x v="0"/>
    <x v="0"/>
    <x v="0"/>
  </r>
  <r>
    <x v="2"/>
    <x v="0"/>
    <x v="0"/>
    <x v="1"/>
    <x v="1"/>
    <x v="1"/>
    <x v="1"/>
    <n v="24633"/>
    <s v="806012958"/>
    <s v="IPS SALUD DEL CARIBE S.A"/>
    <s v="201906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301 - FVA-362314 - FVA-362319 - FVA-362323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2"/>
    <x v="0"/>
    <x v="0"/>
    <x v="2"/>
    <x v="2"/>
    <x v="9"/>
    <x v="9"/>
    <n v="1583"/>
    <s v="800085013"/>
    <s v="COMPLEJO COMERCIAL CENTRO CHIA"/>
    <s v="201906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085013"/>
    <s v="COMPLEJO COMERCIAL CENTRO CH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ANUAL 9% $824.615"/>
    <n v="824615"/>
    <n v="0"/>
    <n v="824615"/>
    <x v="0"/>
    <x v="0"/>
    <x v="0"/>
    <n v="824615"/>
    <n v="0"/>
    <n v="824615"/>
    <x v="0"/>
    <x v="0"/>
    <x v="0"/>
    <n v="824615"/>
    <n v="0"/>
    <n v="824615"/>
    <x v="0"/>
    <x v="0"/>
    <x v="0"/>
    <x v="0"/>
    <x v="0"/>
  </r>
  <r>
    <x v="2"/>
    <x v="0"/>
    <x v="0"/>
    <x v="5"/>
    <x v="5"/>
    <x v="9"/>
    <x v="9"/>
    <n v="1319"/>
    <s v="890304049"/>
    <s v="ARQUIDIOCESIS DE CALI"/>
    <s v="201906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049"/>
    <s v="ARQUIDIOCESI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OK,  $277.222"/>
    <n v="277222"/>
    <n v="0"/>
    <n v="277222"/>
    <x v="0"/>
    <x v="0"/>
    <x v="0"/>
    <n v="277222"/>
    <n v="0"/>
    <n v="277222"/>
    <x v="0"/>
    <x v="0"/>
    <x v="0"/>
    <n v="277222"/>
    <n v="0"/>
    <n v="277222"/>
    <x v="0"/>
    <x v="0"/>
    <x v="0"/>
    <x v="0"/>
    <x v="0"/>
  </r>
  <r>
    <x v="2"/>
    <x v="0"/>
    <x v="0"/>
    <x v="5"/>
    <x v="5"/>
    <x v="1"/>
    <x v="1"/>
    <n v="47032"/>
    <s v="890311006"/>
    <s v="FONDO DE EMPLEADOS DE LAS EMP.MPALES DE CALI"/>
    <s v="201906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53"/>
    <n v="0"/>
    <n v="453"/>
    <x v="0"/>
    <x v="0"/>
    <x v="0"/>
    <n v="453"/>
    <n v="0"/>
    <n v="453"/>
    <x v="0"/>
    <x v="0"/>
    <x v="0"/>
    <n v="453"/>
    <n v="0"/>
    <n v="453"/>
    <x v="0"/>
    <x v="0"/>
    <x v="0"/>
    <x v="0"/>
    <x v="0"/>
  </r>
  <r>
    <x v="2"/>
    <x v="0"/>
    <x v="0"/>
    <x v="5"/>
    <x v="5"/>
    <x v="1"/>
    <x v="1"/>
    <n v="47033"/>
    <s v="900825179"/>
    <s v="ELIZABETH TRULLAS  CIA S.A.S"/>
    <s v="201906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2"/>
    <x v="0"/>
    <x v="0"/>
    <x v="5"/>
    <x v="5"/>
    <x v="1"/>
    <x v="1"/>
    <n v="47045"/>
    <s v="860046201"/>
    <s v="FORTOX S.A"/>
    <s v="201906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2"/>
    <x v="0"/>
    <x v="0"/>
    <x v="2"/>
    <x v="2"/>
    <x v="9"/>
    <x v="9"/>
    <n v="1589"/>
    <s v="51721371"/>
    <s v="CASTIBLANCO BARRERO MARIA CONSUELO"/>
    <s v="201906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51721371"/>
    <s v="CASTIBLANCO BARRERO MARIA CONSUEL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SEMESTRAL 4.5% $20.180"/>
    <n v="20179"/>
    <n v="0"/>
    <n v="20179"/>
    <x v="0"/>
    <x v="0"/>
    <x v="0"/>
    <n v="20179"/>
    <n v="0"/>
    <n v="20179"/>
    <x v="0"/>
    <x v="0"/>
    <x v="0"/>
    <n v="20179"/>
    <n v="0"/>
    <n v="20179"/>
    <x v="0"/>
    <x v="0"/>
    <x v="0"/>
    <x v="0"/>
    <x v="0"/>
  </r>
  <r>
    <x v="2"/>
    <x v="0"/>
    <x v="0"/>
    <x v="2"/>
    <x v="2"/>
    <x v="9"/>
    <x v="9"/>
    <n v="1590"/>
    <s v="860049609"/>
    <s v="MILSEN S.A."/>
    <s v="201906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49609"/>
    <s v="MILS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ANUAL 9% $210.245"/>
    <n v="210245"/>
    <n v="0"/>
    <n v="210245"/>
    <x v="0"/>
    <x v="0"/>
    <x v="0"/>
    <n v="210245"/>
    <n v="0"/>
    <n v="210245"/>
    <x v="0"/>
    <x v="0"/>
    <x v="0"/>
    <n v="210245"/>
    <n v="0"/>
    <n v="210245"/>
    <x v="0"/>
    <x v="0"/>
    <x v="0"/>
    <x v="0"/>
    <x v="0"/>
  </r>
  <r>
    <x v="2"/>
    <x v="0"/>
    <x v="0"/>
    <x v="3"/>
    <x v="3"/>
    <x v="1"/>
    <x v="1"/>
    <n v="37969"/>
    <s v="800017259"/>
    <s v="PASAJE COMERCIAL EL BOULEVARD DE JUNIN P-H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017259"/>
    <s v="PASAJE COMERCIAL EL BOULEVARD DE JUNIN P-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4730 DCTO PRONTO PAGO 2.25%"/>
    <n v="14388"/>
    <n v="0"/>
    <n v="14388"/>
    <x v="0"/>
    <x v="0"/>
    <x v="0"/>
    <n v="14388"/>
    <n v="0"/>
    <n v="14388"/>
    <x v="0"/>
    <x v="0"/>
    <x v="0"/>
    <n v="14388"/>
    <n v="0"/>
    <n v="14388"/>
    <x v="0"/>
    <x v="0"/>
    <x v="0"/>
    <x v="0"/>
    <x v="0"/>
  </r>
  <r>
    <x v="2"/>
    <x v="0"/>
    <x v="0"/>
    <x v="1"/>
    <x v="1"/>
    <x v="1"/>
    <x v="1"/>
    <n v="24669"/>
    <s v="7883830"/>
    <s v="MARRUGO GUARDO GONZALO RAFAEL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7883830"/>
    <s v="MARRUGO GUARDO GONZALO RAFAE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959 - FVA-362296"/>
    <n v="400"/>
    <n v="0"/>
    <n v="400"/>
    <x v="0"/>
    <x v="0"/>
    <x v="0"/>
    <n v="400"/>
    <n v="0"/>
    <n v="400"/>
    <x v="0"/>
    <x v="0"/>
    <x v="0"/>
    <n v="400"/>
    <n v="0"/>
    <n v="400"/>
    <x v="0"/>
    <x v="0"/>
    <x v="0"/>
    <x v="0"/>
    <x v="0"/>
  </r>
  <r>
    <x v="2"/>
    <x v="0"/>
    <x v="0"/>
    <x v="1"/>
    <x v="1"/>
    <x v="1"/>
    <x v="1"/>
    <n v="24673"/>
    <s v="32757237"/>
    <s v="MEDINA OLIVEROS FARATH DIVA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150"/>
    <n v="302"/>
    <n v="0"/>
    <n v="302"/>
    <x v="0"/>
    <x v="0"/>
    <x v="0"/>
    <n v="302"/>
    <n v="0"/>
    <n v="302"/>
    <x v="0"/>
    <x v="0"/>
    <x v="0"/>
    <n v="302"/>
    <n v="0"/>
    <n v="302"/>
    <x v="0"/>
    <x v="0"/>
    <x v="0"/>
    <x v="0"/>
    <x v="0"/>
  </r>
  <r>
    <x v="2"/>
    <x v="0"/>
    <x v="0"/>
    <x v="0"/>
    <x v="0"/>
    <x v="1"/>
    <x v="1"/>
    <n v="2409"/>
    <s v="800149169"/>
    <s v="CLINICA JOSE A. RIVAS S.A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149169"/>
    <s v="CLINICA JOSE A. RIVA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ARTERA EN ABOGADO"/>
    <n v="5519"/>
    <n v="0"/>
    <n v="5519"/>
    <x v="0"/>
    <x v="0"/>
    <x v="0"/>
    <n v="5519"/>
    <n v="0"/>
    <n v="5519"/>
    <x v="0"/>
    <x v="0"/>
    <x v="0"/>
    <n v="5519"/>
    <n v="0"/>
    <n v="5519"/>
    <x v="0"/>
    <x v="0"/>
    <x v="0"/>
    <x v="0"/>
    <x v="0"/>
  </r>
  <r>
    <x v="2"/>
    <x v="0"/>
    <x v="0"/>
    <x v="0"/>
    <x v="0"/>
    <x v="1"/>
    <x v="1"/>
    <n v="2401"/>
    <s v="900338133"/>
    <s v="INST. BELLEZA STELLA DURAN GALERIAS"/>
    <s v="201906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338133"/>
    <s v="INST. BELLEZA STELLA DURAN GALERI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BONO CARTERA EN ABOGADO"/>
    <n v="120664"/>
    <n v="0"/>
    <n v="120664"/>
    <x v="0"/>
    <x v="0"/>
    <x v="0"/>
    <n v="120664"/>
    <n v="0"/>
    <n v="120664"/>
    <x v="0"/>
    <x v="0"/>
    <x v="0"/>
    <n v="120664"/>
    <n v="0"/>
    <n v="120664"/>
    <x v="0"/>
    <x v="0"/>
    <x v="0"/>
    <x v="0"/>
    <x v="0"/>
  </r>
  <r>
    <x v="2"/>
    <x v="0"/>
    <x v="0"/>
    <x v="5"/>
    <x v="5"/>
    <x v="1"/>
    <x v="1"/>
    <n v="46983"/>
    <s v="900361467"/>
    <s v="BLUE ELEMENTS S.A.S"/>
    <s v="201906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361467"/>
    <s v="BLUE ELEMENTS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82"/>
    <n v="0"/>
    <n v="382"/>
    <x v="0"/>
    <x v="0"/>
    <x v="0"/>
    <n v="382"/>
    <n v="0"/>
    <n v="382"/>
    <x v="0"/>
    <x v="0"/>
    <x v="0"/>
    <n v="382"/>
    <n v="0"/>
    <n v="382"/>
    <x v="0"/>
    <x v="0"/>
    <x v="0"/>
    <x v="0"/>
    <x v="0"/>
  </r>
  <r>
    <x v="2"/>
    <x v="0"/>
    <x v="0"/>
    <x v="5"/>
    <x v="5"/>
    <x v="1"/>
    <x v="1"/>
    <n v="46986"/>
    <s v="1509246"/>
    <s v="MORALES SANTACRUZ JESUS ANTONIO"/>
    <s v="201906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23"/>
    <n v="0"/>
    <n v="123"/>
    <x v="0"/>
    <x v="0"/>
    <x v="0"/>
    <n v="123"/>
    <n v="0"/>
    <n v="123"/>
    <x v="0"/>
    <x v="0"/>
    <x v="0"/>
    <n v="123"/>
    <n v="0"/>
    <n v="123"/>
    <x v="0"/>
    <x v="0"/>
    <x v="0"/>
    <x v="0"/>
    <x v="0"/>
  </r>
  <r>
    <x v="2"/>
    <x v="0"/>
    <x v="0"/>
    <x v="5"/>
    <x v="5"/>
    <x v="9"/>
    <x v="9"/>
    <n v="1318"/>
    <s v="860019021"/>
    <s v="ASOCIACION PARA LA ENSENANZA ASPAEN"/>
    <s v="201906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19021"/>
    <s v="ASOCIACION PARA LA ENSENANZA ASPAE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 AÑO ANTICIPADO 9% EN FACTURA ,OK.$79.906"/>
    <n v="79906"/>
    <n v="0"/>
    <n v="79906"/>
    <x v="0"/>
    <x v="0"/>
    <x v="0"/>
    <n v="79906"/>
    <n v="0"/>
    <n v="79906"/>
    <x v="0"/>
    <x v="0"/>
    <x v="0"/>
    <n v="79906"/>
    <n v="0"/>
    <n v="79906"/>
    <x v="0"/>
    <x v="0"/>
    <x v="0"/>
    <x v="0"/>
    <x v="0"/>
  </r>
  <r>
    <x v="2"/>
    <x v="0"/>
    <x v="0"/>
    <x v="0"/>
    <x v="0"/>
    <x v="11"/>
    <x v="11"/>
    <n v="26606"/>
    <s v="890805503"/>
    <s v="PASTELERIA LA SUIZA LTDA"/>
    <s v="201906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0805503"/>
    <s v="PASTELERIA LA SUIZ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INTEGRO DESCUENTO NO APLICADO POR CLIENTE ( RC 461-18373)"/>
    <n v="57817"/>
    <n v="0"/>
    <n v="57817"/>
    <x v="0"/>
    <x v="0"/>
    <x v="0"/>
    <n v="57817"/>
    <n v="0"/>
    <n v="57817"/>
    <x v="0"/>
    <x v="0"/>
    <x v="0"/>
    <n v="57817"/>
    <n v="0"/>
    <n v="57817"/>
    <x v="0"/>
    <x v="0"/>
    <x v="0"/>
    <x v="0"/>
    <x v="0"/>
  </r>
  <r>
    <x v="2"/>
    <x v="0"/>
    <x v="0"/>
    <x v="5"/>
    <x v="5"/>
    <x v="1"/>
    <x v="1"/>
    <n v="47067"/>
    <s v="900569801"/>
    <s v="MARGARITA PEÑA S.A.S.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2"/>
    <x v="0"/>
    <x v="0"/>
    <x v="5"/>
    <x v="5"/>
    <x v="1"/>
    <x v="1"/>
    <n v="47082"/>
    <s v="900612118"/>
    <s v="SERVICIOS ESTRATEGICOS COMPARTIDOS SAS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612118"/>
    <s v="SERVICIOS ESTRATEGICOS COMPARTIDO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360158,FONDO DE INVERSIONES,8001622716"/>
    <n v="9625"/>
    <n v="0"/>
    <n v="9625"/>
    <x v="0"/>
    <x v="0"/>
    <x v="0"/>
    <n v="9625"/>
    <n v="0"/>
    <n v="9625"/>
    <x v="0"/>
    <x v="0"/>
    <x v="0"/>
    <n v="9625"/>
    <n v="0"/>
    <n v="9625"/>
    <x v="0"/>
    <x v="0"/>
    <x v="0"/>
    <x v="0"/>
    <x v="0"/>
  </r>
  <r>
    <x v="3"/>
    <x v="0"/>
    <x v="0"/>
    <x v="5"/>
    <x v="5"/>
    <x v="1"/>
    <x v="1"/>
    <n v="47137"/>
    <s v="805019647"/>
    <s v="TECNELEC COMUNICACIONES S.A"/>
    <s v="201907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99"/>
    <n v="0"/>
    <n v="99"/>
    <x v="0"/>
    <x v="0"/>
    <x v="0"/>
    <n v="99"/>
    <n v="0"/>
    <n v="99"/>
    <x v="0"/>
    <x v="0"/>
    <x v="0"/>
    <n v="99"/>
    <n v="0"/>
    <n v="99"/>
    <x v="0"/>
    <x v="0"/>
    <x v="0"/>
    <x v="0"/>
    <x v="0"/>
  </r>
  <r>
    <x v="3"/>
    <x v="0"/>
    <x v="0"/>
    <x v="3"/>
    <x v="3"/>
    <x v="1"/>
    <x v="1"/>
    <n v="38010"/>
    <s v="890911816"/>
    <s v="CLINICA MEDELLIN S.A."/>
    <s v="201907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11816"/>
    <s v="CLINICA MEDELL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1075 SE GENERA DCTO POR PRONTO PAGO DEL 9% AUTORIZADO POR GERENCIA DE LA REGIONAL"/>
    <n v="374667"/>
    <n v="0"/>
    <n v="374667"/>
    <x v="0"/>
    <x v="0"/>
    <x v="0"/>
    <n v="374667"/>
    <n v="0"/>
    <n v="374667"/>
    <x v="0"/>
    <x v="0"/>
    <x v="0"/>
    <n v="374667"/>
    <n v="0"/>
    <n v="374667"/>
    <x v="0"/>
    <x v="0"/>
    <x v="0"/>
    <x v="0"/>
    <x v="0"/>
  </r>
  <r>
    <x v="3"/>
    <x v="0"/>
    <x v="0"/>
    <x v="5"/>
    <x v="5"/>
    <x v="1"/>
    <x v="1"/>
    <n v="47159"/>
    <s v="800254270"/>
    <s v="SOLVAY PEROXIDOS DE COLOMBIA SASA"/>
    <s v="201907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254270"/>
    <s v="SOLVAY PEROXIDOS DE COLOMBIA SA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"/>
    <n v="1441"/>
    <n v="0"/>
    <n v="1441"/>
    <x v="0"/>
    <x v="0"/>
    <x v="0"/>
    <n v="1441"/>
    <n v="0"/>
    <n v="1441"/>
    <x v="0"/>
    <x v="0"/>
    <x v="0"/>
    <n v="1441"/>
    <n v="0"/>
    <n v="1441"/>
    <x v="0"/>
    <x v="0"/>
    <x v="0"/>
    <x v="0"/>
    <x v="0"/>
  </r>
  <r>
    <x v="3"/>
    <x v="0"/>
    <x v="0"/>
    <x v="1"/>
    <x v="1"/>
    <x v="1"/>
    <x v="1"/>
    <n v="24705"/>
    <s v="806012958"/>
    <s v="IPS SALUD DEL CARIBE S.A"/>
    <s v="201907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5091 - FVA-365104 - FVA-365109 - FVA-365112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3"/>
    <x v="0"/>
    <x v="0"/>
    <x v="1"/>
    <x v="1"/>
    <x v="1"/>
    <x v="1"/>
    <n v="24706"/>
    <s v="901062361"/>
    <s v="INVERSIONES MARCRI S.A.S"/>
    <s v="201907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5033"/>
    <n v="79"/>
    <n v="0"/>
    <n v="79"/>
    <x v="0"/>
    <x v="0"/>
    <x v="0"/>
    <n v="79"/>
    <n v="0"/>
    <n v="79"/>
    <x v="0"/>
    <x v="0"/>
    <x v="0"/>
    <n v="79"/>
    <n v="0"/>
    <n v="79"/>
    <x v="0"/>
    <x v="0"/>
    <x v="0"/>
    <x v="0"/>
    <x v="0"/>
  </r>
  <r>
    <x v="3"/>
    <x v="0"/>
    <x v="0"/>
    <x v="1"/>
    <x v="1"/>
    <x v="1"/>
    <x v="1"/>
    <n v="24707"/>
    <s v="890102508"/>
    <s v="SALES INMOBILIARIA S.A."/>
    <s v="201907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546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5"/>
    <x v="5"/>
    <x v="1"/>
    <x v="1"/>
    <n v="47188"/>
    <s v="805019647"/>
    <s v="TECNELEC COMUNICACIONES S.A"/>
    <s v="201907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8"/>
    <n v="0"/>
    <n v="248"/>
    <x v="0"/>
    <x v="0"/>
    <x v="0"/>
    <n v="248"/>
    <n v="0"/>
    <n v="248"/>
    <x v="0"/>
    <x v="0"/>
    <x v="0"/>
    <n v="248"/>
    <n v="0"/>
    <n v="248"/>
    <x v="0"/>
    <x v="0"/>
    <x v="0"/>
    <x v="0"/>
    <x v="0"/>
  </r>
  <r>
    <x v="3"/>
    <x v="0"/>
    <x v="0"/>
    <x v="5"/>
    <x v="5"/>
    <x v="1"/>
    <x v="1"/>
    <n v="47189"/>
    <s v="805019647"/>
    <s v="TECNELEC COMUNICACIONES S.A"/>
    <s v="201907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50"/>
    <n v="0"/>
    <n v="450"/>
    <x v="0"/>
    <x v="0"/>
    <x v="0"/>
    <n v="450"/>
    <n v="0"/>
    <n v="450"/>
    <x v="0"/>
    <x v="0"/>
    <x v="0"/>
    <n v="450"/>
    <n v="0"/>
    <n v="450"/>
    <x v="0"/>
    <x v="0"/>
    <x v="0"/>
    <x v="0"/>
    <x v="0"/>
  </r>
  <r>
    <x v="3"/>
    <x v="0"/>
    <x v="0"/>
    <x v="5"/>
    <x v="5"/>
    <x v="1"/>
    <x v="1"/>
    <n v="47195"/>
    <s v="900386417"/>
    <s v="IDEMIA  COLOMBIA S.A.S"/>
    <s v="201907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386417"/>
    <s v="IDEMIA  COLOMB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982"/>
    <n v="0"/>
    <n v="5982"/>
    <x v="0"/>
    <x v="0"/>
    <x v="0"/>
    <n v="5982"/>
    <n v="0"/>
    <n v="5982"/>
    <x v="0"/>
    <x v="0"/>
    <x v="0"/>
    <n v="5982"/>
    <n v="0"/>
    <n v="5982"/>
    <x v="0"/>
    <x v="0"/>
    <x v="0"/>
    <x v="0"/>
    <x v="0"/>
  </r>
  <r>
    <x v="3"/>
    <x v="0"/>
    <x v="0"/>
    <x v="5"/>
    <x v="5"/>
    <x v="1"/>
    <x v="1"/>
    <n v="47212"/>
    <s v="900203566"/>
    <s v="ABASTECEMOS  DE OCCIDENTE S.A."/>
    <s v="201907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203566"/>
    <s v="ABASTECEMOS 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925"/>
    <n v="0"/>
    <n v="2925"/>
    <x v="0"/>
    <x v="0"/>
    <x v="0"/>
    <n v="2925"/>
    <n v="0"/>
    <n v="2925"/>
    <x v="0"/>
    <x v="0"/>
    <x v="0"/>
    <n v="2925"/>
    <n v="0"/>
    <n v="2925"/>
    <x v="0"/>
    <x v="0"/>
    <x v="0"/>
    <x v="0"/>
    <x v="0"/>
  </r>
  <r>
    <x v="3"/>
    <x v="0"/>
    <x v="0"/>
    <x v="1"/>
    <x v="1"/>
    <x v="1"/>
    <x v="1"/>
    <n v="24718"/>
    <s v="900061516"/>
    <s v="MUEBLES JAMAR S.A"/>
    <s v="201907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89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3"/>
    <x v="0"/>
    <x v="0"/>
    <x v="5"/>
    <x v="5"/>
    <x v="1"/>
    <x v="1"/>
    <n v="47234"/>
    <s v="890300012"/>
    <s v="COLPOZOS  SAS"/>
    <s v="201907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012"/>
    <s v="COLPOZOS 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80"/>
    <n v="0"/>
    <n v="2880"/>
    <x v="0"/>
    <x v="0"/>
    <x v="0"/>
    <n v="2880"/>
    <n v="0"/>
    <n v="2880"/>
    <x v="0"/>
    <x v="0"/>
    <x v="0"/>
    <n v="2880"/>
    <n v="0"/>
    <n v="2880"/>
    <x v="0"/>
    <x v="0"/>
    <x v="0"/>
    <x v="0"/>
    <x v="0"/>
  </r>
  <r>
    <x v="3"/>
    <x v="0"/>
    <x v="0"/>
    <x v="5"/>
    <x v="5"/>
    <x v="1"/>
    <x v="1"/>
    <n v="47237"/>
    <s v="817001528"/>
    <s v="PAVCO DE OCCIDENTE SAS"/>
    <s v="201907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52"/>
    <n v="0"/>
    <n v="1452"/>
    <x v="0"/>
    <x v="0"/>
    <x v="0"/>
    <n v="1452"/>
    <n v="0"/>
    <n v="1452"/>
    <x v="0"/>
    <x v="0"/>
    <x v="0"/>
    <n v="1452"/>
    <n v="0"/>
    <n v="1452"/>
    <x v="0"/>
    <x v="0"/>
    <x v="0"/>
    <x v="0"/>
    <x v="0"/>
  </r>
  <r>
    <x v="3"/>
    <x v="0"/>
    <x v="0"/>
    <x v="0"/>
    <x v="0"/>
    <x v="0"/>
    <x v="0"/>
    <n v="4325"/>
    <s v="900338193"/>
    <s v="INSTITUTO DE BELLEZA STELLA DURAN KENNEDY"/>
    <s v="201907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338193"/>
    <s v="INSTITUTO DE BELLEZA STELLA DURAN KENNEDY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 DESCUENTO COMERCIAL PAGO CARTERA EN ABOGADO"/>
    <n v="302026"/>
    <n v="0"/>
    <n v="302026"/>
    <x v="0"/>
    <x v="0"/>
    <x v="0"/>
    <n v="302026"/>
    <n v="0"/>
    <n v="302026"/>
    <x v="0"/>
    <x v="0"/>
    <x v="0"/>
    <n v="302026"/>
    <n v="0"/>
    <n v="302026"/>
    <x v="0"/>
    <x v="0"/>
    <x v="0"/>
    <x v="0"/>
    <x v="0"/>
  </r>
  <r>
    <x v="3"/>
    <x v="0"/>
    <x v="0"/>
    <x v="5"/>
    <x v="5"/>
    <x v="1"/>
    <x v="1"/>
    <n v="47265"/>
    <s v="66766910"/>
    <s v="BOTERO TROCHEZ CELIA"/>
    <s v="201907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6766910"/>
    <s v="BOTERO TROCHEZ CEL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989"/>
    <n v="0"/>
    <n v="989"/>
    <x v="0"/>
    <x v="0"/>
    <x v="0"/>
    <n v="989"/>
    <n v="0"/>
    <n v="989"/>
    <x v="0"/>
    <x v="0"/>
    <x v="0"/>
    <n v="989"/>
    <n v="0"/>
    <n v="989"/>
    <x v="0"/>
    <x v="0"/>
    <x v="0"/>
    <x v="0"/>
    <x v="0"/>
  </r>
  <r>
    <x v="3"/>
    <x v="0"/>
    <x v="0"/>
    <x v="5"/>
    <x v="5"/>
    <x v="1"/>
    <x v="1"/>
    <n v="47303"/>
    <s v="900825179"/>
    <s v="ELIZABETH TRULLAS  CIA S.A.S"/>
    <s v="201907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88"/>
    <n v="0"/>
    <n v="488"/>
    <x v="0"/>
    <x v="0"/>
    <x v="0"/>
    <n v="488"/>
    <n v="0"/>
    <n v="488"/>
    <x v="0"/>
    <x v="0"/>
    <x v="0"/>
    <n v="488"/>
    <n v="0"/>
    <n v="488"/>
    <x v="0"/>
    <x v="0"/>
    <x v="0"/>
    <x v="0"/>
    <x v="0"/>
  </r>
  <r>
    <x v="3"/>
    <x v="0"/>
    <x v="0"/>
    <x v="5"/>
    <x v="5"/>
    <x v="1"/>
    <x v="1"/>
    <n v="47304"/>
    <s v="890311006"/>
    <s v="FONDO DE EMPLEADOS DE LAS EMP.MPALES DE CALI"/>
    <s v="201907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70"/>
    <n v="0"/>
    <n v="470"/>
    <x v="0"/>
    <x v="0"/>
    <x v="0"/>
    <n v="470"/>
    <n v="0"/>
    <n v="470"/>
    <x v="0"/>
    <x v="0"/>
    <x v="0"/>
    <n v="470"/>
    <n v="0"/>
    <n v="470"/>
    <x v="0"/>
    <x v="0"/>
    <x v="0"/>
    <x v="0"/>
    <x v="0"/>
  </r>
  <r>
    <x v="3"/>
    <x v="0"/>
    <x v="0"/>
    <x v="5"/>
    <x v="5"/>
    <x v="1"/>
    <x v="1"/>
    <n v="47309"/>
    <s v="900569801"/>
    <s v="MARGARITA PEÑA S.A.S."/>
    <s v="201907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3"/>
    <x v="0"/>
    <x v="0"/>
    <x v="5"/>
    <x v="5"/>
    <x v="1"/>
    <x v="1"/>
    <n v="47332"/>
    <s v="25453752"/>
    <s v="GUEVARA PILLIMUE NANCY LORENA"/>
    <s v="201907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25453752"/>
    <s v="GUEVARA PILLIMUE NANCY LORE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17"/>
    <n v="0"/>
    <n v="517"/>
    <x v="0"/>
    <x v="0"/>
    <x v="0"/>
    <n v="517"/>
    <n v="0"/>
    <n v="517"/>
    <x v="0"/>
    <x v="0"/>
    <x v="0"/>
    <n v="517"/>
    <n v="0"/>
    <n v="517"/>
    <x v="0"/>
    <x v="0"/>
    <x v="0"/>
    <x v="0"/>
    <x v="0"/>
  </r>
  <r>
    <x v="3"/>
    <x v="0"/>
    <x v="0"/>
    <x v="5"/>
    <x v="5"/>
    <x v="1"/>
    <x v="1"/>
    <n v="47410"/>
    <s v="805019647"/>
    <s v="TECNELEC COMUNICACIONES S.A"/>
    <s v="201907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90"/>
    <n v="0"/>
    <n v="490"/>
    <x v="0"/>
    <x v="0"/>
    <x v="0"/>
    <n v="490"/>
    <n v="0"/>
    <n v="490"/>
    <x v="0"/>
    <x v="0"/>
    <x v="0"/>
    <n v="490"/>
    <n v="0"/>
    <n v="490"/>
    <x v="0"/>
    <x v="0"/>
    <x v="0"/>
    <x v="0"/>
    <x v="0"/>
  </r>
  <r>
    <x v="3"/>
    <x v="0"/>
    <x v="0"/>
    <x v="0"/>
    <x v="0"/>
    <x v="1"/>
    <x v="1"/>
    <n v="2430"/>
    <s v="900343036"/>
    <s v="VARIX CENTER S.A.S."/>
    <s v="201907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343036"/>
    <s v="VARIX CENTER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PARTIDA PENDIENTE"/>
    <n v="2915"/>
    <n v="0"/>
    <n v="2915"/>
    <x v="0"/>
    <x v="0"/>
    <x v="0"/>
    <n v="2915"/>
    <n v="0"/>
    <n v="2915"/>
    <x v="0"/>
    <x v="0"/>
    <x v="0"/>
    <n v="2915"/>
    <n v="0"/>
    <n v="2915"/>
    <x v="0"/>
    <x v="0"/>
    <x v="0"/>
    <x v="0"/>
    <x v="0"/>
  </r>
  <r>
    <x v="3"/>
    <x v="0"/>
    <x v="0"/>
    <x v="0"/>
    <x v="0"/>
    <x v="1"/>
    <x v="1"/>
    <n v="2431"/>
    <s v="900343036"/>
    <s v="VARIX CENTER S.A.S."/>
    <s v="201907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343036"/>
    <s v="VARIX CENTER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PARTIDA PENDIENTE"/>
    <n v="3503"/>
    <n v="0"/>
    <n v="3503"/>
    <x v="0"/>
    <x v="0"/>
    <x v="0"/>
    <n v="3503"/>
    <n v="0"/>
    <n v="3503"/>
    <x v="0"/>
    <x v="0"/>
    <x v="0"/>
    <n v="3503"/>
    <n v="0"/>
    <n v="3503"/>
    <x v="0"/>
    <x v="0"/>
    <x v="0"/>
    <x v="0"/>
    <x v="0"/>
  </r>
  <r>
    <x v="4"/>
    <x v="0"/>
    <x v="0"/>
    <x v="5"/>
    <x v="5"/>
    <x v="9"/>
    <x v="9"/>
    <n v="1365"/>
    <s v="805014618"/>
    <s v="MEDITRAUMA S.A.S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4618"/>
    <s v="MEDITRAUM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DCTO 9% $86.400"/>
    <n v="86400"/>
    <n v="0"/>
    <n v="86400"/>
    <x v="0"/>
    <x v="0"/>
    <x v="0"/>
    <n v="86400"/>
    <n v="0"/>
    <n v="86400"/>
    <x v="0"/>
    <x v="0"/>
    <x v="0"/>
    <n v="86400"/>
    <n v="0"/>
    <n v="86400"/>
    <x v="0"/>
    <x v="0"/>
    <x v="0"/>
    <x v="0"/>
    <x v="0"/>
  </r>
  <r>
    <x v="4"/>
    <x v="0"/>
    <x v="0"/>
    <x v="2"/>
    <x v="2"/>
    <x v="9"/>
    <x v="9"/>
    <n v="1628"/>
    <s v="830016184"/>
    <s v="COOPDISALUD LTDA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30016184"/>
    <s v="COOPDISALUD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% POR PAGO DE AÑO ANTICIPADO."/>
    <n v="144345"/>
    <n v="0"/>
    <n v="144345"/>
    <x v="0"/>
    <x v="0"/>
    <x v="0"/>
    <n v="144345"/>
    <n v="0"/>
    <n v="144345"/>
    <x v="0"/>
    <x v="0"/>
    <x v="0"/>
    <n v="144345"/>
    <n v="0"/>
    <n v="144345"/>
    <x v="0"/>
    <x v="0"/>
    <x v="0"/>
    <x v="0"/>
    <x v="0"/>
  </r>
  <r>
    <x v="4"/>
    <x v="0"/>
    <x v="0"/>
    <x v="2"/>
    <x v="2"/>
    <x v="9"/>
    <x v="9"/>
    <n v="1629"/>
    <s v="830016184"/>
    <s v="COOPDISALUD LTDA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30016184"/>
    <s v="COOPDISALUD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% POR PAGO DE AÑO ANTICIPADO."/>
    <n v="178241"/>
    <n v="0"/>
    <n v="178241"/>
    <x v="0"/>
    <x v="0"/>
    <x v="0"/>
    <n v="178241"/>
    <n v="0"/>
    <n v="178241"/>
    <x v="0"/>
    <x v="0"/>
    <x v="0"/>
    <n v="178241"/>
    <n v="0"/>
    <n v="178241"/>
    <x v="0"/>
    <x v="0"/>
    <x v="0"/>
    <x v="0"/>
    <x v="0"/>
  </r>
  <r>
    <x v="4"/>
    <x v="0"/>
    <x v="0"/>
    <x v="5"/>
    <x v="5"/>
    <x v="1"/>
    <x v="1"/>
    <n v="47565"/>
    <s v="890300012"/>
    <s v="COLPOZOS  SAS"/>
    <s v="201908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012"/>
    <s v="COLPOZOS 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972"/>
    <n v="0"/>
    <n v="2972"/>
    <x v="0"/>
    <x v="0"/>
    <x v="0"/>
    <n v="2972"/>
    <n v="0"/>
    <n v="2972"/>
    <x v="0"/>
    <x v="0"/>
    <x v="0"/>
    <n v="2972"/>
    <n v="0"/>
    <n v="2972"/>
    <x v="0"/>
    <x v="0"/>
    <x v="0"/>
    <x v="0"/>
    <x v="0"/>
  </r>
  <r>
    <x v="4"/>
    <x v="0"/>
    <x v="0"/>
    <x v="5"/>
    <x v="5"/>
    <x v="1"/>
    <x v="1"/>
    <n v="47568"/>
    <s v="817001528"/>
    <s v="PAVCO DE OCCIDENTE SAS"/>
    <s v="201908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52"/>
    <n v="0"/>
    <n v="1452"/>
    <x v="0"/>
    <x v="0"/>
    <x v="0"/>
    <n v="1452"/>
    <n v="0"/>
    <n v="1452"/>
    <x v="0"/>
    <x v="0"/>
    <x v="0"/>
    <n v="1452"/>
    <n v="0"/>
    <n v="1452"/>
    <x v="0"/>
    <x v="0"/>
    <x v="0"/>
    <x v="0"/>
    <x v="0"/>
  </r>
  <r>
    <x v="4"/>
    <x v="0"/>
    <x v="0"/>
    <x v="5"/>
    <x v="5"/>
    <x v="1"/>
    <x v="1"/>
    <n v="47574"/>
    <s v="800254270"/>
    <s v="SOLVAY PEROXIDOS DE COLOMBIA SASA"/>
    <s v="201908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254270"/>
    <s v="SOLVAY PEROXIDOS DE COLOMBIA SA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068"/>
    <n v="0"/>
    <n v="7068"/>
    <x v="0"/>
    <x v="0"/>
    <x v="0"/>
    <n v="7068"/>
    <n v="0"/>
    <n v="7068"/>
    <x v="0"/>
    <x v="0"/>
    <x v="0"/>
    <n v="7068"/>
    <n v="0"/>
    <n v="7068"/>
    <x v="0"/>
    <x v="0"/>
    <x v="0"/>
    <x v="0"/>
    <x v="0"/>
  </r>
  <r>
    <x v="4"/>
    <x v="0"/>
    <x v="0"/>
    <x v="6"/>
    <x v="6"/>
    <x v="9"/>
    <x v="9"/>
    <n v="1164"/>
    <s v="10095715"/>
    <s v="RUIZ VALLEJO CARLOS ARTURO"/>
    <s v="201908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10095715"/>
    <s v="RUIZ VALLEJO CARLOS ARTUR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367694 DESCUENTO POR PAGO ANUAL ANTICIPADO $116.773"/>
    <n v="116773"/>
    <n v="0"/>
    <n v="116773"/>
    <x v="0"/>
    <x v="0"/>
    <x v="0"/>
    <n v="116773"/>
    <n v="0"/>
    <n v="116773"/>
    <x v="0"/>
    <x v="0"/>
    <x v="0"/>
    <n v="116773"/>
    <n v="0"/>
    <n v="116773"/>
    <x v="0"/>
    <x v="0"/>
    <x v="0"/>
    <x v="0"/>
    <x v="0"/>
  </r>
  <r>
    <x v="4"/>
    <x v="0"/>
    <x v="0"/>
    <x v="5"/>
    <x v="5"/>
    <x v="1"/>
    <x v="1"/>
    <n v="47596"/>
    <s v="900825179"/>
    <s v="ELIZABETH TRULLAS  CIA S.A.S"/>
    <s v="201908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4"/>
    <x v="0"/>
    <x v="0"/>
    <x v="5"/>
    <x v="5"/>
    <x v="1"/>
    <x v="1"/>
    <n v="47597"/>
    <s v="890318490"/>
    <s v="FERRETERIA TUBERIAS S.A.S."/>
    <s v="201908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4"/>
    <x v="0"/>
    <x v="0"/>
    <x v="5"/>
    <x v="5"/>
    <x v="1"/>
    <x v="1"/>
    <n v="47610"/>
    <s v="800048954"/>
    <s v="CLINICA VERSALLES S.A."/>
    <s v="201908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22"/>
    <n v="0"/>
    <n v="2422"/>
    <x v="0"/>
    <x v="0"/>
    <x v="0"/>
    <n v="2422"/>
    <n v="0"/>
    <n v="2422"/>
    <x v="0"/>
    <x v="0"/>
    <x v="0"/>
    <n v="2422"/>
    <n v="0"/>
    <n v="2422"/>
    <x v="0"/>
    <x v="0"/>
    <x v="0"/>
    <x v="0"/>
    <x v="0"/>
  </r>
  <r>
    <x v="4"/>
    <x v="0"/>
    <x v="0"/>
    <x v="2"/>
    <x v="2"/>
    <x v="9"/>
    <x v="9"/>
    <n v="1642"/>
    <s v="860510431"/>
    <s v="ALVARO VELEZ Y CIA S.A.S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10431"/>
    <s v="ALVARO VELEZ Y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NTO PAGO 2.25% $8.344  RTE ICA $5.118_x000d__x000a_"/>
    <n v="8344"/>
    <n v="0"/>
    <n v="8344"/>
    <x v="0"/>
    <x v="0"/>
    <x v="0"/>
    <n v="8344"/>
    <n v="0"/>
    <n v="8344"/>
    <x v="0"/>
    <x v="0"/>
    <x v="0"/>
    <n v="8344"/>
    <n v="0"/>
    <n v="8344"/>
    <x v="0"/>
    <x v="0"/>
    <x v="0"/>
    <x v="0"/>
    <x v="0"/>
  </r>
  <r>
    <x v="4"/>
    <x v="0"/>
    <x v="0"/>
    <x v="2"/>
    <x v="2"/>
    <x v="9"/>
    <x v="9"/>
    <n v="1643"/>
    <s v="901105607"/>
    <s v="COMPARTIMIENTO ALPES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1105607"/>
    <s v="COMPARTIMIENTO ALP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9% $405.621  -  CLIENTE CANCELA &gt;VALOR Y SOLICITA LA DEVOLUCION DE $405.621"/>
    <n v="405621"/>
    <n v="0"/>
    <n v="405621"/>
    <x v="0"/>
    <x v="0"/>
    <x v="0"/>
    <n v="405621"/>
    <n v="0"/>
    <n v="405621"/>
    <x v="0"/>
    <x v="0"/>
    <x v="0"/>
    <n v="405621"/>
    <n v="0"/>
    <n v="405621"/>
    <x v="0"/>
    <x v="0"/>
    <x v="0"/>
    <x v="0"/>
    <x v="0"/>
  </r>
  <r>
    <x v="4"/>
    <x v="0"/>
    <x v="0"/>
    <x v="5"/>
    <x v="5"/>
    <x v="1"/>
    <x v="1"/>
    <n v="47649"/>
    <s v="800048954"/>
    <s v="CLINICA VERSALLES S.A.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6234"/>
    <n v="0"/>
    <n v="16234"/>
    <x v="0"/>
    <x v="0"/>
    <x v="0"/>
    <n v="16234"/>
    <n v="0"/>
    <n v="16234"/>
    <x v="0"/>
    <x v="0"/>
    <x v="0"/>
    <n v="16234"/>
    <n v="0"/>
    <n v="16234"/>
    <x v="0"/>
    <x v="0"/>
    <x v="0"/>
    <x v="0"/>
    <x v="0"/>
  </r>
  <r>
    <x v="4"/>
    <x v="0"/>
    <x v="0"/>
    <x v="5"/>
    <x v="5"/>
    <x v="1"/>
    <x v="1"/>
    <n v="47653"/>
    <s v="900203566"/>
    <s v="ABASTECEMOS  DE OCCIDENTE S.A.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203566"/>
    <s v="ABASTECEMOS 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925"/>
    <n v="0"/>
    <n v="2925"/>
    <x v="0"/>
    <x v="0"/>
    <x v="0"/>
    <n v="2925"/>
    <n v="0"/>
    <n v="2925"/>
    <x v="0"/>
    <x v="0"/>
    <x v="0"/>
    <n v="2925"/>
    <n v="0"/>
    <n v="2925"/>
    <x v="0"/>
    <x v="0"/>
    <x v="0"/>
    <x v="0"/>
    <x v="0"/>
  </r>
  <r>
    <x v="4"/>
    <x v="0"/>
    <x v="0"/>
    <x v="0"/>
    <x v="0"/>
    <x v="0"/>
    <x v="0"/>
    <n v="4349"/>
    <s v="43038708"/>
    <s v="ARROYAVE ESTRADA RUTH GLADIS"/>
    <s v="201908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384115"/>
    <s v="CENTRO DE ESTETICA BERTHY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ANTICIPO"/>
    <n v="214"/>
    <n v="0"/>
    <n v="214"/>
    <x v="0"/>
    <x v="0"/>
    <x v="0"/>
    <n v="214"/>
    <n v="0"/>
    <n v="214"/>
    <x v="0"/>
    <x v="0"/>
    <x v="0"/>
    <n v="214"/>
    <n v="0"/>
    <n v="214"/>
    <x v="0"/>
    <x v="0"/>
    <x v="0"/>
    <x v="0"/>
    <x v="0"/>
  </r>
  <r>
    <x v="4"/>
    <x v="0"/>
    <x v="0"/>
    <x v="5"/>
    <x v="5"/>
    <x v="1"/>
    <x v="1"/>
    <n v="47667"/>
    <s v="860046201"/>
    <s v="FORTOX S.A"/>
    <s v="201908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4"/>
    <x v="0"/>
    <x v="0"/>
    <x v="5"/>
    <x v="5"/>
    <x v="9"/>
    <x v="9"/>
    <n v="1373"/>
    <s v="805011901"/>
    <s v="LASKIN S.A."/>
    <s v="201908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1901"/>
    <s v="LASK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DCTO 9% $241.980"/>
    <n v="241980"/>
    <n v="0"/>
    <n v="241980"/>
    <x v="0"/>
    <x v="0"/>
    <x v="0"/>
    <n v="241980"/>
    <n v="0"/>
    <n v="241980"/>
    <x v="0"/>
    <x v="0"/>
    <x v="0"/>
    <n v="241980"/>
    <n v="0"/>
    <n v="241980"/>
    <x v="0"/>
    <x v="0"/>
    <x v="0"/>
    <x v="0"/>
    <x v="0"/>
  </r>
  <r>
    <x v="4"/>
    <x v="0"/>
    <x v="0"/>
    <x v="1"/>
    <x v="1"/>
    <x v="1"/>
    <x v="1"/>
    <n v="24946"/>
    <s v="901166073"/>
    <s v="CENTRO COMERCIAL NUESTRO MONTERIA"/>
    <s v="201908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166073"/>
    <s v="CENTRO COMERCIAL NUESTRO MONTER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7933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2"/>
    <x v="2"/>
    <x v="9"/>
    <x v="9"/>
    <n v="1647"/>
    <s v="900246492"/>
    <s v="INDUSTRIA DE ALUMINIO DE COLOMBIA SAS"/>
    <s v="201908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246492"/>
    <s v="INDUSTRIA DE ALUMINIO DE COLOMBIA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$ 175.220 POR PAGO AÑO ANTICIPADO Y $ 22.586 DE RET/ICA"/>
    <n v="175220"/>
    <n v="0"/>
    <n v="175220"/>
    <x v="0"/>
    <x v="0"/>
    <x v="0"/>
    <n v="175220"/>
    <n v="0"/>
    <n v="175220"/>
    <x v="0"/>
    <x v="0"/>
    <x v="0"/>
    <n v="175220"/>
    <n v="0"/>
    <n v="175220"/>
    <x v="0"/>
    <x v="0"/>
    <x v="0"/>
    <x v="0"/>
    <x v="0"/>
  </r>
  <r>
    <x v="4"/>
    <x v="0"/>
    <x v="0"/>
    <x v="1"/>
    <x v="1"/>
    <x v="9"/>
    <x v="9"/>
    <n v="384"/>
    <s v="802005031"/>
    <s v="COLEGIO DISTRITAL MARIA INMACULADA"/>
    <s v="201908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05031"/>
    <s v="COLEGIO DISTRITAL MARIA INMACULA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800_x000d__x000a_APLICA RETEIVA  $334.347_x000d__x000a_APLICA RETEICA  $112.62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0"/>
    <x v="0"/>
    <x v="0"/>
    <x v="0"/>
    <n v="4350"/>
    <s v="J293759889"/>
    <s v="MUSICAR DE VENEZUELA, S.A."/>
    <s v="201908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5"/>
    <x v="5"/>
    <x v="2"/>
    <x v="2"/>
    <x v="0"/>
    <x v="0"/>
    <s v="J293759889"/>
    <s v="MUSICAR DE VENEZUELA,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VENTA MEMORIAS FVO - 839"/>
    <n v="79124"/>
    <n v="0"/>
    <n v="79124"/>
    <x v="0"/>
    <x v="0"/>
    <x v="0"/>
    <n v="79124"/>
    <n v="0"/>
    <n v="79124"/>
    <x v="0"/>
    <x v="0"/>
    <x v="0"/>
    <n v="79124"/>
    <n v="0"/>
    <n v="79124"/>
    <x v="0"/>
    <x v="0"/>
    <x v="0"/>
    <x v="0"/>
    <x v="0"/>
  </r>
  <r>
    <x v="4"/>
    <x v="0"/>
    <x v="0"/>
    <x v="5"/>
    <x v="5"/>
    <x v="1"/>
    <x v="1"/>
    <n v="47688"/>
    <s v="805009741"/>
    <s v="COOMEVA MEDICINA PREPAGADA S.A."/>
    <s v="201908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 444,277.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4"/>
    <x v="0"/>
    <x v="0"/>
    <x v="2"/>
    <x v="2"/>
    <x v="1"/>
    <x v="1"/>
    <n v="63967"/>
    <s v="860521035"/>
    <s v="ACRECER TEMPORAL S.A.S"/>
    <s v="201908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21035"/>
    <s v="ACRECER TEMPOR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VA"/>
    <n v="5446"/>
    <n v="0"/>
    <n v="5446"/>
    <x v="0"/>
    <x v="0"/>
    <x v="0"/>
    <n v="5446"/>
    <n v="0"/>
    <n v="5446"/>
    <x v="0"/>
    <x v="0"/>
    <x v="0"/>
    <n v="5446"/>
    <n v="0"/>
    <n v="5446"/>
    <x v="0"/>
    <x v="0"/>
    <x v="0"/>
    <x v="0"/>
    <x v="0"/>
  </r>
  <r>
    <x v="2"/>
    <x v="0"/>
    <x v="0"/>
    <x v="3"/>
    <x v="3"/>
    <x v="1"/>
    <x v="1"/>
    <n v="37991"/>
    <s v="900163527"/>
    <s v="CENTRO COMERCIAL SAN NICOLAS PROPIEDAD HORIZONTAL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163527"/>
    <s v="CENTRO COMERCIAL SAN NICOLAS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4648_x000d__x000a_CLIENTE SE APLICA DESCUENTO COMERCIAL DE 9% YA SE LE EXPLICO QUE ESTE PORCENTAJE CORREPONDE A ANUALIDAD"/>
    <n v="71111"/>
    <n v="0"/>
    <n v="71111"/>
    <x v="0"/>
    <x v="0"/>
    <x v="0"/>
    <n v="71111"/>
    <n v="0"/>
    <n v="71111"/>
    <x v="0"/>
    <x v="0"/>
    <x v="0"/>
    <n v="71111"/>
    <n v="0"/>
    <n v="71111"/>
    <x v="0"/>
    <x v="0"/>
    <x v="0"/>
    <x v="0"/>
    <x v="0"/>
  </r>
  <r>
    <x v="3"/>
    <x v="0"/>
    <x v="0"/>
    <x v="3"/>
    <x v="3"/>
    <x v="1"/>
    <x v="1"/>
    <n v="38068"/>
    <s v="800036229"/>
    <s v="CLINICA OFTALMOLOGICA LAURELES S.A"/>
    <s v="201907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036229"/>
    <s v="CLINICA OFTALMOLOGICA LAUREL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6188"/>
    <n v="3841"/>
    <n v="0"/>
    <n v="3841"/>
    <x v="0"/>
    <x v="0"/>
    <x v="0"/>
    <n v="3841"/>
    <n v="0"/>
    <n v="3841"/>
    <x v="0"/>
    <x v="0"/>
    <x v="0"/>
    <n v="3841"/>
    <n v="0"/>
    <n v="3841"/>
    <x v="0"/>
    <x v="0"/>
    <x v="0"/>
    <x v="0"/>
    <x v="0"/>
  </r>
  <r>
    <x v="3"/>
    <x v="0"/>
    <x v="0"/>
    <x v="2"/>
    <x v="2"/>
    <x v="9"/>
    <x v="9"/>
    <n v="1605"/>
    <s v="900534711"/>
    <s v="TITAN PLAZA CENTRO COMERCIAL Y EMPRESARIAL P.H"/>
    <s v="201907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534711"/>
    <s v="TITAN PLAZA CENTRO COMERCIAL Y EMPRESARIAL P.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$ 68.594 por pago de semestre anticipado y $8.421 por rte/ica"/>
    <n v="68594"/>
    <n v="0"/>
    <n v="68594"/>
    <x v="0"/>
    <x v="0"/>
    <x v="0"/>
    <n v="68594"/>
    <n v="0"/>
    <n v="68594"/>
    <x v="0"/>
    <x v="0"/>
    <x v="0"/>
    <n v="68594"/>
    <n v="0"/>
    <n v="68594"/>
    <x v="0"/>
    <x v="0"/>
    <x v="0"/>
    <x v="0"/>
    <x v="0"/>
  </r>
  <r>
    <x v="3"/>
    <x v="0"/>
    <x v="0"/>
    <x v="2"/>
    <x v="2"/>
    <x v="9"/>
    <x v="9"/>
    <n v="1607"/>
    <s v="822005628"/>
    <s v="C Y H AGENCIA PROMOTORA DE SEGUROS"/>
    <s v="201907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22005628"/>
    <s v="C Y H AGENCIA PROMOTORA DE SEGUR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% POR PAGO DE AÑO ANTICIPADO.$ 95.605"/>
    <n v="95605"/>
    <n v="0"/>
    <n v="95605"/>
    <x v="0"/>
    <x v="0"/>
    <x v="0"/>
    <n v="95605"/>
    <n v="0"/>
    <n v="95605"/>
    <x v="0"/>
    <x v="0"/>
    <x v="0"/>
    <n v="95605"/>
    <n v="0"/>
    <n v="95605"/>
    <x v="0"/>
    <x v="0"/>
    <x v="0"/>
    <x v="0"/>
    <x v="0"/>
  </r>
  <r>
    <x v="3"/>
    <x v="0"/>
    <x v="0"/>
    <x v="4"/>
    <x v="4"/>
    <x v="9"/>
    <x v="9"/>
    <n v="243"/>
    <s v="804014440"/>
    <s v="FONDO DE EMPLEADOS PARA EL DESARROLLO SOCIAL FONDE"/>
    <s v="201907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04014440"/>
    <s v="FONDO DE EMPLEADOS PARA EL DESARROLLO SOCIAL FONDE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ÓN FACTURA 365968.  DESCUENTO 9% POR PAGO AÑO ANTICIPADO."/>
    <n v="250282"/>
    <n v="0"/>
    <n v="250282"/>
    <x v="0"/>
    <x v="0"/>
    <x v="0"/>
    <n v="250282"/>
    <n v="0"/>
    <n v="250282"/>
    <x v="0"/>
    <x v="0"/>
    <x v="0"/>
    <n v="250282"/>
    <n v="0"/>
    <n v="250282"/>
    <x v="0"/>
    <x v="0"/>
    <x v="0"/>
    <x v="0"/>
    <x v="0"/>
  </r>
  <r>
    <x v="3"/>
    <x v="0"/>
    <x v="0"/>
    <x v="3"/>
    <x v="3"/>
    <x v="1"/>
    <x v="1"/>
    <n v="38092"/>
    <s v="811028725"/>
    <s v="DISTRIMEDICAL S.A.S"/>
    <s v="201907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28725"/>
    <s v="DISTRIMEDIC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6207_x000d__x000a_RETEICA POR $ 8.832_x000d__x000a_DCTO COMERCIAL POR PRONTO PAGO $ 49.682"/>
    <n v="49682"/>
    <n v="0"/>
    <n v="49682"/>
    <x v="0"/>
    <x v="0"/>
    <x v="0"/>
    <n v="49682"/>
    <n v="0"/>
    <n v="49682"/>
    <x v="0"/>
    <x v="0"/>
    <x v="0"/>
    <n v="49682"/>
    <n v="0"/>
    <n v="49682"/>
    <x v="0"/>
    <x v="0"/>
    <x v="0"/>
    <x v="0"/>
    <x v="0"/>
  </r>
  <r>
    <x v="3"/>
    <x v="0"/>
    <x v="0"/>
    <x v="1"/>
    <x v="1"/>
    <x v="1"/>
    <x v="1"/>
    <n v="24785"/>
    <s v="802010909"/>
    <s v="INVERSIONES WONGFOEN S.A."/>
    <s v="201907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525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4"/>
    <x v="0"/>
    <x v="0"/>
    <x v="5"/>
    <x v="5"/>
    <x v="1"/>
    <x v="1"/>
    <n v="47457"/>
    <s v="805019647"/>
    <s v="TECNELEC COMUNICACIONES S.A"/>
    <s v="201908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5"/>
    <n v="0"/>
    <n v="245"/>
    <x v="0"/>
    <x v="0"/>
    <x v="0"/>
    <n v="245"/>
    <n v="0"/>
    <n v="245"/>
    <x v="0"/>
    <x v="0"/>
    <x v="0"/>
    <n v="245"/>
    <n v="0"/>
    <n v="245"/>
    <x v="0"/>
    <x v="0"/>
    <x v="0"/>
    <x v="0"/>
    <x v="0"/>
  </r>
  <r>
    <x v="4"/>
    <x v="0"/>
    <x v="0"/>
    <x v="5"/>
    <x v="5"/>
    <x v="1"/>
    <x v="1"/>
    <n v="47472"/>
    <s v="860046201"/>
    <s v="FORTOX S.A"/>
    <s v="201908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4"/>
    <x v="0"/>
    <x v="0"/>
    <x v="5"/>
    <x v="5"/>
    <x v="1"/>
    <x v="1"/>
    <n v="47474"/>
    <s v="650187917"/>
    <s v="FREI  HEINRICH ERNEST"/>
    <s v="201908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50187917"/>
    <s v="FREI  HEINRICH ERNEST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990"/>
    <n v="0"/>
    <n v="990"/>
    <x v="0"/>
    <x v="0"/>
    <x v="0"/>
    <n v="990"/>
    <n v="0"/>
    <n v="990"/>
    <x v="0"/>
    <x v="0"/>
    <x v="0"/>
    <n v="990"/>
    <n v="0"/>
    <n v="990"/>
    <x v="0"/>
    <x v="0"/>
    <x v="0"/>
    <x v="0"/>
    <x v="0"/>
  </r>
  <r>
    <x v="4"/>
    <x v="0"/>
    <x v="0"/>
    <x v="5"/>
    <x v="5"/>
    <x v="9"/>
    <x v="9"/>
    <n v="1361"/>
    <s v="890308111"/>
    <s v="EL MOLINO-EDUARDO MOLINARI PALACIN &amp; CIA S.EN.C."/>
    <s v="201908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8111"/>
    <s v="EL MOLINO-EDUARDO MOLINARI PALACIN &amp; CIA S.EN.C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.9% $106.293"/>
    <n v="106293"/>
    <n v="0"/>
    <n v="106293"/>
    <x v="0"/>
    <x v="0"/>
    <x v="0"/>
    <n v="106293"/>
    <n v="0"/>
    <n v="106293"/>
    <x v="0"/>
    <x v="0"/>
    <x v="0"/>
    <n v="106293"/>
    <n v="0"/>
    <n v="106293"/>
    <x v="0"/>
    <x v="0"/>
    <x v="0"/>
    <x v="0"/>
    <x v="0"/>
  </r>
  <r>
    <x v="4"/>
    <x v="0"/>
    <x v="0"/>
    <x v="5"/>
    <x v="5"/>
    <x v="1"/>
    <x v="1"/>
    <n v="47486"/>
    <s v="805019647"/>
    <s v="TECNELEC COMUNICACIONES S.A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96"/>
    <n v="0"/>
    <n v="496"/>
    <x v="0"/>
    <x v="0"/>
    <x v="0"/>
    <n v="496"/>
    <n v="0"/>
    <n v="496"/>
    <x v="0"/>
    <x v="0"/>
    <x v="0"/>
    <n v="496"/>
    <n v="0"/>
    <n v="496"/>
    <x v="0"/>
    <x v="0"/>
    <x v="0"/>
    <x v="0"/>
    <x v="0"/>
  </r>
  <r>
    <x v="4"/>
    <x v="0"/>
    <x v="0"/>
    <x v="5"/>
    <x v="5"/>
    <x v="1"/>
    <x v="1"/>
    <n v="47487"/>
    <s v="900909617"/>
    <s v="HOTELES H.V S.A.S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909617"/>
    <s v="HOTELES H.V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33"/>
    <n v="0"/>
    <n v="633"/>
    <x v="0"/>
    <x v="0"/>
    <x v="0"/>
    <n v="633"/>
    <n v="0"/>
    <n v="633"/>
    <x v="0"/>
    <x v="0"/>
    <x v="0"/>
    <n v="633"/>
    <n v="0"/>
    <n v="633"/>
    <x v="0"/>
    <x v="0"/>
    <x v="0"/>
    <x v="0"/>
    <x v="0"/>
  </r>
  <r>
    <x v="4"/>
    <x v="0"/>
    <x v="0"/>
    <x v="3"/>
    <x v="3"/>
    <x v="1"/>
    <x v="1"/>
    <n v="38223"/>
    <s v="890904222"/>
    <s v="VIAJES PALOMARES S.A.S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04222"/>
    <s v="VIAJES PALOMARES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8125_x000d__x000a_APLICA DCTO 9% POR PAGO ANUELA ANTICIPADO"/>
    <n v="126958"/>
    <n v="0"/>
    <n v="126958"/>
    <x v="0"/>
    <x v="0"/>
    <x v="0"/>
    <n v="126958"/>
    <n v="0"/>
    <n v="126958"/>
    <x v="0"/>
    <x v="0"/>
    <x v="0"/>
    <n v="126958"/>
    <n v="0"/>
    <n v="126958"/>
    <x v="0"/>
    <x v="0"/>
    <x v="0"/>
    <x v="0"/>
    <x v="0"/>
  </r>
  <r>
    <x v="4"/>
    <x v="0"/>
    <x v="0"/>
    <x v="1"/>
    <x v="1"/>
    <x v="1"/>
    <x v="1"/>
    <n v="24855"/>
    <s v="806012958"/>
    <s v="IPS SALUD DEL CARIBE S.A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611 - FVA-366624 - FVA-366630 - FVA-366633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4"/>
    <x v="0"/>
    <x v="0"/>
    <x v="1"/>
    <x v="1"/>
    <x v="1"/>
    <x v="1"/>
    <n v="24859"/>
    <s v="890102508"/>
    <s v="SALES INMOBILIARIA S.A.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800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4"/>
    <x v="4"/>
    <x v="1"/>
    <x v="1"/>
    <n v="20950"/>
    <s v="890200050"/>
    <s v="ARDISA S.A.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00050"/>
    <s v="ARDIS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367833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5"/>
    <x v="5"/>
    <x v="1"/>
    <x v="1"/>
    <n v="47507"/>
    <s v="1509246"/>
    <s v="MORALES SANTACRUZ JESUS ANTONIO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23"/>
    <n v="0"/>
    <n v="123"/>
    <x v="0"/>
    <x v="0"/>
    <x v="0"/>
    <n v="123"/>
    <n v="0"/>
    <n v="123"/>
    <x v="0"/>
    <x v="0"/>
    <x v="0"/>
    <n v="123"/>
    <n v="0"/>
    <n v="123"/>
    <x v="0"/>
    <x v="0"/>
    <x v="0"/>
    <x v="0"/>
    <x v="0"/>
  </r>
  <r>
    <x v="4"/>
    <x v="0"/>
    <x v="0"/>
    <x v="5"/>
    <x v="5"/>
    <x v="1"/>
    <x v="1"/>
    <n v="47512"/>
    <s v="890311006"/>
    <s v="FONDO DE EMPLEADOS DE LAS EMP.MPALES DE CALI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0"/>
    <n v="0"/>
    <n v="70"/>
    <x v="0"/>
    <x v="0"/>
    <x v="0"/>
    <n v="70"/>
    <n v="0"/>
    <n v="70"/>
    <x v="0"/>
    <x v="0"/>
    <x v="0"/>
    <n v="70"/>
    <n v="0"/>
    <n v="70"/>
    <x v="0"/>
    <x v="0"/>
    <x v="0"/>
    <x v="0"/>
    <x v="0"/>
  </r>
  <r>
    <x v="4"/>
    <x v="0"/>
    <x v="0"/>
    <x v="5"/>
    <x v="5"/>
    <x v="9"/>
    <x v="9"/>
    <n v="1364"/>
    <s v="890301278"/>
    <s v="COOPERATIVA DE TRABAJADORES  EMPRESAS  MUNICIPALES DE CALI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1278"/>
    <s v="COOPERATIVA DE TRABAJADORES  EMPRESAS  MUNICI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, DCTO 9% OK $140.832"/>
    <n v="140832"/>
    <n v="0"/>
    <n v="140832"/>
    <x v="0"/>
    <x v="0"/>
    <x v="0"/>
    <n v="140832"/>
    <n v="0"/>
    <n v="140832"/>
    <x v="0"/>
    <x v="0"/>
    <x v="0"/>
    <n v="140832"/>
    <n v="0"/>
    <n v="140832"/>
    <x v="0"/>
    <x v="0"/>
    <x v="0"/>
    <x v="0"/>
    <x v="0"/>
  </r>
  <r>
    <x v="4"/>
    <x v="0"/>
    <x v="0"/>
    <x v="2"/>
    <x v="2"/>
    <x v="9"/>
    <x v="9"/>
    <n v="1631"/>
    <s v="860069284"/>
    <s v="AGROCAMPO S.A."/>
    <s v="201908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69284"/>
    <s v="AGROCAMPO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 % POR PAGO DE AÑO ANTICIPADO."/>
    <n v="542165"/>
    <n v="0"/>
    <n v="542165"/>
    <x v="0"/>
    <x v="0"/>
    <x v="0"/>
    <n v="542165"/>
    <n v="0"/>
    <n v="542165"/>
    <x v="0"/>
    <x v="0"/>
    <x v="0"/>
    <n v="542165"/>
    <n v="0"/>
    <n v="542165"/>
    <x v="0"/>
    <x v="0"/>
    <x v="0"/>
    <x v="0"/>
    <x v="0"/>
  </r>
  <r>
    <x v="4"/>
    <x v="0"/>
    <x v="0"/>
    <x v="5"/>
    <x v="5"/>
    <x v="1"/>
    <x v="1"/>
    <n v="47630"/>
    <s v="900008839"/>
    <s v="CENTROS COMERCIALES DEL CAFE S.A.S."/>
    <s v="201908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008839"/>
    <s v="CENTROS COMERCIALES DEL CAFE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519"/>
    <n v="0"/>
    <n v="10519"/>
    <x v="0"/>
    <x v="0"/>
    <x v="0"/>
    <n v="10519"/>
    <n v="0"/>
    <n v="10519"/>
    <x v="0"/>
    <x v="0"/>
    <x v="0"/>
    <n v="10519"/>
    <n v="0"/>
    <n v="10519"/>
    <x v="0"/>
    <x v="0"/>
    <x v="0"/>
    <x v="0"/>
    <x v="0"/>
  </r>
  <r>
    <x v="4"/>
    <x v="0"/>
    <x v="0"/>
    <x v="5"/>
    <x v="5"/>
    <x v="9"/>
    <x v="9"/>
    <n v="1372"/>
    <s v="900035068"/>
    <s v="LAMINAS Y CORTES INDUSTRIALES S.A"/>
    <s v="201908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035068"/>
    <s v="LAMINAS Y CORTES INDUSTRIAL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DCTO 9% $107.021"/>
    <n v="107021"/>
    <n v="0"/>
    <n v="107021"/>
    <x v="0"/>
    <x v="0"/>
    <x v="0"/>
    <n v="107021"/>
    <n v="0"/>
    <n v="107021"/>
    <x v="0"/>
    <x v="0"/>
    <x v="0"/>
    <n v="107021"/>
    <n v="0"/>
    <n v="107021"/>
    <x v="0"/>
    <x v="0"/>
    <x v="0"/>
    <x v="0"/>
    <x v="0"/>
  </r>
  <r>
    <x v="4"/>
    <x v="0"/>
    <x v="0"/>
    <x v="1"/>
    <x v="1"/>
    <x v="1"/>
    <x v="1"/>
    <n v="24928"/>
    <s v="802016306"/>
    <s v="EXPOCONSTRUCCION 43 Y CIA LTDA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510 - FVA-367969"/>
    <n v="70"/>
    <n v="0"/>
    <n v="70"/>
    <x v="0"/>
    <x v="0"/>
    <x v="0"/>
    <n v="70"/>
    <n v="0"/>
    <n v="70"/>
    <x v="0"/>
    <x v="0"/>
    <x v="0"/>
    <n v="70"/>
    <n v="0"/>
    <n v="70"/>
    <x v="0"/>
    <x v="0"/>
    <x v="0"/>
    <x v="0"/>
    <x v="0"/>
  </r>
  <r>
    <x v="4"/>
    <x v="0"/>
    <x v="0"/>
    <x v="1"/>
    <x v="1"/>
    <x v="1"/>
    <x v="1"/>
    <n v="24941"/>
    <s v="32757237"/>
    <s v="MEDINA OLIVEROS FARATH DIVA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7930"/>
    <n v="442"/>
    <n v="0"/>
    <n v="442"/>
    <x v="0"/>
    <x v="0"/>
    <x v="0"/>
    <n v="442"/>
    <n v="0"/>
    <n v="442"/>
    <x v="0"/>
    <x v="0"/>
    <x v="0"/>
    <n v="442"/>
    <n v="0"/>
    <n v="442"/>
    <x v="0"/>
    <x v="0"/>
    <x v="0"/>
    <x v="0"/>
    <x v="0"/>
  </r>
  <r>
    <x v="3"/>
    <x v="0"/>
    <x v="0"/>
    <x v="5"/>
    <x v="5"/>
    <x v="9"/>
    <x v="9"/>
    <n v="1343"/>
    <s v="805011901"/>
    <s v="LASKIN S.A."/>
    <s v="201907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1901"/>
    <s v="LASK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DO, DESCUENTO 9% %1.547.813"/>
    <n v="1547813"/>
    <n v="0"/>
    <n v="1547813"/>
    <x v="0"/>
    <x v="0"/>
    <x v="0"/>
    <n v="1547813"/>
    <n v="0"/>
    <n v="1547813"/>
    <x v="0"/>
    <x v="0"/>
    <x v="0"/>
    <n v="1547813"/>
    <n v="0"/>
    <n v="1547813"/>
    <x v="0"/>
    <x v="0"/>
    <x v="0"/>
    <x v="0"/>
    <x v="0"/>
  </r>
  <r>
    <x v="3"/>
    <x v="0"/>
    <x v="0"/>
    <x v="5"/>
    <x v="5"/>
    <x v="1"/>
    <x v="1"/>
    <n v="47386"/>
    <s v="1509246"/>
    <s v="MORALES SANTACRUZ JESUS ANTONIO"/>
    <s v="201907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23"/>
    <n v="0"/>
    <n v="123"/>
    <x v="0"/>
    <x v="0"/>
    <x v="0"/>
    <n v="123"/>
    <n v="0"/>
    <n v="123"/>
    <x v="0"/>
    <x v="0"/>
    <x v="0"/>
    <n v="123"/>
    <n v="0"/>
    <n v="123"/>
    <x v="0"/>
    <x v="0"/>
    <x v="0"/>
    <x v="0"/>
    <x v="0"/>
  </r>
  <r>
    <x v="3"/>
    <x v="0"/>
    <x v="0"/>
    <x v="5"/>
    <x v="5"/>
    <x v="1"/>
    <x v="1"/>
    <n v="47387"/>
    <s v="890318490"/>
    <s v="FERRETERIA TUBERIAS S.A.S."/>
    <s v="201907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3"/>
    <x v="0"/>
    <x v="0"/>
    <x v="5"/>
    <x v="5"/>
    <x v="1"/>
    <x v="1"/>
    <n v="47401"/>
    <s v="860037900"/>
    <s v="CONSTRUCTORA  BOLIVAR  CALI S.A"/>
    <s v="201907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9677"/>
    <n v="0"/>
    <n v="9677"/>
    <x v="0"/>
    <x v="0"/>
    <x v="0"/>
    <n v="9677"/>
    <n v="0"/>
    <n v="9677"/>
    <x v="0"/>
    <x v="0"/>
    <x v="0"/>
    <n v="9677"/>
    <n v="0"/>
    <n v="9677"/>
    <x v="0"/>
    <x v="0"/>
    <x v="0"/>
    <x v="0"/>
    <x v="0"/>
  </r>
  <r>
    <x v="4"/>
    <x v="0"/>
    <x v="0"/>
    <x v="5"/>
    <x v="5"/>
    <x v="1"/>
    <x v="1"/>
    <n v="47702"/>
    <s v="860037900"/>
    <s v="CONSTRUCTORA  BOLIVAR  CALI S.A"/>
    <s v="201908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191"/>
    <n v="0"/>
    <n v="6191"/>
    <x v="0"/>
    <x v="0"/>
    <x v="0"/>
    <n v="6191"/>
    <n v="0"/>
    <n v="6191"/>
    <x v="0"/>
    <x v="0"/>
    <x v="0"/>
    <n v="6191"/>
    <n v="0"/>
    <n v="6191"/>
    <x v="0"/>
    <x v="0"/>
    <x v="0"/>
    <x v="0"/>
    <x v="0"/>
  </r>
  <r>
    <x v="2"/>
    <x v="0"/>
    <x v="0"/>
    <x v="5"/>
    <x v="5"/>
    <x v="1"/>
    <x v="1"/>
    <n v="47109"/>
    <s v="900077291"/>
    <s v="INVERSIONES BENAVIDES SOLARTE SCS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077291"/>
    <s v="INVERSIONES BENAVIDES SOLARTE SC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HELM."/>
    <n v="14000"/>
    <n v="0"/>
    <n v="14000"/>
    <x v="0"/>
    <x v="0"/>
    <x v="0"/>
    <n v="14000"/>
    <n v="0"/>
    <n v="14000"/>
    <x v="0"/>
    <x v="0"/>
    <x v="0"/>
    <n v="14000"/>
    <n v="0"/>
    <n v="14000"/>
    <x v="0"/>
    <x v="0"/>
    <x v="0"/>
    <x v="0"/>
    <x v="0"/>
  </r>
  <r>
    <x v="2"/>
    <x v="0"/>
    <x v="0"/>
    <x v="5"/>
    <x v="5"/>
    <x v="1"/>
    <x v="1"/>
    <n v="47112"/>
    <s v="800254270"/>
    <s v="SOLVAY PEROXIDOS DE COLOMBIA SASA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254270"/>
    <s v="SOLVAY PEROXIDOS DE COLOMBIA SA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362608, REPORTA CLIENTE."/>
    <n v="1440"/>
    <n v="0"/>
    <n v="1440"/>
    <x v="0"/>
    <x v="0"/>
    <x v="0"/>
    <n v="1440"/>
    <n v="0"/>
    <n v="1440"/>
    <x v="0"/>
    <x v="0"/>
    <x v="0"/>
    <n v="1440"/>
    <n v="0"/>
    <n v="1440"/>
    <x v="0"/>
    <x v="0"/>
    <x v="0"/>
    <x v="0"/>
    <x v="0"/>
  </r>
  <r>
    <x v="3"/>
    <x v="0"/>
    <x v="0"/>
    <x v="5"/>
    <x v="5"/>
    <x v="1"/>
    <x v="1"/>
    <n v="47222"/>
    <s v="800054863"/>
    <s v="HEMISFERIO TOURS Y CIA LTDA"/>
    <s v="201907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54863"/>
    <s v="HEMISFERIO TOURS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363"/>
    <n v="0"/>
    <n v="7363"/>
    <x v="0"/>
    <x v="0"/>
    <x v="0"/>
    <n v="7363"/>
    <n v="0"/>
    <n v="7363"/>
    <x v="0"/>
    <x v="0"/>
    <x v="0"/>
    <n v="7363"/>
    <n v="0"/>
    <n v="7363"/>
    <x v="0"/>
    <x v="0"/>
    <x v="0"/>
    <x v="0"/>
    <x v="0"/>
  </r>
  <r>
    <x v="3"/>
    <x v="0"/>
    <x v="0"/>
    <x v="0"/>
    <x v="0"/>
    <x v="9"/>
    <x v="9"/>
    <n v="9"/>
    <s v="813011577"/>
    <s v="CLINICA UROS SA"/>
    <s v="201907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13011577"/>
    <s v="CLINICA UROS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ON CUENTA EN ABOGADO SE LES OTORGA UN DESCUENTO POR PAGO TOTAL DE LA DEUDA"/>
    <n v="256236"/>
    <n v="0"/>
    <n v="256236"/>
    <x v="0"/>
    <x v="0"/>
    <x v="0"/>
    <n v="256236"/>
    <n v="0"/>
    <n v="256236"/>
    <x v="0"/>
    <x v="0"/>
    <x v="0"/>
    <n v="256236"/>
    <n v="0"/>
    <n v="256236"/>
    <x v="0"/>
    <x v="0"/>
    <x v="0"/>
    <x v="0"/>
    <x v="0"/>
  </r>
  <r>
    <x v="3"/>
    <x v="0"/>
    <x v="0"/>
    <x v="1"/>
    <x v="1"/>
    <x v="1"/>
    <x v="1"/>
    <n v="24777"/>
    <s v="891000692"/>
    <s v="CORP. UNIVERSITARIA DEL SINU"/>
    <s v="201907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1000692"/>
    <s v="CORP. UNIVERSITARIA DEL SINU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498._x000d__x000a_se realiza ajuste de $11.000 pesos faltantes que no cancelo el cliente por error en en los digitos al contabilizar la factura._x000d__x000a_aprobado por Johadys de Paz."/>
    <n v="11000"/>
    <n v="0"/>
    <n v="11000"/>
    <x v="0"/>
    <x v="0"/>
    <x v="0"/>
    <n v="11000"/>
    <n v="0"/>
    <n v="11000"/>
    <x v="0"/>
    <x v="0"/>
    <x v="0"/>
    <n v="11000"/>
    <n v="0"/>
    <n v="11000"/>
    <x v="0"/>
    <x v="0"/>
    <x v="0"/>
    <x v="0"/>
    <x v="0"/>
  </r>
  <r>
    <x v="3"/>
    <x v="0"/>
    <x v="0"/>
    <x v="1"/>
    <x v="1"/>
    <x v="1"/>
    <x v="1"/>
    <n v="24782"/>
    <s v="901166073"/>
    <s v="CENTRO COMERCIAL NUESTRO MONTERIA"/>
    <s v="201907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166073"/>
    <s v="CENTRO COMERCIAL NUESTRO MONTER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47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9"/>
    <x v="9"/>
    <n v="10"/>
    <s v="860534912"/>
    <s v="CENTRO COMERCIAL GALERIAS - PROPIEDAD HORIZONTAL"/>
    <s v="201907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34912"/>
    <s v="CENTRO COMERCIAL GALERIAS -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ARTERA  EN ABOGADO SE LE HACE UN DESCUENTO POR VALOR DE $ 300.592 , POR CANCELACION TOTAL DE LA DEUDA"/>
    <n v="300592"/>
    <n v="0"/>
    <n v="300592"/>
    <x v="0"/>
    <x v="0"/>
    <x v="0"/>
    <n v="300592"/>
    <n v="0"/>
    <n v="300592"/>
    <x v="0"/>
    <x v="0"/>
    <x v="0"/>
    <n v="300592"/>
    <n v="0"/>
    <n v="300592"/>
    <x v="0"/>
    <x v="0"/>
    <x v="0"/>
    <x v="0"/>
    <x v="0"/>
  </r>
  <r>
    <x v="2"/>
    <x v="0"/>
    <x v="0"/>
    <x v="5"/>
    <x v="5"/>
    <x v="1"/>
    <x v="1"/>
    <n v="47086"/>
    <s v="860037900"/>
    <s v="CONSTRUCTORA  BOLIVAR  CALI S.A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179"/>
    <n v="0"/>
    <n v="6179"/>
    <x v="0"/>
    <x v="0"/>
    <x v="0"/>
    <n v="6179"/>
    <n v="0"/>
    <n v="6179"/>
    <x v="0"/>
    <x v="0"/>
    <x v="0"/>
    <n v="6179"/>
    <n v="0"/>
    <n v="6179"/>
    <x v="0"/>
    <x v="0"/>
    <x v="0"/>
    <x v="0"/>
    <x v="0"/>
  </r>
  <r>
    <x v="2"/>
    <x v="0"/>
    <x v="0"/>
    <x v="5"/>
    <x v="5"/>
    <x v="1"/>
    <x v="1"/>
    <n v="47088"/>
    <s v="815000677"/>
    <s v="SUPERSERVICIOS DEL ORIENTE DEL VALLE S.A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5000677"/>
    <s v="SUPERSERVICIOS DEL ORIENTE DEL VALL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1"/>
    <n v="0"/>
    <n v="241"/>
    <x v="0"/>
    <x v="0"/>
    <x v="0"/>
    <n v="241"/>
    <n v="0"/>
    <n v="241"/>
    <x v="0"/>
    <x v="0"/>
    <x v="0"/>
    <n v="241"/>
    <n v="0"/>
    <n v="241"/>
    <x v="0"/>
    <x v="0"/>
    <x v="0"/>
    <x v="0"/>
    <x v="0"/>
  </r>
  <r>
    <x v="3"/>
    <x v="0"/>
    <x v="0"/>
    <x v="1"/>
    <x v="1"/>
    <x v="1"/>
    <x v="1"/>
    <n v="24818"/>
    <s v="32757237"/>
    <s v="MEDINA OLIVEROS FARATH DIVA"/>
    <s v="201907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4958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3"/>
    <x v="0"/>
    <x v="0"/>
    <x v="1"/>
    <x v="1"/>
    <x v="1"/>
    <x v="1"/>
    <n v="24826"/>
    <s v="900061516"/>
    <s v="MUEBLES JAMAR S.A"/>
    <s v="201907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94 - FV5-795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3"/>
    <x v="0"/>
    <x v="0"/>
    <x v="2"/>
    <x v="2"/>
    <x v="9"/>
    <x v="9"/>
    <n v="1599"/>
    <s v="900210981"/>
    <s v="CORPORACION HOSPITALARIA JUAN CIUDAD"/>
    <s v="201907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210981"/>
    <s v="CORPORACION HOSPITALARIA JUAN CIUDA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OR NEGOCIACION ENTRE LAS PARTES SE BRINDA UN DESCUENTO FINANCIERO DE 10 % POR PAGO DE AÑO ANTICIPADO $ 9.068.904 Y RTE/ICA $ 876.056"/>
    <n v="9068904"/>
    <n v="0"/>
    <n v="9068904"/>
    <x v="0"/>
    <x v="0"/>
    <x v="0"/>
    <n v="9068904"/>
    <n v="0"/>
    <n v="9068904"/>
    <x v="0"/>
    <x v="0"/>
    <x v="0"/>
    <n v="9068904"/>
    <n v="0"/>
    <n v="9068904"/>
    <x v="0"/>
    <x v="0"/>
    <x v="0"/>
    <x v="0"/>
    <x v="0"/>
  </r>
  <r>
    <x v="3"/>
    <x v="0"/>
    <x v="0"/>
    <x v="0"/>
    <x v="0"/>
    <x v="1"/>
    <x v="1"/>
    <n v="2418"/>
    <s v="900017447"/>
    <s v="FALABELLA DE COLOMBIA S A"/>
    <s v="201907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1"/>
    <x v="1"/>
    <x v="1"/>
    <x v="1"/>
    <x v="1"/>
    <x v="1"/>
    <s v="900017447"/>
    <s v="FALABELLA DE COLOMBIA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POR RETEGARANTIAS"/>
    <n v="0"/>
    <n v="30001"/>
    <n v="-30001"/>
    <x v="0"/>
    <x v="0"/>
    <x v="0"/>
    <n v="0"/>
    <n v="30001"/>
    <n v="-30001"/>
    <x v="0"/>
    <x v="0"/>
    <x v="0"/>
    <n v="0"/>
    <n v="30001"/>
    <n v="-3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2"/>
    <n v="0"/>
    <n v="34322"/>
    <x v="0"/>
    <x v="0"/>
    <x v="0"/>
    <n v="34322"/>
    <n v="0"/>
    <n v="34322"/>
    <x v="0"/>
    <x v="0"/>
    <x v="0"/>
    <n v="34322"/>
    <n v="0"/>
    <n v="343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0300.46"/>
    <n v="0"/>
    <n v="260300.46"/>
    <x v="0"/>
    <x v="0"/>
    <x v="0"/>
    <n v="260300.46"/>
    <n v="0"/>
    <n v="260300.46"/>
    <x v="0"/>
    <x v="0"/>
    <x v="0"/>
    <n v="260300.46"/>
    <n v="0"/>
    <n v="260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8000"/>
    <n v="0"/>
    <n v="28000"/>
    <x v="0"/>
    <x v="0"/>
    <x v="0"/>
    <n v="28000"/>
    <n v="0"/>
    <n v="28000"/>
    <x v="0"/>
    <x v="0"/>
    <x v="0"/>
    <n v="28000"/>
    <n v="0"/>
    <n v="28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S A TERCEROS"/>
    <n v="77989.679999999993"/>
    <n v="0"/>
    <n v="77989.680000000008"/>
    <x v="0"/>
    <x v="0"/>
    <x v="0"/>
    <n v="77989.679999999993"/>
    <n v="0"/>
    <n v="77989.680000000008"/>
    <x v="0"/>
    <x v="0"/>
    <x v="0"/>
    <n v="77989.679999999993"/>
    <n v="0"/>
    <n v="77989.68000000000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6009.2"/>
    <n v="0"/>
    <n v="106009.2"/>
    <x v="0"/>
    <x v="0"/>
    <x v="0"/>
    <n v="106009.2"/>
    <n v="0"/>
    <n v="106009.2"/>
    <x v="0"/>
    <x v="0"/>
    <x v="0"/>
    <n v="106009.2"/>
    <n v="0"/>
    <n v="106009.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4206.44"/>
    <n v="0"/>
    <n v="74206.44"/>
    <x v="0"/>
    <x v="0"/>
    <x v="0"/>
    <n v="74206.44"/>
    <n v="0"/>
    <n v="74206.44"/>
    <x v="0"/>
    <x v="0"/>
    <x v="0"/>
    <n v="74206.44"/>
    <n v="0"/>
    <n v="74206.4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7054.9"/>
    <n v="0"/>
    <n v="187054.9"/>
    <x v="0"/>
    <x v="0"/>
    <x v="0"/>
    <n v="187054.9"/>
    <n v="0"/>
    <n v="187054.9"/>
    <x v="0"/>
    <x v="0"/>
    <x v="0"/>
    <n v="187054.9"/>
    <n v="0"/>
    <n v="187054.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3"/>
    <n v="0"/>
    <n v="51483"/>
    <x v="0"/>
    <x v="0"/>
    <x v="0"/>
    <n v="51483"/>
    <n v="0"/>
    <n v="51483"/>
    <x v="0"/>
    <x v="0"/>
    <x v="0"/>
    <n v="51483"/>
    <n v="0"/>
    <n v="51483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95408.28"/>
    <n v="0"/>
    <n v="95408.28"/>
    <x v="0"/>
    <x v="0"/>
    <x v="0"/>
    <n v="95408.28"/>
    <n v="0"/>
    <n v="95408.28"/>
    <x v="0"/>
    <x v="0"/>
    <x v="0"/>
    <n v="95408.28"/>
    <n v="0"/>
    <n v="95408.2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7457.599999999999"/>
    <n v="0"/>
    <n v="27457.600000000002"/>
    <x v="0"/>
    <x v="0"/>
    <x v="0"/>
    <n v="27457.599999999999"/>
    <n v="0"/>
    <n v="27457.600000000002"/>
    <x v="0"/>
    <x v="0"/>
    <x v="0"/>
    <n v="27457.599999999999"/>
    <n v="0"/>
    <n v="27457.60000000000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7"/>
    <x v="0"/>
    <x v="0"/>
    <x v="0"/>
    <x v="0"/>
    <x v="2"/>
    <x v="2"/>
    <n v="20088"/>
    <s v="860002964"/>
    <s v="BANCO DE BOGOT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ABRIL DEL 2018"/>
    <n v="42819.39"/>
    <n v="0"/>
    <n v="42819.39"/>
    <x v="0"/>
    <x v="0"/>
    <x v="0"/>
    <n v="42819.39"/>
    <n v="0"/>
    <n v="42819.39"/>
    <x v="0"/>
    <x v="0"/>
    <x v="0"/>
    <n v="42819.39"/>
    <n v="0"/>
    <n v="42819.39"/>
    <x v="0"/>
    <x v="0"/>
    <x v="0"/>
    <x v="0"/>
    <x v="0"/>
  </r>
  <r>
    <x v="7"/>
    <x v="0"/>
    <x v="0"/>
    <x v="0"/>
    <x v="0"/>
    <x v="2"/>
    <x v="2"/>
    <n v="2008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DE CONCILIACION BANCARIA POR IVA YA PRESENTADO"/>
    <n v="0"/>
    <n v="150000"/>
    <n v="-150000"/>
    <x v="0"/>
    <x v="0"/>
    <x v="0"/>
    <n v="0"/>
    <n v="150000"/>
    <n v="-150000"/>
    <x v="0"/>
    <x v="0"/>
    <x v="0"/>
    <n v="0"/>
    <n v="150000"/>
    <n v="-150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6000"/>
    <n v="0"/>
    <n v="36000"/>
    <x v="0"/>
    <x v="0"/>
    <x v="0"/>
    <n v="36000"/>
    <n v="0"/>
    <n v="36000"/>
    <x v="0"/>
    <x v="0"/>
    <x v="0"/>
    <n v="36000"/>
    <n v="0"/>
    <n v="36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425006"/>
    <n v="0"/>
    <n v="425006"/>
    <x v="0"/>
    <x v="0"/>
    <x v="0"/>
    <n v="425006"/>
    <n v="0"/>
    <n v="425006"/>
    <x v="0"/>
    <x v="0"/>
    <x v="0"/>
    <n v="425006"/>
    <n v="0"/>
    <n v="42500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7182"/>
    <n v="0"/>
    <n v="7182"/>
    <x v="0"/>
    <x v="0"/>
    <x v="0"/>
    <n v="7182"/>
    <n v="0"/>
    <n v="7182"/>
    <x v="0"/>
    <x v="0"/>
    <x v="0"/>
    <n v="7182"/>
    <n v="0"/>
    <n v="718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364.58"/>
    <n v="0"/>
    <n v="1364.58"/>
    <x v="0"/>
    <x v="0"/>
    <x v="0"/>
    <n v="1364.58"/>
    <n v="0"/>
    <n v="1364.58"/>
    <x v="0"/>
    <x v="0"/>
    <x v="0"/>
    <n v="1364.58"/>
    <n v="0"/>
    <n v="1364.58"/>
    <x v="0"/>
    <x v="0"/>
    <x v="0"/>
    <x v="0"/>
    <x v="0"/>
  </r>
  <r>
    <x v="7"/>
    <x v="0"/>
    <x v="0"/>
    <x v="0"/>
    <x v="0"/>
    <x v="2"/>
    <x v="2"/>
    <n v="20092"/>
    <s v="890300279"/>
    <s v="BANCO DE OCCIDENTE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VERSION DE GASTO BANCARRIO APLICADO DE MAS"/>
    <n v="0"/>
    <n v="1011206"/>
    <n v="-1011206"/>
    <x v="0"/>
    <x v="0"/>
    <x v="0"/>
    <n v="0"/>
    <n v="1011206"/>
    <n v="-1011206"/>
    <x v="0"/>
    <x v="0"/>
    <x v="0"/>
    <n v="0"/>
    <n v="1011206"/>
    <n v="-1011206"/>
    <x v="0"/>
    <x v="0"/>
    <x v="0"/>
    <x v="0"/>
    <x v="0"/>
  </r>
  <r>
    <x v="7"/>
    <x v="0"/>
    <x v="0"/>
    <x v="0"/>
    <x v="0"/>
    <x v="2"/>
    <x v="2"/>
    <n v="20093"/>
    <s v="900406150"/>
    <s v="BANCO COOMEV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ABRIL BANCOOMEVA"/>
    <n v="118232"/>
    <n v="0"/>
    <n v="118232"/>
    <x v="0"/>
    <x v="0"/>
    <x v="0"/>
    <n v="118232"/>
    <n v="0"/>
    <n v="118232"/>
    <x v="0"/>
    <x v="0"/>
    <x v="0"/>
    <n v="118232"/>
    <n v="0"/>
    <n v="118232"/>
    <x v="0"/>
    <x v="0"/>
    <x v="0"/>
    <x v="0"/>
    <x v="0"/>
  </r>
  <r>
    <x v="7"/>
    <x v="0"/>
    <x v="0"/>
    <x v="0"/>
    <x v="0"/>
    <x v="2"/>
    <x v="2"/>
    <n v="20048"/>
    <s v="440000000330"/>
    <s v="BANCOLOMBIA CAYMAN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ABRIL 2019 - trm 3247.72"/>
    <n v="354001.48"/>
    <n v="0"/>
    <n v="354001.48"/>
    <x v="0"/>
    <x v="0"/>
    <x v="0"/>
    <n v="354001.48"/>
    <n v="0"/>
    <n v="354001.48"/>
    <x v="0"/>
    <x v="0"/>
    <x v="0"/>
    <n v="354001.48"/>
    <n v="0"/>
    <n v="354001.48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023.48"/>
    <n v="0"/>
    <n v="54023.48"/>
    <x v="0"/>
    <x v="0"/>
    <x v="0"/>
    <n v="54023.48"/>
    <n v="0"/>
    <n v="54023.48"/>
    <x v="0"/>
    <x v="0"/>
    <x v="0"/>
    <n v="54023.48"/>
    <n v="0"/>
    <n v="54023.48"/>
    <x v="0"/>
    <x v="0"/>
    <x v="0"/>
    <x v="0"/>
    <x v="0"/>
  </r>
  <r>
    <x v="7"/>
    <x v="0"/>
    <x v="0"/>
    <x v="0"/>
    <x v="0"/>
    <x v="2"/>
    <x v="2"/>
    <n v="20067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DE CUENTAS POR DIFERENCIA EN CENTAVOS PAGO DE TARJETA DE CREDITO"/>
    <n v="0.33"/>
    <n v="0"/>
    <n v="0.33"/>
    <x v="0"/>
    <x v="0"/>
    <x v="0"/>
    <n v="0.33"/>
    <n v="0"/>
    <n v="0.33"/>
    <x v="0"/>
    <x v="0"/>
    <x v="0"/>
    <n v="0.33"/>
    <n v="0"/>
    <n v="0.33"/>
    <x v="0"/>
    <x v="0"/>
    <x v="0"/>
    <x v="0"/>
    <x v="0"/>
  </r>
  <r>
    <x v="1"/>
    <x v="0"/>
    <x v="0"/>
    <x v="0"/>
    <x v="0"/>
    <x v="2"/>
    <x v="2"/>
    <n v="19648"/>
    <s v="891480030"/>
    <s v="MUNICIPIO DE PEREIRA"/>
    <s v="20190213"/>
    <x v="16"/>
    <x v="0"/>
    <x v="16"/>
    <x v="0"/>
    <x v="0"/>
    <x v="0"/>
    <x v="0"/>
    <x v="0"/>
    <x v="0"/>
    <x v="0"/>
    <x v="0"/>
    <x v="0"/>
    <x v="16"/>
    <x v="16"/>
    <x v="16"/>
    <x v="16"/>
    <x v="16"/>
    <x v="16"/>
    <x v="16"/>
    <x v="16"/>
    <x v="6"/>
    <x v="6"/>
    <x v="0"/>
    <x v="0"/>
    <x v="0"/>
    <x v="0"/>
    <s v="891480030"/>
    <s v="MUNICIPIO DE PEREIR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IMP IND Y COMER ANUAL PEREIRA 2018"/>
    <n v="1000"/>
    <n v="0"/>
    <n v="1000"/>
    <x v="0"/>
    <x v="0"/>
    <x v="0"/>
    <n v="1000"/>
    <n v="0"/>
    <n v="1000"/>
    <x v="0"/>
    <x v="0"/>
    <x v="0"/>
    <n v="1000"/>
    <n v="0"/>
    <n v="1000"/>
    <x v="0"/>
    <x v="0"/>
    <x v="0"/>
    <x v="0"/>
    <x v="0"/>
  </r>
  <r>
    <x v="6"/>
    <x v="0"/>
    <x v="0"/>
    <x v="0"/>
    <x v="0"/>
    <x v="2"/>
    <x v="2"/>
    <n v="20157"/>
    <s v="890903938"/>
    <s v="BANCOLOMBIA S.A."/>
    <s v="20190509"/>
    <x v="16"/>
    <x v="0"/>
    <x v="16"/>
    <x v="0"/>
    <x v="0"/>
    <x v="0"/>
    <x v="0"/>
    <x v="0"/>
    <x v="0"/>
    <x v="0"/>
    <x v="0"/>
    <x v="0"/>
    <x v="16"/>
    <x v="16"/>
    <x v="16"/>
    <x v="16"/>
    <x v="16"/>
    <x v="16"/>
    <x v="16"/>
    <x v="16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NI 19434 MAL APLICADA"/>
    <n v="1897888"/>
    <n v="0"/>
    <n v="1897888"/>
    <x v="0"/>
    <x v="0"/>
    <x v="0"/>
    <n v="1897888"/>
    <n v="0"/>
    <n v="1897888"/>
    <x v="0"/>
    <x v="0"/>
    <x v="0"/>
    <n v="1897888"/>
    <n v="0"/>
    <n v="1897888"/>
    <x v="0"/>
    <x v="0"/>
    <x v="0"/>
    <x v="0"/>
    <x v="0"/>
  </r>
  <r>
    <x v="6"/>
    <x v="0"/>
    <x v="0"/>
    <x v="0"/>
    <x v="0"/>
    <x v="2"/>
    <x v="2"/>
    <n v="20277"/>
    <s v="890903407"/>
    <s v="SEGUROS GENERALES SURAMERICANA S.A"/>
    <s v="20190531"/>
    <x v="16"/>
    <x v="0"/>
    <x v="16"/>
    <x v="0"/>
    <x v="0"/>
    <x v="0"/>
    <x v="0"/>
    <x v="0"/>
    <x v="0"/>
    <x v="0"/>
    <x v="0"/>
    <x v="0"/>
    <x v="16"/>
    <x v="16"/>
    <x v="16"/>
    <x v="16"/>
    <x v="16"/>
    <x v="16"/>
    <x v="16"/>
    <x v="16"/>
    <x v="1"/>
    <x v="1"/>
    <x v="1"/>
    <x v="1"/>
    <x v="1"/>
    <x v="1"/>
    <s v="992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DE CUENTAS POR ERROR EN CENTRO DE OPERACION"/>
    <n v="58175"/>
    <n v="0"/>
    <n v="58175"/>
    <x v="0"/>
    <x v="0"/>
    <x v="0"/>
    <n v="58175"/>
    <n v="0"/>
    <n v="58175"/>
    <x v="0"/>
    <x v="0"/>
    <x v="0"/>
    <n v="58175"/>
    <n v="0"/>
    <n v="58175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67896"/>
    <n v="0"/>
    <n v="67896"/>
    <x v="0"/>
    <x v="0"/>
    <x v="0"/>
    <n v="67896"/>
    <n v="0"/>
    <n v="67896"/>
    <x v="0"/>
    <x v="0"/>
    <x v="0"/>
    <n v="67896"/>
    <n v="0"/>
    <n v="67896"/>
    <x v="0"/>
    <x v="0"/>
    <x v="0"/>
    <x v="0"/>
    <x v="0"/>
  </r>
  <r>
    <x v="7"/>
    <x v="0"/>
    <x v="0"/>
    <x v="0"/>
    <x v="0"/>
    <x v="2"/>
    <x v="2"/>
    <n v="200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- MANEJO TARJETAS CAJA MENOR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7"/>
    <x v="0"/>
    <x v="0"/>
    <x v="0"/>
    <x v="0"/>
    <x v="2"/>
    <x v="2"/>
    <n v="20078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- MANEJO TARJETAS CAJA MENOR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"/>
    <n v="0"/>
    <n v="3557"/>
    <x v="0"/>
    <x v="0"/>
    <x v="0"/>
    <n v="3557"/>
    <n v="0"/>
    <n v="3557"/>
    <x v="0"/>
    <x v="0"/>
    <x v="0"/>
    <n v="3557"/>
    <n v="0"/>
    <n v="3557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58800"/>
    <n v="0"/>
    <n v="358800"/>
    <x v="0"/>
    <x v="0"/>
    <x v="0"/>
    <n v="358800"/>
    <n v="0"/>
    <n v="358800"/>
    <x v="0"/>
    <x v="0"/>
    <x v="0"/>
    <n v="358800"/>
    <n v="0"/>
    <n v="358800"/>
    <x v="0"/>
    <x v="0"/>
    <x v="0"/>
    <x v="0"/>
    <x v="0"/>
  </r>
  <r>
    <x v="7"/>
    <x v="0"/>
    <x v="0"/>
    <x v="0"/>
    <x v="0"/>
    <x v="2"/>
    <x v="2"/>
    <n v="20079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BANCOLOMBIA DE ABRIL DE 2019"/>
    <n v="53698"/>
    <n v="0"/>
    <n v="53698"/>
    <x v="0"/>
    <x v="0"/>
    <x v="0"/>
    <n v="53698"/>
    <n v="0"/>
    <n v="53698"/>
    <x v="0"/>
    <x v="0"/>
    <x v="0"/>
    <n v="53698"/>
    <n v="0"/>
    <n v="53698"/>
    <x v="0"/>
    <x v="0"/>
    <x v="0"/>
    <x v="0"/>
    <x v="0"/>
  </r>
  <r>
    <x v="6"/>
    <x v="0"/>
    <x v="0"/>
    <x v="0"/>
    <x v="0"/>
    <x v="11"/>
    <x v="11"/>
    <n v="26193"/>
    <s v="4519543"/>
    <s v="GARCIA CASTAÑO FREDY JHOVANNY"/>
    <s v="2019050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54 + gastos bancarios"/>
    <n v="2800"/>
    <n v="0"/>
    <n v="2800"/>
    <x v="0"/>
    <x v="0"/>
    <x v="0"/>
    <n v="2800"/>
    <n v="0"/>
    <n v="2800"/>
    <x v="0"/>
    <x v="0"/>
    <x v="0"/>
    <n v="2800"/>
    <n v="0"/>
    <n v="2800"/>
    <x v="0"/>
    <x v="0"/>
    <x v="0"/>
    <x v="0"/>
    <x v="0"/>
  </r>
  <r>
    <x v="6"/>
    <x v="0"/>
    <x v="0"/>
    <x v="0"/>
    <x v="0"/>
    <x v="2"/>
    <x v="2"/>
    <n v="20090"/>
    <s v="890903938"/>
    <s v="BANCOLOMBIA S.A."/>
    <s v="201905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SE REVERSA NI 20088  ( IVA DE CONCILACION BANCARIA )"/>
    <n v="150000"/>
    <n v="0"/>
    <n v="150000"/>
    <x v="0"/>
    <x v="0"/>
    <x v="0"/>
    <n v="150000"/>
    <n v="0"/>
    <n v="150000"/>
    <x v="0"/>
    <x v="0"/>
    <x v="0"/>
    <n v="150000"/>
    <n v="0"/>
    <n v="150000"/>
    <x v="0"/>
    <x v="0"/>
    <x v="0"/>
    <x v="0"/>
    <x v="0"/>
  </r>
  <r>
    <x v="6"/>
    <x v="0"/>
    <x v="0"/>
    <x v="0"/>
    <x v="0"/>
    <x v="11"/>
    <x v="11"/>
    <n v="26225"/>
    <s v="71631400"/>
    <s v="CARRASQUILLA PIZARRO MARCO ANTONIO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35 + GASTOS BANCARIOS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6"/>
    <x v="0"/>
    <x v="0"/>
    <x v="0"/>
    <x v="0"/>
    <x v="11"/>
    <x v="11"/>
    <n v="26226"/>
    <s v="31908098"/>
    <s v="LOPEZ GARCIA MARIA DEL SOCORRO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2 + GASTOS BANCARIOS"/>
    <n v="7520"/>
    <n v="0"/>
    <n v="7520"/>
    <x v="0"/>
    <x v="0"/>
    <x v="0"/>
    <n v="7520"/>
    <n v="0"/>
    <n v="7520"/>
    <x v="0"/>
    <x v="0"/>
    <x v="0"/>
    <n v="7520"/>
    <n v="0"/>
    <n v="7520"/>
    <x v="0"/>
    <x v="0"/>
    <x v="0"/>
    <x v="0"/>
    <x v="0"/>
  </r>
  <r>
    <x v="6"/>
    <x v="0"/>
    <x v="0"/>
    <x v="0"/>
    <x v="0"/>
    <x v="11"/>
    <x v="11"/>
    <n v="26227"/>
    <s v="1018441067"/>
    <s v="ALONSO GUTIERREZ YINNETH CATALINA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8 + GASTOS BANCARIOS"/>
    <n v="11584"/>
    <n v="0"/>
    <n v="11584"/>
    <x v="0"/>
    <x v="0"/>
    <x v="0"/>
    <n v="11584"/>
    <n v="0"/>
    <n v="11584"/>
    <x v="0"/>
    <x v="0"/>
    <x v="0"/>
    <n v="11584"/>
    <n v="0"/>
    <n v="11584"/>
    <x v="0"/>
    <x v="0"/>
    <x v="0"/>
    <x v="0"/>
    <x v="0"/>
  </r>
  <r>
    <x v="0"/>
    <x v="0"/>
    <x v="0"/>
    <x v="0"/>
    <x v="0"/>
    <x v="2"/>
    <x v="2"/>
    <n v="19609"/>
    <s v="440000000330"/>
    <s v="BANCOLOMBIA CAYMAN"/>
    <s v="201901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CUENTA COMPENSACION - ENERO 2019 (TRM 3163.46)"/>
    <n v="521559.65"/>
    <n v="0"/>
    <n v="521559.65"/>
    <x v="0"/>
    <x v="0"/>
    <x v="0"/>
    <n v="521559.65"/>
    <n v="0"/>
    <n v="521559.65"/>
    <x v="0"/>
    <x v="0"/>
    <x v="0"/>
    <n v="521559.65"/>
    <n v="0"/>
    <n v="521559.65"/>
    <x v="0"/>
    <x v="0"/>
    <x v="0"/>
    <x v="0"/>
    <x v="0"/>
  </r>
  <r>
    <x v="1"/>
    <x v="0"/>
    <x v="0"/>
    <x v="0"/>
    <x v="0"/>
    <x v="2"/>
    <x v="2"/>
    <n v="19760"/>
    <s v="890903938"/>
    <s v="BANCOLOMBIA S.A."/>
    <s v="20190228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BANCOLOMBIA  - FEB 2019"/>
    <n v="44999.7"/>
    <n v="0"/>
    <n v="44999.700000000004"/>
    <x v="0"/>
    <x v="0"/>
    <x v="0"/>
    <n v="44999.7"/>
    <n v="0"/>
    <n v="44999.700000000004"/>
    <x v="0"/>
    <x v="0"/>
    <x v="0"/>
    <n v="44999.7"/>
    <n v="0"/>
    <n v="44999.700000000004"/>
    <x v="0"/>
    <x v="0"/>
    <x v="0"/>
    <x v="0"/>
    <x v="0"/>
  </r>
  <r>
    <x v="5"/>
    <x v="0"/>
    <x v="0"/>
    <x v="0"/>
    <x v="0"/>
    <x v="2"/>
    <x v="2"/>
    <n v="19921"/>
    <s v="440000000330"/>
    <s v="BANCOLOMBIA CAYMAN"/>
    <s v="20190330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ONES CUENTA DE COMPENSACION- MARZO 2019"/>
    <n v="257157.99"/>
    <n v="0"/>
    <n v="257157.99000000002"/>
    <x v="0"/>
    <x v="0"/>
    <x v="0"/>
    <n v="257157.99"/>
    <n v="0"/>
    <n v="257157.99000000002"/>
    <x v="0"/>
    <x v="0"/>
    <x v="0"/>
    <n v="257157.99"/>
    <n v="0"/>
    <n v="257157.99000000002"/>
    <x v="0"/>
    <x v="0"/>
    <x v="0"/>
    <x v="0"/>
    <x v="0"/>
  </r>
  <r>
    <x v="5"/>
    <x v="0"/>
    <x v="0"/>
    <x v="0"/>
    <x v="0"/>
    <x v="2"/>
    <x v="2"/>
    <n v="19933"/>
    <s v="890903938"/>
    <s v="BANCOLOMBIA S.A."/>
    <s v="201903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MARZO 2019"/>
    <n v="64298.84"/>
    <n v="0"/>
    <n v="64298.840000000004"/>
    <x v="0"/>
    <x v="0"/>
    <x v="0"/>
    <n v="64298.84"/>
    <n v="0"/>
    <n v="64298.840000000004"/>
    <x v="0"/>
    <x v="0"/>
    <x v="0"/>
    <n v="64298.84"/>
    <n v="0"/>
    <n v="64298.840000000004"/>
    <x v="0"/>
    <x v="0"/>
    <x v="0"/>
    <x v="0"/>
    <x v="0"/>
  </r>
  <r>
    <x v="7"/>
    <x v="0"/>
    <x v="0"/>
    <x v="0"/>
    <x v="0"/>
    <x v="2"/>
    <x v="2"/>
    <n v="20079"/>
    <s v="890903938"/>
    <s v="BANCOLOMBIA S.A."/>
    <s v="20190430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BANCOLOMBIA DE ABRIL DE 2019"/>
    <n v="13400"/>
    <n v="0"/>
    <n v="13400"/>
    <x v="0"/>
    <x v="0"/>
    <x v="0"/>
    <n v="13400"/>
    <n v="0"/>
    <n v="13400"/>
    <x v="0"/>
    <x v="0"/>
    <x v="0"/>
    <n v="13400"/>
    <n v="0"/>
    <n v="13400"/>
    <x v="0"/>
    <x v="0"/>
    <x v="0"/>
    <x v="0"/>
    <x v="0"/>
  </r>
  <r>
    <x v="7"/>
    <x v="0"/>
    <x v="0"/>
    <x v="0"/>
    <x v="0"/>
    <x v="2"/>
    <x v="2"/>
    <n v="20079"/>
    <s v="890903938"/>
    <s v="BANCOLOMBIA S.A."/>
    <s v="20190430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BANCOLOMBIA DE ABRIL DE 2019"/>
    <n v="13400"/>
    <n v="0"/>
    <n v="13400"/>
    <x v="0"/>
    <x v="0"/>
    <x v="0"/>
    <n v="13400"/>
    <n v="0"/>
    <n v="13400"/>
    <x v="0"/>
    <x v="0"/>
    <x v="0"/>
    <n v="13400"/>
    <n v="0"/>
    <n v="13400"/>
    <x v="0"/>
    <x v="0"/>
    <x v="0"/>
    <x v="0"/>
    <x v="0"/>
  </r>
  <r>
    <x v="2"/>
    <x v="0"/>
    <x v="0"/>
    <x v="0"/>
    <x v="0"/>
    <x v="2"/>
    <x v="2"/>
    <n v="20394"/>
    <s v="440000000330"/>
    <s v="BANCOLOMBIA CAYMAN"/>
    <s v="20190630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JUNIO 2019- CUENTA COMPENSACION  (TRM 3205.67)"/>
    <n v="349225.69"/>
    <n v="0"/>
    <n v="349225.69"/>
    <x v="0"/>
    <x v="0"/>
    <x v="0"/>
    <n v="349225.69"/>
    <n v="0"/>
    <n v="349225.69"/>
    <x v="0"/>
    <x v="0"/>
    <x v="0"/>
    <n v="349225.69"/>
    <n v="0"/>
    <n v="349225.69"/>
    <x v="0"/>
    <x v="0"/>
    <x v="0"/>
    <x v="0"/>
    <x v="0"/>
  </r>
  <r>
    <x v="3"/>
    <x v="0"/>
    <x v="0"/>
    <x v="0"/>
    <x v="0"/>
    <x v="2"/>
    <x v="2"/>
    <n v="20570"/>
    <s v="440000000330"/>
    <s v="BANCOLOMBIA CAYMAN"/>
    <s v="201907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0"/>
    <x v="0"/>
    <x v="0"/>
    <x v="0"/>
    <x v="0"/>
    <x v="0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 CAYMAN - COMISIONES MES DE JULIO ( TRM 3296,85)"/>
    <n v="728406.04"/>
    <n v="0"/>
    <n v="728406.04"/>
    <x v="0"/>
    <x v="0"/>
    <x v="0"/>
    <n v="728406.04"/>
    <n v="0"/>
    <n v="728406.04"/>
    <x v="0"/>
    <x v="0"/>
    <x v="0"/>
    <n v="728406.04"/>
    <n v="0"/>
    <n v="728406.04"/>
    <x v="0"/>
    <x v="0"/>
    <x v="0"/>
    <x v="0"/>
    <x v="0"/>
  </r>
  <r>
    <x v="4"/>
    <x v="0"/>
    <x v="0"/>
    <x v="0"/>
    <x v="0"/>
    <x v="2"/>
    <x v="2"/>
    <n v="20692"/>
    <s v="890903938"/>
    <s v="BANCOLOMBIA S.A."/>
    <s v="201908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4444477"/>
    <s v="EV4 LIMITE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MES DE AGOSTO - COMISION EV4  LTDA"/>
    <n v="839345.14"/>
    <n v="0"/>
    <n v="839345.14"/>
    <x v="0"/>
    <x v="0"/>
    <x v="0"/>
    <n v="839345.14"/>
    <n v="0"/>
    <n v="839345.14"/>
    <x v="0"/>
    <x v="0"/>
    <x v="0"/>
    <n v="839345.14"/>
    <n v="0"/>
    <n v="839345.14"/>
    <x v="0"/>
    <x v="0"/>
    <x v="0"/>
    <x v="0"/>
    <x v="0"/>
  </r>
  <r>
    <x v="4"/>
    <x v="0"/>
    <x v="0"/>
    <x v="0"/>
    <x v="0"/>
    <x v="2"/>
    <x v="2"/>
    <n v="20693"/>
    <s v="890903938"/>
    <s v="BANCOLOMBIA S.A."/>
    <s v="201908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3015 DOLARES"/>
    <n v="487484.73"/>
    <n v="0"/>
    <n v="487484.73"/>
    <x v="0"/>
    <x v="0"/>
    <x v="0"/>
    <n v="487484.73"/>
    <n v="0"/>
    <n v="487484.73"/>
    <x v="0"/>
    <x v="0"/>
    <x v="0"/>
    <n v="487484.73"/>
    <n v="0"/>
    <n v="487484.73"/>
    <x v="0"/>
    <x v="0"/>
    <x v="0"/>
    <x v="0"/>
    <x v="0"/>
  </r>
  <r>
    <x v="0"/>
    <x v="0"/>
    <x v="0"/>
    <x v="0"/>
    <x v="0"/>
    <x v="2"/>
    <x v="2"/>
    <n v="19416"/>
    <s v="860035827"/>
    <s v="BANCO AV VILLAS"/>
    <s v="201901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AV VILLAS"/>
    <n v="641215"/>
    <n v="0"/>
    <n v="641215"/>
    <x v="0"/>
    <x v="0"/>
    <x v="0"/>
    <n v="641215"/>
    <n v="0"/>
    <n v="641215"/>
    <x v="0"/>
    <x v="0"/>
    <x v="0"/>
    <n v="641215"/>
    <n v="0"/>
    <n v="641215"/>
    <x v="0"/>
    <x v="0"/>
    <x v="0"/>
    <x v="0"/>
    <x v="0"/>
  </r>
  <r>
    <x v="0"/>
    <x v="0"/>
    <x v="0"/>
    <x v="0"/>
    <x v="0"/>
    <x v="2"/>
    <x v="2"/>
    <n v="19418"/>
    <s v="860035827"/>
    <s v="BANCO AV VILLAS"/>
    <s v="201901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7366-7 AV VILLAS"/>
    <n v="744412"/>
    <n v="0"/>
    <n v="744412"/>
    <x v="0"/>
    <x v="0"/>
    <x v="0"/>
    <n v="744412"/>
    <n v="0"/>
    <n v="744412"/>
    <x v="0"/>
    <x v="0"/>
    <x v="0"/>
    <n v="744412"/>
    <n v="0"/>
    <n v="744412"/>
    <x v="0"/>
    <x v="0"/>
    <x v="0"/>
    <x v="0"/>
    <x v="0"/>
  </r>
  <r>
    <x v="0"/>
    <x v="0"/>
    <x v="0"/>
    <x v="0"/>
    <x v="0"/>
    <x v="2"/>
    <x v="2"/>
    <n v="19419"/>
    <s v="860035827"/>
    <s v="BANCO AV VILLAS"/>
    <s v="201901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7483-7 V VILLAS"/>
    <n v="434677"/>
    <n v="0"/>
    <n v="434677"/>
    <x v="0"/>
    <x v="0"/>
    <x v="0"/>
    <n v="434677"/>
    <n v="0"/>
    <n v="434677"/>
    <x v="0"/>
    <x v="0"/>
    <x v="0"/>
    <n v="434677"/>
    <n v="0"/>
    <n v="434677"/>
    <x v="0"/>
    <x v="0"/>
    <x v="0"/>
    <x v="0"/>
    <x v="0"/>
  </r>
  <r>
    <x v="0"/>
    <x v="0"/>
    <x v="0"/>
    <x v="0"/>
    <x v="0"/>
    <x v="2"/>
    <x v="2"/>
    <n v="19443"/>
    <s v="890300279"/>
    <s v="BANCO DE OCCIDENTE."/>
    <s v="2019011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 PAGO OBLIGACION 3422-1"/>
    <n v="176196"/>
    <n v="0"/>
    <n v="176196"/>
    <x v="0"/>
    <x v="0"/>
    <x v="0"/>
    <n v="176196"/>
    <n v="0"/>
    <n v="176196"/>
    <x v="0"/>
    <x v="0"/>
    <x v="0"/>
    <n v="176196"/>
    <n v="0"/>
    <n v="176196"/>
    <x v="0"/>
    <x v="0"/>
    <x v="0"/>
    <x v="0"/>
    <x v="0"/>
  </r>
  <r>
    <x v="0"/>
    <x v="0"/>
    <x v="0"/>
    <x v="0"/>
    <x v="0"/>
    <x v="2"/>
    <x v="2"/>
    <n v="19444"/>
    <s v="890300279"/>
    <s v="BANCO DE OCCIDENTE."/>
    <s v="2019011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 PAGO OBLIGACION 3957-8"/>
    <n v="811915"/>
    <n v="0"/>
    <n v="811915"/>
    <x v="0"/>
    <x v="0"/>
    <x v="0"/>
    <n v="811915"/>
    <n v="0"/>
    <n v="811915"/>
    <x v="0"/>
    <x v="0"/>
    <x v="0"/>
    <n v="811915"/>
    <n v="0"/>
    <n v="811915"/>
    <x v="0"/>
    <x v="0"/>
    <x v="0"/>
    <x v="0"/>
    <x v="0"/>
  </r>
  <r>
    <x v="0"/>
    <x v="0"/>
    <x v="0"/>
    <x v="0"/>
    <x v="0"/>
    <x v="2"/>
    <x v="2"/>
    <n v="19447"/>
    <s v="860002964"/>
    <s v="BANCO DE BOGOTA S.A."/>
    <s v="2019011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 PAGO OBLIGACION 349"/>
    <n v="786309.83"/>
    <n v="0"/>
    <n v="786309.83000000007"/>
    <x v="0"/>
    <x v="0"/>
    <x v="0"/>
    <n v="786309.83"/>
    <n v="0"/>
    <n v="786309.83000000007"/>
    <x v="0"/>
    <x v="0"/>
    <x v="0"/>
    <n v="786309.83"/>
    <n v="0"/>
    <n v="786309.83000000007"/>
    <x v="0"/>
    <x v="0"/>
    <x v="0"/>
    <x v="0"/>
    <x v="0"/>
  </r>
  <r>
    <x v="0"/>
    <x v="0"/>
    <x v="0"/>
    <x v="0"/>
    <x v="0"/>
    <x v="2"/>
    <x v="2"/>
    <n v="19448"/>
    <s v="860002964"/>
    <s v="BANCO DE BOGOTA S.A."/>
    <s v="2019011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 PAGO OBLIGACION 3912"/>
    <n v="176493.89"/>
    <n v="0"/>
    <n v="176493.89"/>
    <x v="0"/>
    <x v="0"/>
    <x v="0"/>
    <n v="176493.89"/>
    <n v="0"/>
    <n v="176493.89"/>
    <x v="0"/>
    <x v="0"/>
    <x v="0"/>
    <n v="176493.89"/>
    <n v="0"/>
    <n v="176493.89"/>
    <x v="0"/>
    <x v="0"/>
    <x v="0"/>
    <x v="0"/>
    <x v="0"/>
  </r>
  <r>
    <x v="0"/>
    <x v="0"/>
    <x v="0"/>
    <x v="0"/>
    <x v="0"/>
    <x v="2"/>
    <x v="2"/>
    <n v="19552"/>
    <s v="890903938"/>
    <s v="BANCOLOMBIA S.A."/>
    <s v="201901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450-00  BANCOLOMBIA"/>
    <n v="238606"/>
    <n v="0"/>
    <n v="238606"/>
    <x v="0"/>
    <x v="0"/>
    <x v="0"/>
    <n v="238606"/>
    <n v="0"/>
    <n v="238606"/>
    <x v="0"/>
    <x v="0"/>
    <x v="0"/>
    <n v="238606"/>
    <n v="0"/>
    <n v="238606"/>
    <x v="0"/>
    <x v="0"/>
    <x v="0"/>
    <x v="0"/>
    <x v="0"/>
  </r>
  <r>
    <x v="0"/>
    <x v="0"/>
    <x v="0"/>
    <x v="0"/>
    <x v="0"/>
    <x v="2"/>
    <x v="2"/>
    <n v="19553"/>
    <s v="890903938"/>
    <s v="BANCOLOMBIA S.A."/>
    <s v="201901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MES DE ENERO DEL 2018- OBLIGACION  195962"/>
    <n v="315503"/>
    <n v="0"/>
    <n v="315503"/>
    <x v="0"/>
    <x v="0"/>
    <x v="0"/>
    <n v="315503"/>
    <n v="0"/>
    <n v="315503"/>
    <x v="0"/>
    <x v="0"/>
    <x v="0"/>
    <n v="315503"/>
    <n v="0"/>
    <n v="315503"/>
    <x v="0"/>
    <x v="0"/>
    <x v="0"/>
    <x v="0"/>
    <x v="0"/>
  </r>
  <r>
    <x v="0"/>
    <x v="0"/>
    <x v="0"/>
    <x v="0"/>
    <x v="0"/>
    <x v="2"/>
    <x v="2"/>
    <n v="19554"/>
    <s v="890903938"/>
    <s v="BANCOLOMBIA S.A."/>
    <s v="201901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CUOTA MES DE ENERO"/>
    <n v="70998"/>
    <n v="0"/>
    <n v="70998"/>
    <x v="0"/>
    <x v="0"/>
    <x v="0"/>
    <n v="70998"/>
    <n v="0"/>
    <n v="70998"/>
    <x v="0"/>
    <x v="0"/>
    <x v="0"/>
    <n v="70998"/>
    <n v="0"/>
    <n v="70998"/>
    <x v="0"/>
    <x v="0"/>
    <x v="0"/>
    <x v="0"/>
    <x v="0"/>
  </r>
  <r>
    <x v="0"/>
    <x v="0"/>
    <x v="0"/>
    <x v="0"/>
    <x v="0"/>
    <x v="2"/>
    <x v="2"/>
    <n v="19613"/>
    <s v="890903938"/>
    <s v="BANCOLOMBIA S.A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"/>
    <n v="1042149"/>
    <n v="0"/>
    <n v="1042149"/>
    <x v="0"/>
    <x v="0"/>
    <x v="0"/>
    <n v="1042149"/>
    <n v="0"/>
    <n v="1042149"/>
    <x v="0"/>
    <x v="0"/>
    <x v="0"/>
    <n v="1042149"/>
    <n v="0"/>
    <n v="1042149"/>
    <x v="0"/>
    <x v="0"/>
    <x v="0"/>
    <x v="0"/>
    <x v="0"/>
  </r>
  <r>
    <x v="0"/>
    <x v="0"/>
    <x v="0"/>
    <x v="0"/>
    <x v="0"/>
    <x v="2"/>
    <x v="2"/>
    <n v="19599"/>
    <s v="890903938"/>
    <s v="BANCOLOMBIA S.A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8263  BANCOLOMBIA"/>
    <n v="2746275"/>
    <n v="0"/>
    <n v="2746275"/>
    <x v="0"/>
    <x v="0"/>
    <x v="0"/>
    <n v="2746275"/>
    <n v="0"/>
    <n v="2746275"/>
    <x v="0"/>
    <x v="0"/>
    <x v="0"/>
    <n v="2746275"/>
    <n v="0"/>
    <n v="2746275"/>
    <x v="0"/>
    <x v="0"/>
    <x v="0"/>
    <x v="0"/>
    <x v="0"/>
  </r>
  <r>
    <x v="0"/>
    <x v="0"/>
    <x v="0"/>
    <x v="0"/>
    <x v="0"/>
    <x v="2"/>
    <x v="2"/>
    <n v="19600"/>
    <s v="890903938"/>
    <s v="BANCOLOMBIA S.A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598 BANCOLOMBIA"/>
    <n v="62500"/>
    <n v="0"/>
    <n v="62500"/>
    <x v="0"/>
    <x v="0"/>
    <x v="0"/>
    <n v="62500"/>
    <n v="0"/>
    <n v="62500"/>
    <x v="0"/>
    <x v="0"/>
    <x v="0"/>
    <n v="62500"/>
    <n v="0"/>
    <n v="62500"/>
    <x v="0"/>
    <x v="0"/>
    <x v="0"/>
    <x v="0"/>
    <x v="0"/>
  </r>
  <r>
    <x v="0"/>
    <x v="0"/>
    <x v="0"/>
    <x v="0"/>
    <x v="0"/>
    <x v="2"/>
    <x v="2"/>
    <n v="19628"/>
    <s v="890300279"/>
    <s v="BANCO DE OCCIDENTE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34221 BANCO DE OCCIDENTE ( CUOTA DOBLE EN ENERO 2019)"/>
    <n v="176196"/>
    <n v="0"/>
    <n v="176196"/>
    <x v="0"/>
    <x v="0"/>
    <x v="0"/>
    <n v="176196"/>
    <n v="0"/>
    <n v="176196"/>
    <x v="0"/>
    <x v="0"/>
    <x v="0"/>
    <n v="176196"/>
    <n v="0"/>
    <n v="176196"/>
    <x v="0"/>
    <x v="0"/>
    <x v="0"/>
    <x v="0"/>
    <x v="0"/>
  </r>
  <r>
    <x v="0"/>
    <x v="0"/>
    <x v="0"/>
    <x v="0"/>
    <x v="0"/>
    <x v="2"/>
    <x v="2"/>
    <n v="19629"/>
    <s v="890300279"/>
    <s v="BANCO DE OCCIDENTE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39578  BANCO DE OCCIDENTE ( CUOTA DOBLE EN ENERO 2019)"/>
    <n v="811915"/>
    <n v="0"/>
    <n v="811915"/>
    <x v="0"/>
    <x v="0"/>
    <x v="0"/>
    <n v="811915"/>
    <n v="0"/>
    <n v="811915"/>
    <x v="0"/>
    <x v="0"/>
    <x v="0"/>
    <n v="811915"/>
    <n v="0"/>
    <n v="811915"/>
    <x v="0"/>
    <x v="0"/>
    <x v="0"/>
    <x v="0"/>
    <x v="0"/>
  </r>
  <r>
    <x v="0"/>
    <x v="0"/>
    <x v="0"/>
    <x v="0"/>
    <x v="0"/>
    <x v="2"/>
    <x v="2"/>
    <n v="19632"/>
    <s v="890300279"/>
    <s v="BANCO DE OCCIDENTE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39578  BANCO DE OCCIDENTE ( CUOTA X 2 DOBLE EN ENERO 2019)"/>
    <n v="811915"/>
    <n v="0"/>
    <n v="811915"/>
    <x v="0"/>
    <x v="0"/>
    <x v="0"/>
    <n v="811915"/>
    <n v="0"/>
    <n v="811915"/>
    <x v="0"/>
    <x v="0"/>
    <x v="0"/>
    <n v="811915"/>
    <n v="0"/>
    <n v="811915"/>
    <x v="0"/>
    <x v="0"/>
    <x v="0"/>
    <x v="0"/>
    <x v="0"/>
  </r>
  <r>
    <x v="1"/>
    <x v="0"/>
    <x v="0"/>
    <x v="0"/>
    <x v="0"/>
    <x v="2"/>
    <x v="2"/>
    <n v="19602"/>
    <s v="860035827"/>
    <s v="BANCO AV VILLAS"/>
    <s v="201902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527366 -7"/>
    <n v="1362153"/>
    <n v="0"/>
    <n v="1362153"/>
    <x v="0"/>
    <x v="0"/>
    <x v="0"/>
    <n v="1362153"/>
    <n v="0"/>
    <n v="1362153"/>
    <x v="0"/>
    <x v="0"/>
    <x v="0"/>
    <n v="1362153"/>
    <n v="0"/>
    <n v="1362153"/>
    <x v="0"/>
    <x v="0"/>
    <x v="0"/>
    <x v="0"/>
    <x v="0"/>
  </r>
  <r>
    <x v="1"/>
    <x v="0"/>
    <x v="0"/>
    <x v="0"/>
    <x v="0"/>
    <x v="2"/>
    <x v="2"/>
    <n v="19603"/>
    <s v="860035827"/>
    <s v="BANCO AV VILLAS"/>
    <s v="201902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459791-4 -7"/>
    <n v="814729"/>
    <n v="0"/>
    <n v="814729"/>
    <x v="0"/>
    <x v="0"/>
    <x v="0"/>
    <n v="814729"/>
    <n v="0"/>
    <n v="814729"/>
    <x v="0"/>
    <x v="0"/>
    <x v="0"/>
    <n v="814729"/>
    <n v="0"/>
    <n v="814729"/>
    <x v="0"/>
    <x v="0"/>
    <x v="0"/>
    <x v="0"/>
    <x v="0"/>
  </r>
  <r>
    <x v="1"/>
    <x v="0"/>
    <x v="0"/>
    <x v="0"/>
    <x v="0"/>
    <x v="2"/>
    <x v="2"/>
    <n v="19605"/>
    <s v="860035827"/>
    <s v="BANCO AV VILLAS"/>
    <s v="201902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277483-7"/>
    <n v="365269"/>
    <n v="0"/>
    <n v="365269"/>
    <x v="0"/>
    <x v="0"/>
    <x v="0"/>
    <n v="365269"/>
    <n v="0"/>
    <n v="365269"/>
    <x v="0"/>
    <x v="0"/>
    <x v="0"/>
    <n v="365269"/>
    <n v="0"/>
    <n v="365269"/>
    <x v="0"/>
    <x v="0"/>
    <x v="0"/>
    <x v="0"/>
    <x v="0"/>
  </r>
  <r>
    <x v="1"/>
    <x v="0"/>
    <x v="0"/>
    <x v="0"/>
    <x v="0"/>
    <x v="2"/>
    <x v="2"/>
    <n v="19597"/>
    <s v="860035827"/>
    <s v="BANCO AV VILLAS"/>
    <s v="201902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8138-3 AV VILLAS"/>
    <n v="32322"/>
    <n v="0"/>
    <n v="32322"/>
    <x v="0"/>
    <x v="0"/>
    <x v="0"/>
    <n v="32322"/>
    <n v="0"/>
    <n v="32322"/>
    <x v="0"/>
    <x v="0"/>
    <x v="0"/>
    <n v="32322"/>
    <n v="0"/>
    <n v="32322"/>
    <x v="0"/>
    <x v="0"/>
    <x v="0"/>
    <x v="0"/>
    <x v="0"/>
  </r>
  <r>
    <x v="1"/>
    <x v="0"/>
    <x v="0"/>
    <x v="0"/>
    <x v="0"/>
    <x v="2"/>
    <x v="2"/>
    <n v="19614"/>
    <s v="860002964"/>
    <s v="BANCO DE BOGOTA S.A."/>
    <s v="201902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3912 BANCO DE BOGOTA"/>
    <n v="162543.9"/>
    <n v="0"/>
    <n v="162543.9"/>
    <x v="0"/>
    <x v="0"/>
    <x v="0"/>
    <n v="162543.9"/>
    <n v="0"/>
    <n v="162543.9"/>
    <x v="0"/>
    <x v="0"/>
    <x v="0"/>
    <n v="162543.9"/>
    <n v="0"/>
    <n v="162543.9"/>
    <x v="0"/>
    <x v="0"/>
    <x v="0"/>
    <x v="0"/>
    <x v="0"/>
  </r>
  <r>
    <x v="1"/>
    <x v="0"/>
    <x v="0"/>
    <x v="0"/>
    <x v="0"/>
    <x v="2"/>
    <x v="2"/>
    <n v="19616"/>
    <s v="890903938"/>
    <s v="BANCOLOMBIA S.A."/>
    <s v="201902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88263  BANCOLOMBIA"/>
    <n v="2618389"/>
    <n v="0"/>
    <n v="2618389"/>
    <x v="0"/>
    <x v="0"/>
    <x v="0"/>
    <n v="2618389"/>
    <n v="0"/>
    <n v="2618389"/>
    <x v="0"/>
    <x v="0"/>
    <x v="0"/>
    <n v="2618389"/>
    <n v="0"/>
    <n v="2618389"/>
    <x v="0"/>
    <x v="0"/>
    <x v="0"/>
    <x v="0"/>
    <x v="0"/>
  </r>
  <r>
    <x v="1"/>
    <x v="0"/>
    <x v="0"/>
    <x v="0"/>
    <x v="0"/>
    <x v="2"/>
    <x v="2"/>
    <n v="19652"/>
    <s v="860007660"/>
    <s v="HELM BANK S.A."/>
    <s v="20190213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4225 HELM BANCK- GASTO DE AMAZON DENNY SANCHEZ"/>
    <n v="18395.36"/>
    <n v="0"/>
    <n v="18395.36"/>
    <x v="0"/>
    <x v="0"/>
    <x v="0"/>
    <n v="18395.36"/>
    <n v="0"/>
    <n v="18395.36"/>
    <x v="0"/>
    <x v="0"/>
    <x v="0"/>
    <n v="18395.36"/>
    <n v="0"/>
    <n v="18395.36"/>
    <x v="0"/>
    <x v="0"/>
    <x v="0"/>
    <x v="0"/>
    <x v="0"/>
  </r>
  <r>
    <x v="1"/>
    <x v="0"/>
    <x v="0"/>
    <x v="0"/>
    <x v="0"/>
    <x v="2"/>
    <x v="2"/>
    <n v="19666"/>
    <s v="890903938"/>
    <s v="BANCOLOMBIA S.A."/>
    <s v="2019021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BANCOLOMBIA CUOTA 26"/>
    <n v="304422"/>
    <n v="0"/>
    <n v="304422"/>
    <x v="0"/>
    <x v="0"/>
    <x v="0"/>
    <n v="304422"/>
    <n v="0"/>
    <n v="304422"/>
    <x v="0"/>
    <x v="0"/>
    <x v="0"/>
    <n v="304422"/>
    <n v="0"/>
    <n v="304422"/>
    <x v="0"/>
    <x v="0"/>
    <x v="0"/>
    <x v="0"/>
    <x v="0"/>
  </r>
  <r>
    <x v="1"/>
    <x v="0"/>
    <x v="0"/>
    <x v="0"/>
    <x v="0"/>
    <x v="12"/>
    <x v="12"/>
    <n v="6883"/>
    <s v="860035827"/>
    <s v="BANCO AV VILLAS"/>
    <s v="2019022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CREDITO 002527366-7"/>
    <n v="9800"/>
    <n v="0"/>
    <n v="9800"/>
    <x v="0"/>
    <x v="0"/>
    <x v="0"/>
    <n v="9800"/>
    <n v="0"/>
    <n v="9800"/>
    <x v="0"/>
    <x v="0"/>
    <x v="0"/>
    <n v="9800"/>
    <n v="0"/>
    <n v="9800"/>
    <x v="0"/>
    <x v="0"/>
    <x v="0"/>
    <x v="0"/>
    <x v="0"/>
  </r>
  <r>
    <x v="1"/>
    <x v="0"/>
    <x v="0"/>
    <x v="0"/>
    <x v="0"/>
    <x v="2"/>
    <x v="2"/>
    <n v="19763"/>
    <s v="890903938"/>
    <s v="BANCOLOMBIA S.A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 CUOTA FEB CREDITO CESANTIAS -"/>
    <n v="31717.31"/>
    <n v="0"/>
    <n v="31717.31"/>
    <x v="0"/>
    <x v="0"/>
    <x v="0"/>
    <n v="31717.31"/>
    <n v="0"/>
    <n v="31717.31"/>
    <x v="0"/>
    <x v="0"/>
    <x v="0"/>
    <n v="31717.31"/>
    <n v="0"/>
    <n v="31717.31"/>
    <x v="0"/>
    <x v="0"/>
    <x v="0"/>
    <x v="0"/>
    <x v="0"/>
  </r>
  <r>
    <x v="1"/>
    <x v="0"/>
    <x v="0"/>
    <x v="0"/>
    <x v="0"/>
    <x v="2"/>
    <x v="2"/>
    <n v="19764"/>
    <s v="890903938"/>
    <s v="BANCOLOMBIA S.A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FEB CREDITO 9670084268"/>
    <n v="1006853"/>
    <n v="0"/>
    <n v="1006853"/>
    <x v="0"/>
    <x v="0"/>
    <x v="0"/>
    <n v="1006853"/>
    <n v="0"/>
    <n v="1006853"/>
    <x v="0"/>
    <x v="0"/>
    <x v="0"/>
    <n v="1006853"/>
    <n v="0"/>
    <n v="1006853"/>
    <x v="0"/>
    <x v="0"/>
    <x v="0"/>
    <x v="0"/>
    <x v="0"/>
  </r>
  <r>
    <x v="1"/>
    <x v="0"/>
    <x v="0"/>
    <x v="0"/>
    <x v="0"/>
    <x v="2"/>
    <x v="2"/>
    <n v="19774"/>
    <s v="890300279"/>
    <s v="BANCO DE OCCIDENTE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NI 19662 - SE CORRIGEN CUENTAS CONTABLES"/>
    <n v="0"/>
    <n v="811915"/>
    <n v="-811915"/>
    <x v="0"/>
    <x v="0"/>
    <x v="0"/>
    <n v="0"/>
    <n v="811915"/>
    <n v="-811915"/>
    <x v="0"/>
    <x v="0"/>
    <x v="0"/>
    <n v="0"/>
    <n v="811915"/>
    <n v="-811915"/>
    <x v="0"/>
    <x v="0"/>
    <x v="0"/>
    <x v="0"/>
    <x v="0"/>
  </r>
  <r>
    <x v="1"/>
    <x v="0"/>
    <x v="0"/>
    <x v="0"/>
    <x v="0"/>
    <x v="2"/>
    <x v="2"/>
    <n v="19776"/>
    <s v="890300279"/>
    <s v="BANCO DE OCCIDENTE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CREDITO- FEB 2019"/>
    <n v="775198"/>
    <n v="0"/>
    <n v="775198"/>
    <x v="0"/>
    <x v="0"/>
    <x v="0"/>
    <n v="775198"/>
    <n v="0"/>
    <n v="775198"/>
    <x v="0"/>
    <x v="0"/>
    <x v="0"/>
    <n v="775198"/>
    <n v="0"/>
    <n v="775198"/>
    <x v="0"/>
    <x v="0"/>
    <x v="0"/>
    <x v="0"/>
    <x v="0"/>
  </r>
  <r>
    <x v="1"/>
    <x v="0"/>
    <x v="0"/>
    <x v="0"/>
    <x v="0"/>
    <x v="2"/>
    <x v="2"/>
    <n v="19777"/>
    <s v="890300279"/>
    <s v="BANCO DE OCCIDENTE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LEASIGN 180-124073- FEB 2019"/>
    <n v="267844"/>
    <n v="0"/>
    <n v="267844"/>
    <x v="0"/>
    <x v="0"/>
    <x v="0"/>
    <n v="267844"/>
    <n v="0"/>
    <n v="267844"/>
    <x v="0"/>
    <x v="0"/>
    <x v="0"/>
    <n v="267844"/>
    <n v="0"/>
    <n v="267844"/>
    <x v="0"/>
    <x v="0"/>
    <x v="0"/>
    <x v="0"/>
    <x v="0"/>
  </r>
  <r>
    <x v="5"/>
    <x v="0"/>
    <x v="0"/>
    <x v="0"/>
    <x v="0"/>
    <x v="2"/>
    <x v="2"/>
    <n v="19804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CREDITO 13957-8"/>
    <n v="728074"/>
    <n v="0"/>
    <n v="728074"/>
    <x v="0"/>
    <x v="0"/>
    <x v="0"/>
    <n v="728074"/>
    <n v="0"/>
    <n v="728074"/>
    <x v="0"/>
    <x v="0"/>
    <x v="0"/>
    <n v="728074"/>
    <n v="0"/>
    <n v="728074"/>
    <x v="0"/>
    <x v="0"/>
    <x v="0"/>
    <x v="0"/>
    <x v="0"/>
  </r>
  <r>
    <x v="6"/>
    <x v="0"/>
    <x v="0"/>
    <x v="0"/>
    <x v="0"/>
    <x v="11"/>
    <x v="11"/>
    <n v="26223"/>
    <s v="1036930909"/>
    <s v="ALZATE SANCHEZ NATACHA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261 + GASTOS BANCARIOS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6"/>
    <x v="0"/>
    <x v="0"/>
    <x v="0"/>
    <x v="0"/>
    <x v="11"/>
    <x v="11"/>
    <n v="26224"/>
    <s v="1045717933"/>
    <s v="PALMA GUTIERREZ KETTY JANETH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51 + GASTOS BANCARIOS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6"/>
    <x v="0"/>
    <x v="0"/>
    <x v="0"/>
    <x v="0"/>
    <x v="2"/>
    <x v="2"/>
    <n v="20256"/>
    <s v="440000000330"/>
    <s v="BANCOLOMBIA CAYMAN"/>
    <s v="201905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MAYO 2019 (TRM 3357.82)"/>
    <n v="836097.18"/>
    <n v="0"/>
    <n v="836097.18"/>
    <x v="0"/>
    <x v="0"/>
    <x v="0"/>
    <n v="836097.18"/>
    <n v="0"/>
    <n v="836097.18"/>
    <x v="0"/>
    <x v="0"/>
    <x v="0"/>
    <n v="836097.18"/>
    <n v="0"/>
    <n v="836097.18"/>
    <x v="0"/>
    <x v="0"/>
    <x v="0"/>
    <x v="0"/>
    <x v="0"/>
  </r>
  <r>
    <x v="6"/>
    <x v="0"/>
    <x v="0"/>
    <x v="0"/>
    <x v="0"/>
    <x v="2"/>
    <x v="2"/>
    <n v="20257"/>
    <s v="444444477"/>
    <s v="EV4 LIMITED"/>
    <s v="201905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4444477"/>
    <s v="EV4 LIMITE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PAYPAL  -PAGO FC SI-9109 EV4 LIMITED (USD 3515  - TRM 3464.18)  OCA 1466"/>
    <n v="608861"/>
    <n v="0"/>
    <n v="608861"/>
    <x v="0"/>
    <x v="0"/>
    <x v="0"/>
    <n v="608861"/>
    <n v="0"/>
    <n v="608861"/>
    <x v="0"/>
    <x v="0"/>
    <x v="0"/>
    <n v="608861"/>
    <n v="0"/>
    <n v="608861"/>
    <x v="0"/>
    <x v="0"/>
    <x v="0"/>
    <x v="0"/>
    <x v="0"/>
  </r>
  <r>
    <x v="0"/>
    <x v="0"/>
    <x v="0"/>
    <x v="0"/>
    <x v="0"/>
    <x v="2"/>
    <x v="2"/>
    <n v="19526"/>
    <s v="860002964"/>
    <s v="BANCO DE BOGOTA S.A."/>
    <s v="2019010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  - PAGO CREDITO ROTATIVO"/>
    <n v="2578009.7200000002"/>
    <n v="0"/>
    <n v="2578009.7199999997"/>
    <x v="0"/>
    <x v="0"/>
    <x v="0"/>
    <n v="2578009.7200000002"/>
    <n v="0"/>
    <n v="2578009.7199999997"/>
    <x v="0"/>
    <x v="0"/>
    <x v="0"/>
    <n v="2578009.7200000002"/>
    <n v="0"/>
    <n v="2578009.7199999997"/>
    <x v="0"/>
    <x v="0"/>
    <x v="0"/>
    <x v="0"/>
    <x v="0"/>
  </r>
  <r>
    <x v="1"/>
    <x v="0"/>
    <x v="0"/>
    <x v="0"/>
    <x v="0"/>
    <x v="2"/>
    <x v="2"/>
    <n v="19636"/>
    <s v="890300279"/>
    <s v="BANCO DE OCCIDENTE."/>
    <s v="201902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8580  BANCO DE OCCIDENTE CUOTA 1 DE 36"/>
    <n v="278630"/>
    <n v="0"/>
    <n v="278630"/>
    <x v="0"/>
    <x v="0"/>
    <x v="0"/>
    <n v="278630"/>
    <n v="0"/>
    <n v="278630"/>
    <x v="0"/>
    <x v="0"/>
    <x v="0"/>
    <n v="278630"/>
    <n v="0"/>
    <n v="278630"/>
    <x v="0"/>
    <x v="0"/>
    <x v="0"/>
    <x v="0"/>
    <x v="0"/>
  </r>
  <r>
    <x v="1"/>
    <x v="0"/>
    <x v="0"/>
    <x v="0"/>
    <x v="0"/>
    <x v="2"/>
    <x v="2"/>
    <n v="19637"/>
    <s v="890300279"/>
    <s v="BANCO DE OCCIDENTE."/>
    <s v="201902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241-4  BANCO DE OCIDENTE"/>
    <n v="78490"/>
    <n v="0"/>
    <n v="78490"/>
    <x v="0"/>
    <x v="0"/>
    <x v="0"/>
    <n v="78490"/>
    <n v="0"/>
    <n v="78490"/>
    <x v="0"/>
    <x v="0"/>
    <x v="0"/>
    <n v="78490"/>
    <n v="0"/>
    <n v="78490"/>
    <x v="0"/>
    <x v="0"/>
    <x v="0"/>
    <x v="0"/>
    <x v="0"/>
  </r>
  <r>
    <x v="1"/>
    <x v="0"/>
    <x v="0"/>
    <x v="0"/>
    <x v="0"/>
    <x v="2"/>
    <x v="2"/>
    <n v="19638"/>
    <s v="890903938"/>
    <s v="BANCOLOMBIA S.A."/>
    <s v="201902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50  BANCOLOMBIA"/>
    <n v="231025"/>
    <n v="0"/>
    <n v="231025"/>
    <x v="0"/>
    <x v="0"/>
    <x v="0"/>
    <n v="231025"/>
    <n v="0"/>
    <n v="231025"/>
    <x v="0"/>
    <x v="0"/>
    <x v="0"/>
    <n v="231025"/>
    <n v="0"/>
    <n v="231025"/>
    <x v="0"/>
    <x v="0"/>
    <x v="0"/>
    <x v="0"/>
    <x v="0"/>
  </r>
  <r>
    <x v="1"/>
    <x v="0"/>
    <x v="0"/>
    <x v="0"/>
    <x v="0"/>
    <x v="2"/>
    <x v="2"/>
    <n v="19639"/>
    <s v="890903938"/>
    <s v="BANCOLOMBIA S.A."/>
    <s v="201902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 BANCOLOMBIA"/>
    <n v="68019"/>
    <n v="0"/>
    <n v="68019"/>
    <x v="0"/>
    <x v="0"/>
    <x v="0"/>
    <n v="68019"/>
    <n v="0"/>
    <n v="68019"/>
    <x v="0"/>
    <x v="0"/>
    <x v="0"/>
    <n v="68019"/>
    <n v="0"/>
    <n v="68019"/>
    <x v="0"/>
    <x v="0"/>
    <x v="0"/>
    <x v="0"/>
    <x v="0"/>
  </r>
  <r>
    <x v="1"/>
    <x v="0"/>
    <x v="0"/>
    <x v="0"/>
    <x v="0"/>
    <x v="2"/>
    <x v="2"/>
    <n v="19716"/>
    <s v="860002964"/>
    <s v="BANCO DE BOGOTA S.A."/>
    <s v="2019022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284 BANCO DE BOGOTA CUOTA FEBRERO"/>
    <n v="386815.36"/>
    <n v="0"/>
    <n v="386815.36"/>
    <x v="0"/>
    <x v="0"/>
    <x v="0"/>
    <n v="386815.36"/>
    <n v="0"/>
    <n v="386815.36"/>
    <x v="0"/>
    <x v="0"/>
    <x v="0"/>
    <n v="386815.36"/>
    <n v="0"/>
    <n v="386815.36"/>
    <x v="0"/>
    <x v="0"/>
    <x v="0"/>
    <x v="0"/>
    <x v="0"/>
  </r>
  <r>
    <x v="5"/>
    <x v="0"/>
    <x v="0"/>
    <x v="0"/>
    <x v="0"/>
    <x v="2"/>
    <x v="2"/>
    <n v="19795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 VILLAS- CUOTA CREDITO 002459791-4"/>
    <n v="767761"/>
    <n v="0"/>
    <n v="767761"/>
    <x v="0"/>
    <x v="0"/>
    <x v="0"/>
    <n v="767761"/>
    <n v="0"/>
    <n v="767761"/>
    <x v="0"/>
    <x v="0"/>
    <x v="0"/>
    <n v="767761"/>
    <n v="0"/>
    <n v="767761"/>
    <x v="0"/>
    <x v="0"/>
    <x v="0"/>
    <x v="0"/>
    <x v="0"/>
  </r>
  <r>
    <x v="5"/>
    <x v="0"/>
    <x v="0"/>
    <x v="0"/>
    <x v="0"/>
    <x v="2"/>
    <x v="2"/>
    <n v="19796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 VILLAS- CUOTA CREDITO 002565906-3"/>
    <n v="610745"/>
    <n v="0"/>
    <n v="610745"/>
    <x v="0"/>
    <x v="0"/>
    <x v="0"/>
    <n v="610745"/>
    <n v="0"/>
    <n v="610745"/>
    <x v="0"/>
    <x v="0"/>
    <x v="0"/>
    <n v="610745"/>
    <n v="0"/>
    <n v="610745"/>
    <x v="0"/>
    <x v="0"/>
    <x v="0"/>
    <x v="0"/>
    <x v="0"/>
  </r>
  <r>
    <x v="5"/>
    <x v="0"/>
    <x v="0"/>
    <x v="0"/>
    <x v="0"/>
    <x v="2"/>
    <x v="2"/>
    <n v="19797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 VILLAS- CUOTA CREDITO 002460520-1"/>
    <n v="763089"/>
    <n v="0"/>
    <n v="763089"/>
    <x v="0"/>
    <x v="0"/>
    <x v="0"/>
    <n v="763089"/>
    <n v="0"/>
    <n v="763089"/>
    <x v="0"/>
    <x v="0"/>
    <x v="0"/>
    <n v="763089"/>
    <n v="0"/>
    <n v="763089"/>
    <x v="0"/>
    <x v="0"/>
    <x v="0"/>
    <x v="0"/>
    <x v="0"/>
  </r>
  <r>
    <x v="5"/>
    <x v="0"/>
    <x v="0"/>
    <x v="0"/>
    <x v="0"/>
    <x v="2"/>
    <x v="2"/>
    <n v="19798"/>
    <s v="860002964"/>
    <s v="BANCO DE BOGOT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- CUOTA CREDITO 358943912"/>
    <n v="146026.43"/>
    <n v="0"/>
    <n v="146026.43"/>
    <x v="0"/>
    <x v="0"/>
    <x v="0"/>
    <n v="146026.43"/>
    <n v="0"/>
    <n v="146026.43"/>
    <x v="0"/>
    <x v="0"/>
    <x v="0"/>
    <n v="146026.43"/>
    <n v="0"/>
    <n v="146026.43"/>
    <x v="0"/>
    <x v="0"/>
    <x v="0"/>
    <x v="0"/>
    <x v="0"/>
  </r>
  <r>
    <x v="5"/>
    <x v="0"/>
    <x v="0"/>
    <x v="0"/>
    <x v="0"/>
    <x v="2"/>
    <x v="2"/>
    <n v="19799"/>
    <s v="860002964"/>
    <s v="BANCO DE BOGOT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- CUOTA CREDITO 358659284"/>
    <n v="367829"/>
    <n v="0"/>
    <n v="367829"/>
    <x v="0"/>
    <x v="0"/>
    <x v="0"/>
    <n v="367829"/>
    <n v="0"/>
    <n v="367829"/>
    <x v="0"/>
    <x v="0"/>
    <x v="0"/>
    <n v="367829"/>
    <n v="0"/>
    <n v="367829"/>
    <x v="0"/>
    <x v="0"/>
    <x v="0"/>
    <x v="0"/>
    <x v="0"/>
  </r>
  <r>
    <x v="5"/>
    <x v="0"/>
    <x v="0"/>
    <x v="0"/>
    <x v="0"/>
    <x v="2"/>
    <x v="2"/>
    <n v="19800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CREDITO 13422-1"/>
    <n v="146717"/>
    <n v="0"/>
    <n v="146717"/>
    <x v="0"/>
    <x v="0"/>
    <x v="0"/>
    <n v="146717"/>
    <n v="0"/>
    <n v="146717"/>
    <x v="0"/>
    <x v="0"/>
    <x v="0"/>
    <n v="146717"/>
    <n v="0"/>
    <n v="146717"/>
    <x v="0"/>
    <x v="0"/>
    <x v="0"/>
    <x v="0"/>
    <x v="0"/>
  </r>
  <r>
    <x v="5"/>
    <x v="0"/>
    <x v="0"/>
    <x v="0"/>
    <x v="0"/>
    <x v="2"/>
    <x v="2"/>
    <n v="19801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LEASING 180-124073 CUOTA 9/36"/>
    <n v="216028"/>
    <n v="0"/>
    <n v="216028"/>
    <x v="0"/>
    <x v="0"/>
    <x v="0"/>
    <n v="216028"/>
    <n v="0"/>
    <n v="216028"/>
    <x v="0"/>
    <x v="0"/>
    <x v="0"/>
    <n v="216028"/>
    <n v="0"/>
    <n v="216028"/>
    <x v="0"/>
    <x v="0"/>
    <x v="0"/>
    <x v="0"/>
    <x v="0"/>
  </r>
  <r>
    <x v="5"/>
    <x v="0"/>
    <x v="0"/>
    <x v="0"/>
    <x v="0"/>
    <x v="2"/>
    <x v="2"/>
    <n v="19802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REDITO 13241-4"/>
    <n v="0"/>
    <n v="133529"/>
    <n v="-133529"/>
    <x v="0"/>
    <x v="0"/>
    <x v="0"/>
    <n v="0"/>
    <n v="133529"/>
    <n v="-133529"/>
    <x v="0"/>
    <x v="0"/>
    <x v="0"/>
    <n v="0"/>
    <n v="133529"/>
    <n v="-133529"/>
    <x v="0"/>
    <x v="0"/>
    <x v="0"/>
    <x v="0"/>
    <x v="0"/>
  </r>
  <r>
    <x v="5"/>
    <x v="0"/>
    <x v="0"/>
    <x v="0"/>
    <x v="0"/>
    <x v="2"/>
    <x v="2"/>
    <n v="19803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LEASING 180-128580 CUOTA 2/36"/>
    <n v="272480"/>
    <n v="0"/>
    <n v="272480"/>
    <x v="0"/>
    <x v="0"/>
    <x v="0"/>
    <n v="272480"/>
    <n v="0"/>
    <n v="272480"/>
    <x v="0"/>
    <x v="0"/>
    <x v="0"/>
    <n v="272480"/>
    <n v="0"/>
    <n v="272480"/>
    <x v="0"/>
    <x v="0"/>
    <x v="0"/>
    <x v="0"/>
    <x v="0"/>
  </r>
  <r>
    <x v="0"/>
    <x v="0"/>
    <x v="0"/>
    <x v="0"/>
    <x v="0"/>
    <x v="2"/>
    <x v="2"/>
    <n v="19396"/>
    <s v="860035827"/>
    <s v="BANCO AV VILLAS"/>
    <s v="201901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AV VILLAS OBLIG 78138-3 CUOTA MES DE ENERO 2019"/>
    <n v="76777"/>
    <n v="0"/>
    <n v="76777"/>
    <x v="0"/>
    <x v="0"/>
    <x v="0"/>
    <n v="76777"/>
    <n v="0"/>
    <n v="76777"/>
    <x v="0"/>
    <x v="0"/>
    <x v="0"/>
    <n v="76777"/>
    <n v="0"/>
    <n v="76777"/>
    <x v="0"/>
    <x v="0"/>
    <x v="0"/>
    <x v="0"/>
    <x v="0"/>
  </r>
  <r>
    <x v="5"/>
    <x v="0"/>
    <x v="0"/>
    <x v="0"/>
    <x v="0"/>
    <x v="2"/>
    <x v="2"/>
    <n v="19806"/>
    <s v="890903938"/>
    <s v="BANCOLOMBI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- CUOTA CREDITO 88263"/>
    <n v="2484725"/>
    <n v="0"/>
    <n v="2484725"/>
    <x v="0"/>
    <x v="0"/>
    <x v="0"/>
    <n v="2484725"/>
    <n v="0"/>
    <n v="2484725"/>
    <x v="0"/>
    <x v="0"/>
    <x v="0"/>
    <n v="2484725"/>
    <n v="0"/>
    <n v="2484725"/>
    <x v="0"/>
    <x v="0"/>
    <x v="0"/>
    <x v="0"/>
    <x v="0"/>
  </r>
  <r>
    <x v="5"/>
    <x v="0"/>
    <x v="0"/>
    <x v="0"/>
    <x v="0"/>
    <x v="2"/>
    <x v="2"/>
    <n v="19807"/>
    <s v="890903938"/>
    <s v="BANCOLOMBI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- CUOTA CREDITO 85738"/>
    <n v="413612"/>
    <n v="0"/>
    <n v="413612"/>
    <x v="0"/>
    <x v="0"/>
    <x v="0"/>
    <n v="413612"/>
    <n v="0"/>
    <n v="413612"/>
    <x v="0"/>
    <x v="0"/>
    <x v="0"/>
    <n v="413612"/>
    <n v="0"/>
    <n v="413612"/>
    <x v="0"/>
    <x v="0"/>
    <x v="0"/>
    <x v="0"/>
    <x v="0"/>
  </r>
  <r>
    <x v="5"/>
    <x v="0"/>
    <x v="0"/>
    <x v="0"/>
    <x v="0"/>
    <x v="2"/>
    <x v="2"/>
    <n v="19808"/>
    <s v="890903938"/>
    <s v="BANCOLOMBI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- CUOTA CREDITO 84268"/>
    <n v="957944"/>
    <n v="0"/>
    <n v="957944"/>
    <x v="0"/>
    <x v="0"/>
    <x v="0"/>
    <n v="957944"/>
    <n v="0"/>
    <n v="957944"/>
    <x v="0"/>
    <x v="0"/>
    <x v="0"/>
    <n v="957944"/>
    <n v="0"/>
    <n v="957944"/>
    <x v="0"/>
    <x v="0"/>
    <x v="0"/>
    <x v="0"/>
    <x v="0"/>
  </r>
  <r>
    <x v="5"/>
    <x v="0"/>
    <x v="0"/>
    <x v="0"/>
    <x v="0"/>
    <x v="2"/>
    <x v="2"/>
    <n v="19809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AV VILLAS- CUOTA CREDITO 2277483-7"/>
    <n v="3068251"/>
    <n v="0"/>
    <n v="3068251"/>
    <x v="0"/>
    <x v="0"/>
    <x v="0"/>
    <n v="3068251"/>
    <n v="0"/>
    <n v="3068251"/>
    <x v="0"/>
    <x v="0"/>
    <x v="0"/>
    <n v="3068251"/>
    <n v="0"/>
    <n v="3068251"/>
    <x v="0"/>
    <x v="0"/>
    <x v="0"/>
    <x v="0"/>
    <x v="0"/>
  </r>
  <r>
    <x v="5"/>
    <x v="0"/>
    <x v="0"/>
    <x v="0"/>
    <x v="0"/>
    <x v="2"/>
    <x v="2"/>
    <n v="19810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AV VILLAS- CUOTA CREDITO 2527366-7"/>
    <n v="1323134"/>
    <n v="0"/>
    <n v="1323134"/>
    <x v="0"/>
    <x v="0"/>
    <x v="0"/>
    <n v="1323134"/>
    <n v="0"/>
    <n v="1323134"/>
    <x v="0"/>
    <x v="0"/>
    <x v="0"/>
    <n v="1323134"/>
    <n v="0"/>
    <n v="1323134"/>
    <x v="0"/>
    <x v="0"/>
    <x v="0"/>
    <x v="0"/>
    <x v="0"/>
  </r>
  <r>
    <x v="5"/>
    <x v="0"/>
    <x v="0"/>
    <x v="0"/>
    <x v="0"/>
    <x v="2"/>
    <x v="2"/>
    <n v="19844"/>
    <s v="890903938"/>
    <s v="BANCOLOMBIA S.A."/>
    <s v="2019031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0  BANCOLOMBIA"/>
    <n v="223372"/>
    <n v="0"/>
    <n v="223372"/>
    <x v="0"/>
    <x v="0"/>
    <x v="0"/>
    <n v="223372"/>
    <n v="0"/>
    <n v="223372"/>
    <x v="0"/>
    <x v="0"/>
    <x v="0"/>
    <n v="223372"/>
    <n v="0"/>
    <n v="223372"/>
    <x v="0"/>
    <x v="0"/>
    <x v="0"/>
    <x v="0"/>
    <x v="0"/>
  </r>
  <r>
    <x v="5"/>
    <x v="0"/>
    <x v="0"/>
    <x v="0"/>
    <x v="0"/>
    <x v="2"/>
    <x v="2"/>
    <n v="19845"/>
    <s v="890903938"/>
    <s v="BANCOLOMBIA S.A."/>
    <s v="2019031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BANCOLOMBIA  CUOTA 35"/>
    <n v="64751"/>
    <n v="0"/>
    <n v="64751"/>
    <x v="0"/>
    <x v="0"/>
    <x v="0"/>
    <n v="64751"/>
    <n v="0"/>
    <n v="64751"/>
    <x v="0"/>
    <x v="0"/>
    <x v="0"/>
    <n v="64751"/>
    <n v="0"/>
    <n v="64751"/>
    <x v="0"/>
    <x v="0"/>
    <x v="0"/>
    <x v="0"/>
    <x v="0"/>
  </r>
  <r>
    <x v="5"/>
    <x v="0"/>
    <x v="0"/>
    <x v="0"/>
    <x v="0"/>
    <x v="2"/>
    <x v="2"/>
    <n v="19900"/>
    <s v="890903938"/>
    <s v="BANCOLOMBIA S.A."/>
    <s v="2019032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CUOTA 27"/>
    <n v="293229"/>
    <n v="0"/>
    <n v="293229"/>
    <x v="0"/>
    <x v="0"/>
    <x v="0"/>
    <n v="293229"/>
    <n v="0"/>
    <n v="293229"/>
    <x v="0"/>
    <x v="0"/>
    <x v="0"/>
    <n v="293229"/>
    <n v="0"/>
    <n v="293229"/>
    <x v="0"/>
    <x v="0"/>
    <x v="0"/>
    <x v="0"/>
    <x v="0"/>
  </r>
  <r>
    <x v="5"/>
    <x v="0"/>
    <x v="0"/>
    <x v="0"/>
    <x v="0"/>
    <x v="2"/>
    <x v="2"/>
    <n v="19924"/>
    <s v="890903938"/>
    <s v="BANCOLOMBIA S.A."/>
    <s v="201903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4"/>
    <x v="4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- PAGO DE ALOJAMIENTO CLUB 100"/>
    <n v="131130"/>
    <n v="0"/>
    <n v="131130"/>
    <x v="0"/>
    <x v="0"/>
    <x v="0"/>
    <n v="131130"/>
    <n v="0"/>
    <n v="131130"/>
    <x v="0"/>
    <x v="0"/>
    <x v="0"/>
    <n v="131130"/>
    <n v="0"/>
    <n v="131130"/>
    <x v="0"/>
    <x v="0"/>
    <x v="0"/>
    <x v="0"/>
    <x v="0"/>
  </r>
  <r>
    <x v="5"/>
    <x v="0"/>
    <x v="0"/>
    <x v="0"/>
    <x v="0"/>
    <x v="2"/>
    <x v="2"/>
    <n v="19927"/>
    <s v="890903938"/>
    <s v="BANCOLOMBIA S.A."/>
    <s v="201903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BANCOLOMBIA 2581 DOLARES TARJETA DE CREDITO"/>
    <n v="4103.51"/>
    <n v="0"/>
    <n v="4103.51"/>
    <x v="0"/>
    <x v="0"/>
    <x v="0"/>
    <n v="4103.51"/>
    <n v="0"/>
    <n v="4103.51"/>
    <x v="0"/>
    <x v="0"/>
    <x v="0"/>
    <n v="4103.51"/>
    <n v="0"/>
    <n v="4103.51"/>
    <x v="0"/>
    <x v="0"/>
    <x v="0"/>
    <x v="0"/>
    <x v="0"/>
  </r>
  <r>
    <x v="5"/>
    <x v="0"/>
    <x v="0"/>
    <x v="0"/>
    <x v="0"/>
    <x v="2"/>
    <x v="2"/>
    <n v="19931"/>
    <s v="890903938"/>
    <s v="BANCOLOMBIA S.A."/>
    <s v="201903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3015 DOLARES"/>
    <n v="0"/>
    <n v="162828.67000000001"/>
    <n v="-162828.67000000001"/>
    <x v="0"/>
    <x v="0"/>
    <x v="0"/>
    <n v="0"/>
    <n v="162828.67000000001"/>
    <n v="-162828.67000000001"/>
    <x v="0"/>
    <x v="0"/>
    <x v="0"/>
    <n v="0"/>
    <n v="162828.67000000001"/>
    <n v="-162828.67000000001"/>
    <x v="0"/>
    <x v="0"/>
    <x v="0"/>
    <x v="0"/>
    <x v="0"/>
  </r>
  <r>
    <x v="7"/>
    <x v="0"/>
    <x v="0"/>
    <x v="0"/>
    <x v="0"/>
    <x v="2"/>
    <x v="2"/>
    <n v="19937"/>
    <s v="860035827"/>
    <s v="BANCO AV VILLAS"/>
    <s v="2019040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83-7  AV VILLAS"/>
    <n v="2997662"/>
    <n v="0"/>
    <n v="2997662"/>
    <x v="0"/>
    <x v="0"/>
    <x v="0"/>
    <n v="2997662"/>
    <n v="0"/>
    <n v="2997662"/>
    <x v="0"/>
    <x v="0"/>
    <x v="0"/>
    <n v="2997662"/>
    <n v="0"/>
    <n v="2997662"/>
    <x v="0"/>
    <x v="0"/>
    <x v="0"/>
    <x v="0"/>
    <x v="0"/>
  </r>
  <r>
    <x v="7"/>
    <x v="0"/>
    <x v="0"/>
    <x v="0"/>
    <x v="0"/>
    <x v="2"/>
    <x v="2"/>
    <n v="19938"/>
    <s v="860035827"/>
    <s v="BANCO AV VILLAS"/>
    <s v="2019040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66-7  AV VILLAS"/>
    <n v="1299742"/>
    <n v="0"/>
    <n v="1299742"/>
    <x v="0"/>
    <x v="0"/>
    <x v="0"/>
    <n v="1299742"/>
    <n v="0"/>
    <n v="1299742"/>
    <x v="0"/>
    <x v="0"/>
    <x v="0"/>
    <n v="1299742"/>
    <n v="0"/>
    <n v="1299742"/>
    <x v="0"/>
    <x v="0"/>
    <x v="0"/>
    <x v="0"/>
    <x v="0"/>
  </r>
  <r>
    <x v="7"/>
    <x v="0"/>
    <x v="0"/>
    <x v="0"/>
    <x v="0"/>
    <x v="13"/>
    <x v="13"/>
    <n v="135"/>
    <s v="29873536"/>
    <s v="ZUÑIGA CEBALLOS CLAUDIA MARIA"/>
    <s v="201904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AV VILLAS -INTERESSES PRESTAMOS"/>
    <n v="6251"/>
    <n v="0"/>
    <n v="6251"/>
    <x v="0"/>
    <x v="0"/>
    <x v="0"/>
    <n v="6251"/>
    <n v="0"/>
    <n v="6251"/>
    <x v="0"/>
    <x v="0"/>
    <x v="0"/>
    <n v="6251"/>
    <n v="0"/>
    <n v="6251"/>
    <x v="0"/>
    <x v="0"/>
    <x v="0"/>
    <x v="0"/>
    <x v="0"/>
  </r>
  <r>
    <x v="7"/>
    <x v="0"/>
    <x v="0"/>
    <x v="0"/>
    <x v="0"/>
    <x v="2"/>
    <x v="2"/>
    <n v="19954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05450 BANCOLOMBIA CUOTA 16"/>
    <n v="226179"/>
    <n v="0"/>
    <n v="226179"/>
    <x v="0"/>
    <x v="0"/>
    <x v="0"/>
    <n v="226179"/>
    <n v="0"/>
    <n v="226179"/>
    <x v="0"/>
    <x v="0"/>
    <x v="0"/>
    <n v="226179"/>
    <n v="0"/>
    <n v="226179"/>
    <x v="0"/>
    <x v="0"/>
    <x v="0"/>
    <x v="0"/>
    <x v="0"/>
  </r>
  <r>
    <x v="7"/>
    <x v="0"/>
    <x v="0"/>
    <x v="0"/>
    <x v="0"/>
    <x v="2"/>
    <x v="2"/>
    <n v="19956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187498 BANCOLOMBIA CUOTA 36"/>
    <n v="61444"/>
    <n v="0"/>
    <n v="61444"/>
    <x v="0"/>
    <x v="0"/>
    <x v="0"/>
    <n v="61444"/>
    <n v="0"/>
    <n v="61444"/>
    <x v="0"/>
    <x v="0"/>
    <x v="0"/>
    <n v="61444"/>
    <n v="0"/>
    <n v="61444"/>
    <x v="0"/>
    <x v="0"/>
    <x v="0"/>
    <x v="0"/>
    <x v="0"/>
  </r>
  <r>
    <x v="7"/>
    <x v="0"/>
    <x v="0"/>
    <x v="0"/>
    <x v="0"/>
    <x v="2"/>
    <x v="2"/>
    <n v="19957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195962 BANCOLOMBIA CUOTA 28"/>
    <n v="281922"/>
    <n v="0"/>
    <n v="281922"/>
    <x v="0"/>
    <x v="0"/>
    <x v="0"/>
    <n v="281922"/>
    <n v="0"/>
    <n v="281922"/>
    <x v="0"/>
    <x v="0"/>
    <x v="0"/>
    <n v="281922"/>
    <n v="0"/>
    <n v="281922"/>
    <x v="0"/>
    <x v="0"/>
    <x v="0"/>
    <x v="0"/>
    <x v="0"/>
  </r>
  <r>
    <x v="7"/>
    <x v="0"/>
    <x v="0"/>
    <x v="0"/>
    <x v="0"/>
    <x v="2"/>
    <x v="2"/>
    <n v="19961"/>
    <s v="860002964"/>
    <s v="BANCO DE BOGOT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BANCO DE BOGOTA"/>
    <n v="1032798.28"/>
    <n v="0"/>
    <n v="1032798.28"/>
    <x v="0"/>
    <x v="0"/>
    <x v="0"/>
    <n v="1032798.28"/>
    <n v="0"/>
    <n v="1032798.28"/>
    <x v="0"/>
    <x v="0"/>
    <x v="0"/>
    <n v="1032798.28"/>
    <n v="0"/>
    <n v="1032798.28"/>
    <x v="0"/>
    <x v="0"/>
    <x v="0"/>
    <x v="0"/>
    <x v="0"/>
  </r>
  <r>
    <x v="7"/>
    <x v="0"/>
    <x v="0"/>
    <x v="0"/>
    <x v="0"/>
    <x v="2"/>
    <x v="2"/>
    <n v="19962"/>
    <s v="860002964"/>
    <s v="BANCO DE BOGOT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284 BANCO DE BOGOTA"/>
    <n v="367829"/>
    <n v="0"/>
    <n v="367829"/>
    <x v="0"/>
    <x v="0"/>
    <x v="0"/>
    <n v="367829"/>
    <n v="0"/>
    <n v="367829"/>
    <x v="0"/>
    <x v="0"/>
    <x v="0"/>
    <n v="367829"/>
    <n v="0"/>
    <n v="367829"/>
    <x v="0"/>
    <x v="0"/>
    <x v="0"/>
    <x v="0"/>
    <x v="0"/>
  </r>
  <r>
    <x v="7"/>
    <x v="0"/>
    <x v="0"/>
    <x v="0"/>
    <x v="0"/>
    <x v="2"/>
    <x v="2"/>
    <n v="19962"/>
    <s v="860002964"/>
    <s v="BANCO DE BOGOT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284 BANCO DE BOGOTA"/>
    <n v="345540.88"/>
    <n v="0"/>
    <n v="345540.88"/>
    <x v="0"/>
    <x v="0"/>
    <x v="0"/>
    <n v="345540.88"/>
    <n v="0"/>
    <n v="345540.88"/>
    <x v="0"/>
    <x v="0"/>
    <x v="0"/>
    <n v="345540.88"/>
    <n v="0"/>
    <n v="345540.88"/>
    <x v="0"/>
    <x v="0"/>
    <x v="0"/>
    <x v="0"/>
    <x v="0"/>
  </r>
  <r>
    <x v="7"/>
    <x v="0"/>
    <x v="0"/>
    <x v="0"/>
    <x v="0"/>
    <x v="2"/>
    <x v="2"/>
    <n v="19964"/>
    <s v="860035827"/>
    <s v="BANCO AV VILLAS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5906-3 AV VILLAS"/>
    <n v="569638"/>
    <n v="0"/>
    <n v="569638"/>
    <x v="0"/>
    <x v="0"/>
    <x v="0"/>
    <n v="569638"/>
    <n v="0"/>
    <n v="569638"/>
    <x v="0"/>
    <x v="0"/>
    <x v="0"/>
    <n v="569638"/>
    <n v="0"/>
    <n v="569638"/>
    <x v="0"/>
    <x v="0"/>
    <x v="0"/>
    <x v="0"/>
    <x v="0"/>
  </r>
  <r>
    <x v="7"/>
    <x v="0"/>
    <x v="0"/>
    <x v="0"/>
    <x v="0"/>
    <x v="2"/>
    <x v="2"/>
    <n v="19965"/>
    <s v="860035827"/>
    <s v="BANCO AV VILLAS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20-1 AV VILLAS"/>
    <n v="728011"/>
    <n v="0"/>
    <n v="728011"/>
    <x v="0"/>
    <x v="0"/>
    <x v="0"/>
    <n v="728011"/>
    <n v="0"/>
    <n v="728011"/>
    <x v="0"/>
    <x v="0"/>
    <x v="0"/>
    <n v="728011"/>
    <n v="0"/>
    <n v="728011"/>
    <x v="0"/>
    <x v="0"/>
    <x v="0"/>
    <x v="0"/>
    <x v="0"/>
  </r>
  <r>
    <x v="7"/>
    <x v="0"/>
    <x v="0"/>
    <x v="0"/>
    <x v="0"/>
    <x v="2"/>
    <x v="2"/>
    <n v="19966"/>
    <s v="860035827"/>
    <s v="BANCO AV VILLAS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791-4 AV VILLAS"/>
    <n v="729437"/>
    <n v="0"/>
    <n v="729437"/>
    <x v="0"/>
    <x v="0"/>
    <x v="0"/>
    <n v="729437"/>
    <n v="0"/>
    <n v="729437"/>
    <x v="0"/>
    <x v="0"/>
    <x v="0"/>
    <n v="729437"/>
    <n v="0"/>
    <n v="729437"/>
    <x v="0"/>
    <x v="0"/>
    <x v="0"/>
    <x v="0"/>
    <x v="0"/>
  </r>
  <r>
    <x v="7"/>
    <x v="0"/>
    <x v="0"/>
    <x v="0"/>
    <x v="0"/>
    <x v="2"/>
    <x v="2"/>
    <n v="19969"/>
    <s v="890903938"/>
    <s v="BANCOLOMBIA S.A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263  BANCOLOMBIA"/>
    <n v="2341075"/>
    <n v="0"/>
    <n v="2341075"/>
    <x v="0"/>
    <x v="0"/>
    <x v="0"/>
    <n v="2341075"/>
    <n v="0"/>
    <n v="2341075"/>
    <x v="0"/>
    <x v="0"/>
    <x v="0"/>
    <n v="2341075"/>
    <n v="0"/>
    <n v="2341075"/>
    <x v="0"/>
    <x v="0"/>
    <x v="0"/>
    <x v="0"/>
    <x v="0"/>
  </r>
  <r>
    <x v="7"/>
    <x v="0"/>
    <x v="0"/>
    <x v="0"/>
    <x v="0"/>
    <x v="2"/>
    <x v="2"/>
    <n v="19970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LIGACION 3422-1  BANCO DE OCCIDENTE"/>
    <n v="146717"/>
    <n v="0"/>
    <n v="146717"/>
    <x v="0"/>
    <x v="0"/>
    <x v="0"/>
    <n v="146717"/>
    <n v="0"/>
    <n v="146717"/>
    <x v="0"/>
    <x v="0"/>
    <x v="0"/>
    <n v="146717"/>
    <n v="0"/>
    <n v="146717"/>
    <x v="0"/>
    <x v="0"/>
    <x v="0"/>
    <x v="0"/>
    <x v="0"/>
  </r>
  <r>
    <x v="7"/>
    <x v="0"/>
    <x v="0"/>
    <x v="0"/>
    <x v="0"/>
    <x v="2"/>
    <x v="2"/>
    <n v="19972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LIGACION 128580 BANCO DE OCCIDENTE"/>
    <n v="266463"/>
    <n v="0"/>
    <n v="266463"/>
    <x v="0"/>
    <x v="0"/>
    <x v="0"/>
    <n v="266463"/>
    <n v="0"/>
    <n v="266463"/>
    <x v="0"/>
    <x v="0"/>
    <x v="0"/>
    <n v="266463"/>
    <n v="0"/>
    <n v="266463"/>
    <x v="0"/>
    <x v="0"/>
    <x v="0"/>
    <x v="0"/>
    <x v="0"/>
  </r>
  <r>
    <x v="7"/>
    <x v="0"/>
    <x v="0"/>
    <x v="0"/>
    <x v="0"/>
    <x v="2"/>
    <x v="2"/>
    <n v="19973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LIGACION 13957-8  BANCO DE OCCIDENTE"/>
    <n v="681427"/>
    <n v="0"/>
    <n v="681427"/>
    <x v="0"/>
    <x v="0"/>
    <x v="0"/>
    <n v="681427"/>
    <n v="0"/>
    <n v="681427"/>
    <x v="0"/>
    <x v="0"/>
    <x v="0"/>
    <n v="681427"/>
    <n v="0"/>
    <n v="681427"/>
    <x v="0"/>
    <x v="0"/>
    <x v="0"/>
    <x v="0"/>
    <x v="0"/>
  </r>
  <r>
    <x v="7"/>
    <x v="0"/>
    <x v="0"/>
    <x v="0"/>
    <x v="0"/>
    <x v="2"/>
    <x v="2"/>
    <n v="19974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LIGACION 13957-8  BANCO DE OCCIDENTE"/>
    <n v="0"/>
    <n v="146717"/>
    <n v="-146717"/>
    <x v="0"/>
    <x v="0"/>
    <x v="0"/>
    <n v="0"/>
    <n v="146717"/>
    <n v="-146717"/>
    <x v="0"/>
    <x v="0"/>
    <x v="0"/>
    <n v="0"/>
    <n v="146717"/>
    <n v="-146717"/>
    <x v="0"/>
    <x v="0"/>
    <x v="0"/>
    <x v="0"/>
    <x v="0"/>
  </r>
  <r>
    <x v="7"/>
    <x v="0"/>
    <x v="0"/>
    <x v="0"/>
    <x v="0"/>
    <x v="2"/>
    <x v="2"/>
    <n v="19975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422-1 banco de occidente"/>
    <n v="117424"/>
    <n v="0"/>
    <n v="117424"/>
    <x v="0"/>
    <x v="0"/>
    <x v="0"/>
    <n v="117424"/>
    <n v="0"/>
    <n v="117424"/>
    <x v="0"/>
    <x v="0"/>
    <x v="0"/>
    <n v="117424"/>
    <n v="0"/>
    <n v="117424"/>
    <x v="0"/>
    <x v="0"/>
    <x v="0"/>
    <x v="0"/>
    <x v="0"/>
  </r>
  <r>
    <x v="7"/>
    <x v="0"/>
    <x v="0"/>
    <x v="0"/>
    <x v="0"/>
    <x v="2"/>
    <x v="2"/>
    <n v="20040"/>
    <s v="860007660"/>
    <s v="HELM BANK S.A."/>
    <s v="2019042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HELM BANK- INTERES CREDITO ROTATIVO"/>
    <n v="1418552"/>
    <n v="0"/>
    <n v="1418552"/>
    <x v="0"/>
    <x v="0"/>
    <x v="0"/>
    <n v="1418552"/>
    <n v="0"/>
    <n v="1418552"/>
    <x v="0"/>
    <x v="0"/>
    <x v="0"/>
    <n v="1418552"/>
    <n v="0"/>
    <n v="1418552"/>
    <x v="0"/>
    <x v="0"/>
    <x v="0"/>
    <x v="0"/>
    <x v="0"/>
  </r>
  <r>
    <x v="7"/>
    <x v="0"/>
    <x v="0"/>
    <x v="0"/>
    <x v="0"/>
    <x v="2"/>
    <x v="2"/>
    <n v="20068"/>
    <s v="860007660"/>
    <s v="HELM BANK S.A."/>
    <s v="2019043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BONO A ROTATIVO HELM BANK"/>
    <n v="40690.379999999997"/>
    <n v="0"/>
    <n v="40690.379999999997"/>
    <x v="0"/>
    <x v="0"/>
    <x v="0"/>
    <n v="40690.379999999997"/>
    <n v="0"/>
    <n v="40690.379999999997"/>
    <x v="0"/>
    <x v="0"/>
    <x v="0"/>
    <n v="40690.379999999997"/>
    <n v="0"/>
    <n v="40690.379999999997"/>
    <x v="0"/>
    <x v="0"/>
    <x v="0"/>
    <x v="0"/>
    <x v="0"/>
  </r>
  <r>
    <x v="6"/>
    <x v="0"/>
    <x v="0"/>
    <x v="0"/>
    <x v="0"/>
    <x v="2"/>
    <x v="2"/>
    <n v="20095"/>
    <s v="890903938"/>
    <s v="BANCOLOMBI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 BANCOLOMBIA CUOTA 37"/>
    <n v="58430"/>
    <n v="0"/>
    <n v="58430"/>
    <x v="0"/>
    <x v="0"/>
    <x v="0"/>
    <n v="58430"/>
    <n v="0"/>
    <n v="58430"/>
    <x v="0"/>
    <x v="0"/>
    <x v="0"/>
    <n v="58430"/>
    <n v="0"/>
    <n v="58430"/>
    <x v="0"/>
    <x v="0"/>
    <x v="0"/>
    <x v="0"/>
    <x v="0"/>
  </r>
  <r>
    <x v="6"/>
    <x v="0"/>
    <x v="0"/>
    <x v="0"/>
    <x v="0"/>
    <x v="2"/>
    <x v="2"/>
    <n v="20096"/>
    <s v="890903938"/>
    <s v="BANCOLOMBI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50  BANCOLOMBIA CUOTA 37"/>
    <n v="211250"/>
    <n v="0"/>
    <n v="211250"/>
    <x v="0"/>
    <x v="0"/>
    <x v="0"/>
    <n v="211250"/>
    <n v="0"/>
    <n v="211250"/>
    <x v="0"/>
    <x v="0"/>
    <x v="0"/>
    <n v="211250"/>
    <n v="0"/>
    <n v="211250"/>
    <x v="0"/>
    <x v="0"/>
    <x v="0"/>
    <x v="0"/>
    <x v="0"/>
  </r>
  <r>
    <x v="6"/>
    <x v="0"/>
    <x v="0"/>
    <x v="0"/>
    <x v="0"/>
    <x v="2"/>
    <x v="2"/>
    <n v="20097"/>
    <s v="890903938"/>
    <s v="BANCOLOMBI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5738  BANCOLOMBIA CUOTA 37"/>
    <n v="344173"/>
    <n v="0"/>
    <n v="344173"/>
    <x v="0"/>
    <x v="0"/>
    <x v="0"/>
    <n v="344173"/>
    <n v="0"/>
    <n v="344173"/>
    <x v="0"/>
    <x v="0"/>
    <x v="0"/>
    <n v="344173"/>
    <n v="0"/>
    <n v="344173"/>
    <x v="0"/>
    <x v="0"/>
    <x v="0"/>
    <x v="0"/>
    <x v="0"/>
  </r>
  <r>
    <x v="6"/>
    <x v="0"/>
    <x v="0"/>
    <x v="0"/>
    <x v="0"/>
    <x v="2"/>
    <x v="2"/>
    <n v="20098"/>
    <s v="890903938"/>
    <s v="BANCOLOMBI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268 BANCOLOMBIA CUOTA 37"/>
    <n v="857841"/>
    <n v="0"/>
    <n v="857841"/>
    <x v="0"/>
    <x v="0"/>
    <x v="0"/>
    <n v="857841"/>
    <n v="0"/>
    <n v="857841"/>
    <x v="0"/>
    <x v="0"/>
    <x v="0"/>
    <n v="857841"/>
    <n v="0"/>
    <n v="857841"/>
    <x v="0"/>
    <x v="0"/>
    <x v="0"/>
    <x v="0"/>
    <x v="0"/>
  </r>
  <r>
    <x v="6"/>
    <x v="0"/>
    <x v="0"/>
    <x v="0"/>
    <x v="0"/>
    <x v="2"/>
    <x v="2"/>
    <n v="20103"/>
    <s v="890300279"/>
    <s v="BANCO DE OCCIDENTE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24073  BANCO DE OCCIDENTE"/>
    <n v="203722"/>
    <n v="0"/>
    <n v="203722"/>
    <x v="0"/>
    <x v="0"/>
    <x v="0"/>
    <n v="203722"/>
    <n v="0"/>
    <n v="203722"/>
    <x v="0"/>
    <x v="0"/>
    <x v="0"/>
    <n v="203722"/>
    <n v="0"/>
    <n v="203722"/>
    <x v="0"/>
    <x v="0"/>
    <x v="0"/>
    <x v="0"/>
    <x v="0"/>
  </r>
  <r>
    <x v="6"/>
    <x v="0"/>
    <x v="0"/>
    <x v="0"/>
    <x v="0"/>
    <x v="2"/>
    <x v="2"/>
    <n v="20104"/>
    <s v="890300279"/>
    <s v="BANCO DE OCCIDENTE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24073  BANCO DE OCCIDENTE"/>
    <n v="260402"/>
    <n v="0"/>
    <n v="260402"/>
    <x v="0"/>
    <x v="0"/>
    <x v="0"/>
    <n v="260402"/>
    <n v="0"/>
    <n v="260402"/>
    <x v="0"/>
    <x v="0"/>
    <x v="0"/>
    <n v="260402"/>
    <n v="0"/>
    <n v="260402"/>
    <x v="0"/>
    <x v="0"/>
    <x v="0"/>
    <x v="0"/>
    <x v="0"/>
  </r>
  <r>
    <x v="6"/>
    <x v="0"/>
    <x v="0"/>
    <x v="0"/>
    <x v="0"/>
    <x v="2"/>
    <x v="2"/>
    <n v="20112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0520-1  AV VILLAS"/>
    <n v="670238"/>
    <n v="0"/>
    <n v="670238"/>
    <x v="0"/>
    <x v="0"/>
    <x v="0"/>
    <n v="670238"/>
    <n v="0"/>
    <n v="670238"/>
    <x v="0"/>
    <x v="0"/>
    <x v="0"/>
    <n v="670238"/>
    <n v="0"/>
    <n v="670238"/>
    <x v="0"/>
    <x v="0"/>
    <x v="0"/>
    <x v="0"/>
    <x v="0"/>
  </r>
  <r>
    <x v="6"/>
    <x v="0"/>
    <x v="0"/>
    <x v="0"/>
    <x v="0"/>
    <x v="11"/>
    <x v="11"/>
    <n v="26218"/>
    <s v="1098657994"/>
    <s v="HERNANDEZ ROJAS JOHN EDISON"/>
    <s v="201905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3+ GASTOS BANCARIOS"/>
    <n v="6768"/>
    <n v="0"/>
    <n v="6768"/>
    <x v="0"/>
    <x v="0"/>
    <x v="0"/>
    <n v="6768"/>
    <n v="0"/>
    <n v="6768"/>
    <x v="0"/>
    <x v="0"/>
    <x v="0"/>
    <n v="6768"/>
    <n v="0"/>
    <n v="6768"/>
    <x v="0"/>
    <x v="0"/>
    <x v="0"/>
    <x v="0"/>
    <x v="0"/>
  </r>
  <r>
    <x v="7"/>
    <x v="0"/>
    <x v="0"/>
    <x v="0"/>
    <x v="0"/>
    <x v="2"/>
    <x v="2"/>
    <n v="19952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268  BANCOLOMBAI"/>
    <n v="917340"/>
    <n v="0"/>
    <n v="917340"/>
    <x v="0"/>
    <x v="0"/>
    <x v="0"/>
    <n v="917340"/>
    <n v="0"/>
    <n v="917340"/>
    <x v="0"/>
    <x v="0"/>
    <x v="0"/>
    <n v="917340"/>
    <n v="0"/>
    <n v="917340"/>
    <x v="0"/>
    <x v="0"/>
    <x v="0"/>
    <x v="0"/>
    <x v="0"/>
  </r>
  <r>
    <x v="7"/>
    <x v="0"/>
    <x v="0"/>
    <x v="0"/>
    <x v="0"/>
    <x v="2"/>
    <x v="2"/>
    <n v="19953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 85738 BANCOLOMBIA"/>
    <n v="386396"/>
    <n v="0"/>
    <n v="386396"/>
    <x v="0"/>
    <x v="0"/>
    <x v="0"/>
    <n v="386396"/>
    <n v="0"/>
    <n v="386396"/>
    <x v="0"/>
    <x v="0"/>
    <x v="0"/>
    <n v="386396"/>
    <n v="0"/>
    <n v="386396"/>
    <x v="0"/>
    <x v="0"/>
    <x v="0"/>
    <x v="0"/>
    <x v="0"/>
  </r>
  <r>
    <x v="7"/>
    <x v="0"/>
    <x v="0"/>
    <x v="0"/>
    <x v="0"/>
    <x v="2"/>
    <x v="2"/>
    <n v="19990"/>
    <s v="860007660"/>
    <s v="HELM BANK S.A."/>
    <s v="201904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E CREDITO MES DE MARZO HELM"/>
    <n v="211023.33"/>
    <n v="0"/>
    <n v="211023.33000000002"/>
    <x v="0"/>
    <x v="0"/>
    <x v="0"/>
    <n v="211023.33"/>
    <n v="0"/>
    <n v="211023.33000000002"/>
    <x v="0"/>
    <x v="0"/>
    <x v="0"/>
    <n v="211023.33"/>
    <n v="0"/>
    <n v="211023.33000000002"/>
    <x v="0"/>
    <x v="0"/>
    <x v="0"/>
    <x v="0"/>
    <x v="0"/>
  </r>
  <r>
    <x v="6"/>
    <x v="0"/>
    <x v="0"/>
    <x v="0"/>
    <x v="0"/>
    <x v="2"/>
    <x v="2"/>
    <n v="20106"/>
    <s v="890300279"/>
    <s v="BANCO DE OCCIDENTE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57-8  BANCO DE OCCIDENTE"/>
    <n v="640986"/>
    <n v="0"/>
    <n v="640986"/>
    <x v="0"/>
    <x v="0"/>
    <x v="0"/>
    <n v="640986"/>
    <n v="0"/>
    <n v="640986"/>
    <x v="0"/>
    <x v="0"/>
    <x v="0"/>
    <n v="640986"/>
    <n v="0"/>
    <n v="640986"/>
    <x v="0"/>
    <x v="0"/>
    <x v="0"/>
    <x v="0"/>
    <x v="0"/>
  </r>
  <r>
    <x v="6"/>
    <x v="0"/>
    <x v="0"/>
    <x v="0"/>
    <x v="0"/>
    <x v="2"/>
    <x v="2"/>
    <n v="20108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83-7  AV VILLAS"/>
    <n v="153224"/>
    <n v="0"/>
    <n v="153224"/>
    <x v="0"/>
    <x v="0"/>
    <x v="0"/>
    <n v="153224"/>
    <n v="0"/>
    <n v="153224"/>
    <x v="0"/>
    <x v="0"/>
    <x v="0"/>
    <n v="153224"/>
    <n v="0"/>
    <n v="153224"/>
    <x v="0"/>
    <x v="0"/>
    <x v="0"/>
    <x v="0"/>
    <x v="0"/>
  </r>
  <r>
    <x v="6"/>
    <x v="0"/>
    <x v="0"/>
    <x v="0"/>
    <x v="0"/>
    <x v="2"/>
    <x v="2"/>
    <n v="20109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7366-7  AV VILLAS"/>
    <n v="1225183"/>
    <n v="0"/>
    <n v="1225183"/>
    <x v="0"/>
    <x v="0"/>
    <x v="0"/>
    <n v="1225183"/>
    <n v="0"/>
    <n v="1225183"/>
    <x v="0"/>
    <x v="0"/>
    <x v="0"/>
    <n v="1225183"/>
    <n v="0"/>
    <n v="1225183"/>
    <x v="0"/>
    <x v="0"/>
    <x v="0"/>
    <x v="0"/>
    <x v="0"/>
  </r>
  <r>
    <x v="6"/>
    <x v="0"/>
    <x v="0"/>
    <x v="0"/>
    <x v="0"/>
    <x v="2"/>
    <x v="2"/>
    <n v="20110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 AV VILLAS"/>
    <n v="673683"/>
    <n v="0"/>
    <n v="673683"/>
    <x v="0"/>
    <x v="0"/>
    <x v="0"/>
    <n v="673683"/>
    <n v="0"/>
    <n v="673683"/>
    <x v="0"/>
    <x v="0"/>
    <x v="0"/>
    <n v="673683"/>
    <n v="0"/>
    <n v="673683"/>
    <x v="0"/>
    <x v="0"/>
    <x v="0"/>
    <x v="0"/>
    <x v="0"/>
  </r>
  <r>
    <x v="6"/>
    <x v="0"/>
    <x v="0"/>
    <x v="0"/>
    <x v="0"/>
    <x v="2"/>
    <x v="2"/>
    <n v="20113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06-3 AV VILLAS"/>
    <n v="506107"/>
    <n v="0"/>
    <n v="506107"/>
    <x v="0"/>
    <x v="0"/>
    <x v="0"/>
    <n v="506107"/>
    <n v="0"/>
    <n v="506107"/>
    <x v="0"/>
    <x v="0"/>
    <x v="0"/>
    <n v="506107"/>
    <n v="0"/>
    <n v="506107"/>
    <x v="0"/>
    <x v="0"/>
    <x v="0"/>
    <x v="0"/>
    <x v="0"/>
  </r>
  <r>
    <x v="6"/>
    <x v="0"/>
    <x v="0"/>
    <x v="0"/>
    <x v="0"/>
    <x v="2"/>
    <x v="2"/>
    <n v="20115"/>
    <s v="860002964"/>
    <s v="BANCO DE BOGOT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BANCO DE BOGOTA"/>
    <n v="113070.51"/>
    <n v="0"/>
    <n v="113070.51000000001"/>
    <x v="0"/>
    <x v="0"/>
    <x v="0"/>
    <n v="113070.51"/>
    <n v="0"/>
    <n v="113070.51000000001"/>
    <x v="0"/>
    <x v="0"/>
    <x v="0"/>
    <n v="113070.51"/>
    <n v="0"/>
    <n v="113070.51000000001"/>
    <x v="0"/>
    <x v="0"/>
    <x v="0"/>
    <x v="0"/>
    <x v="0"/>
  </r>
  <r>
    <x v="6"/>
    <x v="0"/>
    <x v="0"/>
    <x v="0"/>
    <x v="0"/>
    <x v="2"/>
    <x v="2"/>
    <n v="20159"/>
    <s v="890903938"/>
    <s v="BANCOLOMBIA S.A."/>
    <s v="201905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 OBLIGACION 8263"/>
    <n v="2223174"/>
    <n v="0"/>
    <n v="2223174"/>
    <x v="0"/>
    <x v="0"/>
    <x v="0"/>
    <n v="2223174"/>
    <n v="0"/>
    <n v="2223174"/>
    <x v="0"/>
    <x v="0"/>
    <x v="0"/>
    <n v="2223174"/>
    <n v="0"/>
    <n v="2223174"/>
    <x v="0"/>
    <x v="0"/>
    <x v="0"/>
    <x v="0"/>
    <x v="0"/>
  </r>
  <r>
    <x v="6"/>
    <x v="0"/>
    <x v="0"/>
    <x v="0"/>
    <x v="0"/>
    <x v="2"/>
    <x v="2"/>
    <n v="20211"/>
    <s v="860002964"/>
    <s v="BANCO DE BOGOTA S.A."/>
    <s v="2019052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659284   BANCO DE BOGOTA"/>
    <n v="328522.71999999997"/>
    <n v="0"/>
    <n v="328522.72000000003"/>
    <x v="0"/>
    <x v="0"/>
    <x v="0"/>
    <n v="328522.71999999997"/>
    <n v="0"/>
    <n v="328522.72000000003"/>
    <x v="0"/>
    <x v="0"/>
    <x v="0"/>
    <n v="328522.71999999997"/>
    <n v="0"/>
    <n v="328522.72000000003"/>
    <x v="0"/>
    <x v="0"/>
    <x v="0"/>
    <x v="0"/>
    <x v="0"/>
  </r>
  <r>
    <x v="6"/>
    <x v="0"/>
    <x v="0"/>
    <x v="0"/>
    <x v="0"/>
    <x v="2"/>
    <x v="2"/>
    <n v="20275"/>
    <s v="890903938"/>
    <s v="BANCOLOMBIA S.A."/>
    <s v="2019053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OBLIGACION 195962- CUOTA 29"/>
    <n v="270500"/>
    <n v="0"/>
    <n v="270500"/>
    <x v="0"/>
    <x v="0"/>
    <x v="0"/>
    <n v="270500"/>
    <n v="0"/>
    <n v="270500"/>
    <x v="0"/>
    <x v="0"/>
    <x v="0"/>
    <n v="270500"/>
    <n v="0"/>
    <n v="270500"/>
    <x v="0"/>
    <x v="0"/>
    <x v="0"/>
    <x v="0"/>
    <x v="0"/>
  </r>
  <r>
    <x v="6"/>
    <x v="0"/>
    <x v="0"/>
    <x v="0"/>
    <x v="0"/>
    <x v="2"/>
    <x v="2"/>
    <n v="20235"/>
    <s v="890300279"/>
    <s v="BANCO DE OCCIDENTE."/>
    <s v="201905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422-1 BANCO DE OCCIDENTE"/>
    <n v="58687"/>
    <n v="0"/>
    <n v="58687"/>
    <x v="0"/>
    <x v="0"/>
    <x v="0"/>
    <n v="58687"/>
    <n v="0"/>
    <n v="58687"/>
    <x v="0"/>
    <x v="0"/>
    <x v="0"/>
    <n v="58687"/>
    <n v="0"/>
    <n v="58687"/>
    <x v="0"/>
    <x v="0"/>
    <x v="0"/>
    <x v="0"/>
    <x v="0"/>
  </r>
  <r>
    <x v="2"/>
    <x v="0"/>
    <x v="0"/>
    <x v="0"/>
    <x v="0"/>
    <x v="2"/>
    <x v="2"/>
    <n v="20316"/>
    <s v="890300279"/>
    <s v="BANCO DE OCCIDENTE."/>
    <s v="20190604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ON CUOTA DE BCO DE OCCIDENTE- PENDIENTES DE MARZO 2019"/>
    <n v="88038"/>
    <n v="0"/>
    <n v="88038"/>
    <x v="0"/>
    <x v="0"/>
    <x v="0"/>
    <n v="88038"/>
    <n v="0"/>
    <n v="88038"/>
    <x v="0"/>
    <x v="0"/>
    <x v="0"/>
    <n v="88038"/>
    <n v="0"/>
    <n v="88038"/>
    <x v="0"/>
    <x v="0"/>
    <x v="0"/>
    <x v="0"/>
    <x v="0"/>
  </r>
  <r>
    <x v="2"/>
    <x v="0"/>
    <x v="0"/>
    <x v="0"/>
    <x v="0"/>
    <x v="2"/>
    <x v="2"/>
    <n v="20323"/>
    <s v="890300279"/>
    <s v="BANCO DE OCCIDENTE."/>
    <s v="20190604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VR ABONADO DE MAS EN CAPITAL SE LLEVA A INTERESES- LEASING OCCIDENTE 124073"/>
    <n v="0"/>
    <n v="399179"/>
    <n v="-399179"/>
    <x v="0"/>
    <x v="0"/>
    <x v="0"/>
    <n v="0"/>
    <n v="399179"/>
    <n v="-399179"/>
    <x v="0"/>
    <x v="0"/>
    <x v="0"/>
    <n v="0"/>
    <n v="399179"/>
    <n v="-399179"/>
    <x v="0"/>
    <x v="0"/>
    <x v="0"/>
    <x v="0"/>
    <x v="0"/>
  </r>
  <r>
    <x v="2"/>
    <x v="0"/>
    <x v="0"/>
    <x v="0"/>
    <x v="0"/>
    <x v="2"/>
    <x v="2"/>
    <n v="20272"/>
    <s v="860035827"/>
    <s v="BANCO AV VILLAS"/>
    <s v="201906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5906-3  AV VILLAS"/>
    <n v="452841"/>
    <n v="0"/>
    <n v="452841"/>
    <x v="0"/>
    <x v="0"/>
    <x v="0"/>
    <n v="452841"/>
    <n v="0"/>
    <n v="452841"/>
    <x v="0"/>
    <x v="0"/>
    <x v="0"/>
    <n v="452841"/>
    <n v="0"/>
    <n v="452841"/>
    <x v="0"/>
    <x v="0"/>
    <x v="0"/>
    <x v="0"/>
    <x v="0"/>
  </r>
  <r>
    <x v="2"/>
    <x v="0"/>
    <x v="0"/>
    <x v="0"/>
    <x v="0"/>
    <x v="2"/>
    <x v="2"/>
    <n v="20273"/>
    <s v="860035827"/>
    <s v="BANCO AV VILLAS"/>
    <s v="201906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 AV VILLAS"/>
    <n v="628013"/>
    <n v="0"/>
    <n v="628013"/>
    <x v="0"/>
    <x v="0"/>
    <x v="0"/>
    <n v="628013"/>
    <n v="0"/>
    <n v="628013"/>
    <x v="0"/>
    <x v="0"/>
    <x v="0"/>
    <n v="628013"/>
    <n v="0"/>
    <n v="628013"/>
    <x v="0"/>
    <x v="0"/>
    <x v="0"/>
    <x v="0"/>
    <x v="0"/>
  </r>
  <r>
    <x v="2"/>
    <x v="0"/>
    <x v="0"/>
    <x v="0"/>
    <x v="0"/>
    <x v="2"/>
    <x v="2"/>
    <n v="20274"/>
    <s v="860035827"/>
    <s v="BANCO AV VILLAS"/>
    <s v="201906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0520-1   AV VILLAS"/>
    <n v="622874"/>
    <n v="0"/>
    <n v="622874"/>
    <x v="0"/>
    <x v="0"/>
    <x v="0"/>
    <n v="622874"/>
    <n v="0"/>
    <n v="622874"/>
    <x v="0"/>
    <x v="0"/>
    <x v="0"/>
    <n v="622874"/>
    <n v="0"/>
    <n v="622874"/>
    <x v="0"/>
    <x v="0"/>
    <x v="0"/>
    <x v="0"/>
    <x v="0"/>
  </r>
  <r>
    <x v="2"/>
    <x v="0"/>
    <x v="0"/>
    <x v="0"/>
    <x v="0"/>
    <x v="2"/>
    <x v="2"/>
    <n v="20302"/>
    <s v="860035827"/>
    <s v="BANCO AV VILLAS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7483-7 AV VILLAS"/>
    <n v="70015"/>
    <n v="0"/>
    <n v="70015"/>
    <x v="0"/>
    <x v="0"/>
    <x v="0"/>
    <n v="70015"/>
    <n v="0"/>
    <n v="70015"/>
    <x v="0"/>
    <x v="0"/>
    <x v="0"/>
    <n v="70015"/>
    <n v="0"/>
    <n v="70015"/>
    <x v="0"/>
    <x v="0"/>
    <x v="0"/>
    <x v="0"/>
    <x v="0"/>
  </r>
  <r>
    <x v="2"/>
    <x v="0"/>
    <x v="0"/>
    <x v="0"/>
    <x v="0"/>
    <x v="2"/>
    <x v="2"/>
    <n v="20303"/>
    <s v="860035827"/>
    <s v="BANCO AV VILLAS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7366-7  AV VILLAS"/>
    <n v="1201197"/>
    <n v="0"/>
    <n v="1201197"/>
    <x v="0"/>
    <x v="0"/>
    <x v="0"/>
    <n v="1201197"/>
    <n v="0"/>
    <n v="1201197"/>
    <x v="0"/>
    <x v="0"/>
    <x v="0"/>
    <n v="1201197"/>
    <n v="0"/>
    <n v="1201197"/>
    <x v="0"/>
    <x v="0"/>
    <x v="0"/>
    <x v="0"/>
    <x v="0"/>
  </r>
  <r>
    <x v="2"/>
    <x v="0"/>
    <x v="0"/>
    <x v="0"/>
    <x v="0"/>
    <x v="2"/>
    <x v="2"/>
    <n v="20304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738    AV VILLAS"/>
    <n v="309302"/>
    <n v="0"/>
    <n v="309302"/>
    <x v="0"/>
    <x v="0"/>
    <x v="0"/>
    <n v="309302"/>
    <n v="0"/>
    <n v="309302"/>
    <x v="0"/>
    <x v="0"/>
    <x v="0"/>
    <n v="309302"/>
    <n v="0"/>
    <n v="309302"/>
    <x v="0"/>
    <x v="0"/>
    <x v="0"/>
    <x v="0"/>
    <x v="0"/>
  </r>
  <r>
    <x v="2"/>
    <x v="0"/>
    <x v="0"/>
    <x v="0"/>
    <x v="0"/>
    <x v="2"/>
    <x v="2"/>
    <n v="20321"/>
    <s v="860002964"/>
    <s v="BANCO DE BOGOTA S.A."/>
    <s v="201906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284  BANCO DE BOGOTA"/>
    <n v="307194.63"/>
    <n v="0"/>
    <n v="307194.63"/>
    <x v="0"/>
    <x v="0"/>
    <x v="0"/>
    <n v="307194.63"/>
    <n v="0"/>
    <n v="307194.63"/>
    <x v="0"/>
    <x v="0"/>
    <x v="0"/>
    <n v="307194.63"/>
    <n v="0"/>
    <n v="307194.63"/>
    <x v="0"/>
    <x v="0"/>
    <x v="0"/>
    <x v="0"/>
    <x v="0"/>
  </r>
  <r>
    <x v="2"/>
    <x v="0"/>
    <x v="0"/>
    <x v="0"/>
    <x v="0"/>
    <x v="2"/>
    <x v="2"/>
    <n v="20324"/>
    <s v="860035827"/>
    <s v="BANCO AV VILLAS"/>
    <s v="20190604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DE VALORES NO APLICADOS EN OBLIGACION FINANCIERA-"/>
    <n v="0"/>
    <n v="5574045"/>
    <n v="-5574045"/>
    <x v="0"/>
    <x v="0"/>
    <x v="0"/>
    <n v="0"/>
    <n v="5574045"/>
    <n v="-5574045"/>
    <x v="0"/>
    <x v="0"/>
    <x v="0"/>
    <n v="0"/>
    <n v="5574045"/>
    <n v="-5574045"/>
    <x v="0"/>
    <x v="0"/>
    <x v="0"/>
    <x v="0"/>
    <x v="0"/>
  </r>
  <r>
    <x v="2"/>
    <x v="0"/>
    <x v="0"/>
    <x v="0"/>
    <x v="0"/>
    <x v="2"/>
    <x v="2"/>
    <n v="20325"/>
    <s v="860002964"/>
    <s v="BANCO DE BOGOTA S.A."/>
    <s v="20190604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9"/>
    <x v="9"/>
    <x v="2"/>
    <x v="2"/>
    <x v="0"/>
    <x v="0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CO BOGOTA- SE RECLASIFICA VR CUOTA E INTERES CUOTA OBLIGACION 9284"/>
    <n v="0"/>
    <n v="2083333"/>
    <n v="-2083333"/>
    <x v="0"/>
    <x v="0"/>
    <x v="0"/>
    <n v="0"/>
    <n v="2083333"/>
    <n v="-2083333"/>
    <x v="0"/>
    <x v="0"/>
    <x v="0"/>
    <n v="0"/>
    <n v="2083333"/>
    <n v="-2083333"/>
    <x v="0"/>
    <x v="0"/>
    <x v="0"/>
    <x v="0"/>
    <x v="0"/>
  </r>
  <r>
    <x v="2"/>
    <x v="0"/>
    <x v="0"/>
    <x v="0"/>
    <x v="0"/>
    <x v="2"/>
    <x v="2"/>
    <n v="20311"/>
    <s v="890903938"/>
    <s v="BANCOLOMBIA S.A."/>
    <s v="20190613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CUOTA 30  BANCOLOMBIA"/>
    <n v="258959"/>
    <n v="0"/>
    <n v="258959"/>
    <x v="0"/>
    <x v="0"/>
    <x v="0"/>
    <n v="258959"/>
    <n v="0"/>
    <n v="258959"/>
    <x v="0"/>
    <x v="0"/>
    <x v="0"/>
    <n v="258959"/>
    <n v="0"/>
    <n v="258959"/>
    <x v="0"/>
    <x v="0"/>
    <x v="0"/>
    <x v="0"/>
    <x v="0"/>
  </r>
  <r>
    <x v="2"/>
    <x v="0"/>
    <x v="0"/>
    <x v="0"/>
    <x v="0"/>
    <x v="2"/>
    <x v="2"/>
    <n v="20317"/>
    <s v="890300279"/>
    <s v="BANCO DE OCCIDENTE."/>
    <s v="201906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422-1    BANCO DE OCCIDENTE"/>
    <n v="29305"/>
    <n v="0"/>
    <n v="29305"/>
    <x v="0"/>
    <x v="0"/>
    <x v="0"/>
    <n v="29305"/>
    <n v="0"/>
    <n v="29305"/>
    <x v="0"/>
    <x v="0"/>
    <x v="0"/>
    <n v="29305"/>
    <n v="0"/>
    <n v="29305"/>
    <x v="0"/>
    <x v="0"/>
    <x v="0"/>
    <x v="0"/>
    <x v="0"/>
  </r>
  <r>
    <x v="2"/>
    <x v="0"/>
    <x v="0"/>
    <x v="0"/>
    <x v="0"/>
    <x v="2"/>
    <x v="2"/>
    <n v="20318"/>
    <s v="890300279"/>
    <s v="BANCO DE OCCIDENTE."/>
    <s v="201906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57-8    BANCO DE OCCIDENTE"/>
    <n v="593576"/>
    <n v="0"/>
    <n v="593576"/>
    <x v="0"/>
    <x v="0"/>
    <x v="0"/>
    <n v="593576"/>
    <n v="0"/>
    <n v="593576"/>
    <x v="0"/>
    <x v="0"/>
    <x v="0"/>
    <n v="593576"/>
    <n v="0"/>
    <n v="593576"/>
    <x v="0"/>
    <x v="0"/>
    <x v="0"/>
    <x v="0"/>
    <x v="0"/>
  </r>
  <r>
    <x v="2"/>
    <x v="0"/>
    <x v="0"/>
    <x v="0"/>
    <x v="0"/>
    <x v="2"/>
    <x v="2"/>
    <n v="20320"/>
    <s v="860002964"/>
    <s v="BANCO DE BOGOTA S.A."/>
    <s v="201906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BANCO DE BOGOTA"/>
    <n v="96856.13"/>
    <n v="0"/>
    <n v="96856.13"/>
    <x v="0"/>
    <x v="0"/>
    <x v="0"/>
    <n v="96856.13"/>
    <n v="0"/>
    <n v="96856.13"/>
    <x v="0"/>
    <x v="0"/>
    <x v="0"/>
    <n v="96856.13"/>
    <n v="0"/>
    <n v="96856.13"/>
    <x v="0"/>
    <x v="0"/>
    <x v="0"/>
    <x v="0"/>
    <x v="0"/>
  </r>
  <r>
    <x v="2"/>
    <x v="0"/>
    <x v="0"/>
    <x v="0"/>
    <x v="0"/>
    <x v="2"/>
    <x v="2"/>
    <n v="20306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50   BANCOLOMBIA"/>
    <n v="203317"/>
    <n v="0"/>
    <n v="203317"/>
    <x v="0"/>
    <x v="0"/>
    <x v="0"/>
    <n v="203317"/>
    <n v="0"/>
    <n v="203317"/>
    <x v="0"/>
    <x v="0"/>
    <x v="0"/>
    <n v="203317"/>
    <n v="0"/>
    <n v="203317"/>
    <x v="0"/>
    <x v="0"/>
    <x v="0"/>
    <x v="0"/>
    <x v="0"/>
  </r>
  <r>
    <x v="2"/>
    <x v="0"/>
    <x v="0"/>
    <x v="0"/>
    <x v="0"/>
    <x v="2"/>
    <x v="2"/>
    <n v="20307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  187498  BANCOLOMBIA"/>
    <n v="54724"/>
    <n v="0"/>
    <n v="54724"/>
    <x v="0"/>
    <x v="0"/>
    <x v="0"/>
    <n v="54724"/>
    <n v="0"/>
    <n v="54724"/>
    <x v="0"/>
    <x v="0"/>
    <x v="0"/>
    <n v="54724"/>
    <n v="0"/>
    <n v="54724"/>
    <x v="0"/>
    <x v="0"/>
    <x v="0"/>
    <x v="0"/>
    <x v="0"/>
  </r>
  <r>
    <x v="2"/>
    <x v="0"/>
    <x v="0"/>
    <x v="0"/>
    <x v="0"/>
    <x v="2"/>
    <x v="2"/>
    <n v="20308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4268 BANCOLOMBIA"/>
    <n v="809373"/>
    <n v="0"/>
    <n v="809373"/>
    <x v="0"/>
    <x v="0"/>
    <x v="0"/>
    <n v="809373"/>
    <n v="0"/>
    <n v="809373"/>
    <x v="0"/>
    <x v="0"/>
    <x v="0"/>
    <n v="809373"/>
    <n v="0"/>
    <n v="809373"/>
    <x v="0"/>
    <x v="0"/>
    <x v="0"/>
    <x v="0"/>
    <x v="0"/>
  </r>
  <r>
    <x v="2"/>
    <x v="0"/>
    <x v="0"/>
    <x v="0"/>
    <x v="0"/>
    <x v="2"/>
    <x v="2"/>
    <n v="20309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8263 BANCOLOMBIA"/>
    <n v="2087823"/>
    <n v="0"/>
    <n v="2087823"/>
    <x v="0"/>
    <x v="0"/>
    <x v="0"/>
    <n v="2087823"/>
    <n v="0"/>
    <n v="2087823"/>
    <x v="0"/>
    <x v="0"/>
    <x v="0"/>
    <n v="2087823"/>
    <n v="0"/>
    <n v="2087823"/>
    <x v="0"/>
    <x v="0"/>
    <x v="0"/>
    <x v="0"/>
    <x v="0"/>
  </r>
  <r>
    <x v="2"/>
    <x v="0"/>
    <x v="0"/>
    <x v="0"/>
    <x v="0"/>
    <x v="2"/>
    <x v="2"/>
    <n v="20343"/>
    <s v="860007660"/>
    <s v="HELM BANK S.A."/>
    <s v="2019062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CREDITO ROTATIVO"/>
    <n v="1720095"/>
    <n v="0"/>
    <n v="1720095"/>
    <x v="0"/>
    <x v="0"/>
    <x v="0"/>
    <n v="1720095"/>
    <n v="0"/>
    <n v="1720095"/>
    <x v="0"/>
    <x v="0"/>
    <x v="0"/>
    <n v="1720095"/>
    <n v="0"/>
    <n v="1720095"/>
    <x v="0"/>
    <x v="0"/>
    <x v="0"/>
    <x v="0"/>
    <x v="0"/>
  </r>
  <r>
    <x v="2"/>
    <x v="0"/>
    <x v="0"/>
    <x v="0"/>
    <x v="0"/>
    <x v="2"/>
    <x v="2"/>
    <n v="20397"/>
    <s v="860007660"/>
    <s v="HELM BANK S.A."/>
    <s v="2019063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NTERES CREDITO ROTATIVO"/>
    <n v="593566.31999999995"/>
    <n v="0"/>
    <n v="593566.32000000007"/>
    <x v="0"/>
    <x v="0"/>
    <x v="0"/>
    <n v="593566.31999999995"/>
    <n v="0"/>
    <n v="593566.32000000007"/>
    <x v="0"/>
    <x v="0"/>
    <x v="0"/>
    <n v="593566.31999999995"/>
    <n v="0"/>
    <n v="593566.32000000007"/>
    <x v="0"/>
    <x v="0"/>
    <x v="0"/>
    <x v="0"/>
    <x v="0"/>
  </r>
  <r>
    <x v="3"/>
    <x v="0"/>
    <x v="0"/>
    <x v="0"/>
    <x v="0"/>
    <x v="2"/>
    <x v="2"/>
    <n v="20368"/>
    <s v="860002964"/>
    <s v="BANCO DE BOGOTA S.A."/>
    <s v="2019070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 BANCO DE BOGOTA"/>
    <n v="80911.78"/>
    <n v="0"/>
    <n v="80911.78"/>
    <x v="0"/>
    <x v="0"/>
    <x v="0"/>
    <n v="80911.78"/>
    <n v="0"/>
    <n v="80911.78"/>
    <x v="0"/>
    <x v="0"/>
    <x v="0"/>
    <n v="80911.78"/>
    <n v="0"/>
    <n v="80911.78"/>
    <x v="0"/>
    <x v="0"/>
    <x v="0"/>
    <x v="0"/>
    <x v="0"/>
  </r>
  <r>
    <x v="3"/>
    <x v="0"/>
    <x v="0"/>
    <x v="0"/>
    <x v="0"/>
    <x v="2"/>
    <x v="2"/>
    <n v="20400"/>
    <s v="890903938"/>
    <s v="BANCOLOMBIA S.A."/>
    <s v="2019070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OBLIGACION 205450 BANCOLOMBIA CUOTA 19"/>
    <n v="195056"/>
    <n v="0"/>
    <n v="195056"/>
    <x v="0"/>
    <x v="0"/>
    <x v="0"/>
    <n v="195056"/>
    <n v="0"/>
    <n v="195056"/>
    <x v="0"/>
    <x v="0"/>
    <x v="0"/>
    <n v="195056"/>
    <n v="0"/>
    <n v="195056"/>
    <x v="0"/>
    <x v="0"/>
    <x v="0"/>
    <x v="0"/>
    <x v="0"/>
  </r>
  <r>
    <x v="3"/>
    <x v="0"/>
    <x v="0"/>
    <x v="0"/>
    <x v="0"/>
    <x v="2"/>
    <x v="2"/>
    <n v="20449"/>
    <s v="890903938"/>
    <s v="BANCOLOMBIA S.A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268  BANCOLOMBIA"/>
    <n v="763289"/>
    <n v="0"/>
    <n v="763289"/>
    <x v="0"/>
    <x v="0"/>
    <x v="0"/>
    <n v="763289"/>
    <n v="0"/>
    <n v="763289"/>
    <x v="0"/>
    <x v="0"/>
    <x v="0"/>
    <n v="763289"/>
    <n v="0"/>
    <n v="763289"/>
    <x v="0"/>
    <x v="0"/>
    <x v="0"/>
    <x v="0"/>
    <x v="0"/>
  </r>
  <r>
    <x v="3"/>
    <x v="0"/>
    <x v="0"/>
    <x v="0"/>
    <x v="0"/>
    <x v="2"/>
    <x v="2"/>
    <n v="20450"/>
    <s v="890903938"/>
    <s v="BANCOLOMBIA S.A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738  BANCOLOMBIA"/>
    <n v="279393"/>
    <n v="0"/>
    <n v="279393"/>
    <x v="0"/>
    <x v="0"/>
    <x v="0"/>
    <n v="279393"/>
    <n v="0"/>
    <n v="279393"/>
    <x v="0"/>
    <x v="0"/>
    <x v="0"/>
    <n v="279393"/>
    <n v="0"/>
    <n v="279393"/>
    <x v="0"/>
    <x v="0"/>
    <x v="0"/>
    <x v="0"/>
    <x v="0"/>
  </r>
  <r>
    <x v="3"/>
    <x v="0"/>
    <x v="0"/>
    <x v="0"/>
    <x v="0"/>
    <x v="2"/>
    <x v="2"/>
    <n v="20451"/>
    <s v="890903938"/>
    <s v="BANCOLOMBIA S.A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263  BANCOLOMBIA"/>
    <n v="1950895"/>
    <n v="0"/>
    <n v="1950895"/>
    <x v="0"/>
    <x v="0"/>
    <x v="0"/>
    <n v="1950895"/>
    <n v="0"/>
    <n v="1950895"/>
    <x v="0"/>
    <x v="0"/>
    <x v="0"/>
    <n v="1950895"/>
    <n v="0"/>
    <n v="1950895"/>
    <x v="0"/>
    <x v="0"/>
    <x v="0"/>
    <x v="0"/>
    <x v="0"/>
  </r>
  <r>
    <x v="3"/>
    <x v="0"/>
    <x v="0"/>
    <x v="0"/>
    <x v="0"/>
    <x v="2"/>
    <x v="2"/>
    <n v="20453"/>
    <s v="890300279"/>
    <s v="BANCO DE OCCIDENTE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28580"/>
    <n v="246808"/>
    <n v="0"/>
    <n v="246808"/>
    <x v="0"/>
    <x v="0"/>
    <x v="0"/>
    <n v="246808"/>
    <n v="0"/>
    <n v="246808"/>
    <x v="0"/>
    <x v="0"/>
    <x v="0"/>
    <n v="246808"/>
    <n v="0"/>
    <n v="246808"/>
    <x v="0"/>
    <x v="0"/>
    <x v="0"/>
    <x v="0"/>
    <x v="0"/>
  </r>
  <r>
    <x v="3"/>
    <x v="0"/>
    <x v="0"/>
    <x v="0"/>
    <x v="0"/>
    <x v="2"/>
    <x v="2"/>
    <n v="20454"/>
    <s v="860035827"/>
    <s v="BANCO AV VILLAS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 AV VILLAS"/>
    <n v="590552"/>
    <n v="0"/>
    <n v="590552"/>
    <x v="0"/>
    <x v="0"/>
    <x v="0"/>
    <n v="590552"/>
    <n v="0"/>
    <n v="590552"/>
    <x v="0"/>
    <x v="0"/>
    <x v="0"/>
    <n v="590552"/>
    <n v="0"/>
    <n v="590552"/>
    <x v="0"/>
    <x v="0"/>
    <x v="0"/>
    <x v="0"/>
    <x v="0"/>
  </r>
  <r>
    <x v="3"/>
    <x v="0"/>
    <x v="0"/>
    <x v="0"/>
    <x v="0"/>
    <x v="2"/>
    <x v="2"/>
    <n v="20456"/>
    <s v="860035827"/>
    <s v="BANCO AV VILLAS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5906-3  AV VILLAS"/>
    <n v="407082"/>
    <n v="0"/>
    <n v="407082"/>
    <x v="0"/>
    <x v="0"/>
    <x v="0"/>
    <n v="407082"/>
    <n v="0"/>
    <n v="407082"/>
    <x v="0"/>
    <x v="0"/>
    <x v="0"/>
    <n v="407082"/>
    <n v="0"/>
    <n v="407082"/>
    <x v="0"/>
    <x v="0"/>
    <x v="0"/>
    <x v="0"/>
    <x v="0"/>
  </r>
  <r>
    <x v="3"/>
    <x v="0"/>
    <x v="0"/>
    <x v="0"/>
    <x v="0"/>
    <x v="2"/>
    <x v="2"/>
    <n v="20457"/>
    <s v="890300279"/>
    <s v="BANCO DE OCCIDENTE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3957-8  OCCIDENTE"/>
    <n v="546835"/>
    <n v="0"/>
    <n v="546835"/>
    <x v="0"/>
    <x v="0"/>
    <x v="0"/>
    <n v="546835"/>
    <n v="0"/>
    <n v="546835"/>
    <x v="0"/>
    <x v="0"/>
    <x v="0"/>
    <n v="546835"/>
    <n v="0"/>
    <n v="546835"/>
    <x v="0"/>
    <x v="0"/>
    <x v="0"/>
    <x v="0"/>
    <x v="0"/>
  </r>
  <r>
    <x v="3"/>
    <x v="0"/>
    <x v="0"/>
    <x v="0"/>
    <x v="0"/>
    <x v="2"/>
    <x v="2"/>
    <n v="20464"/>
    <s v="860035827"/>
    <s v="BANCO AV VILLAS"/>
    <s v="201907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366-7  AV VILLAS"/>
    <n v="1170968"/>
    <n v="0"/>
    <n v="1170968"/>
    <x v="0"/>
    <x v="0"/>
    <x v="0"/>
    <n v="1170968"/>
    <n v="0"/>
    <n v="1170968"/>
    <x v="0"/>
    <x v="0"/>
    <x v="0"/>
    <n v="1170968"/>
    <n v="0"/>
    <n v="1170968"/>
    <x v="0"/>
    <x v="0"/>
    <x v="0"/>
    <x v="0"/>
    <x v="0"/>
  </r>
  <r>
    <x v="3"/>
    <x v="0"/>
    <x v="0"/>
    <x v="0"/>
    <x v="0"/>
    <x v="2"/>
    <x v="2"/>
    <n v="20470"/>
    <s v="890300279"/>
    <s v="BANCO DE OCCIDENTE."/>
    <s v="201907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I VILLAS OBLIGACION 128580  DEL MES DE JUNIO ATRARZADA"/>
    <n v="254219"/>
    <n v="0"/>
    <n v="254219"/>
    <x v="0"/>
    <x v="0"/>
    <x v="0"/>
    <n v="254219"/>
    <n v="0"/>
    <n v="254219"/>
    <x v="0"/>
    <x v="0"/>
    <x v="0"/>
    <n v="254219"/>
    <n v="0"/>
    <n v="254219"/>
    <x v="0"/>
    <x v="0"/>
    <x v="0"/>
    <x v="0"/>
    <x v="0"/>
  </r>
  <r>
    <x v="3"/>
    <x v="0"/>
    <x v="0"/>
    <x v="0"/>
    <x v="0"/>
    <x v="2"/>
    <x v="2"/>
    <n v="20495"/>
    <s v="860002964"/>
    <s v="BANCO DE BOGOTA S.A."/>
    <s v="201907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284 BANCO DE  BOGOTA"/>
    <n v="286118.95"/>
    <n v="0"/>
    <n v="286118.95"/>
    <x v="0"/>
    <x v="0"/>
    <x v="0"/>
    <n v="286118.95"/>
    <n v="0"/>
    <n v="286118.95"/>
    <x v="0"/>
    <x v="0"/>
    <x v="0"/>
    <n v="286118.95"/>
    <n v="0"/>
    <n v="286118.95"/>
    <x v="0"/>
    <x v="0"/>
    <x v="0"/>
    <x v="0"/>
    <x v="0"/>
  </r>
  <r>
    <x v="3"/>
    <x v="0"/>
    <x v="0"/>
    <x v="0"/>
    <x v="0"/>
    <x v="2"/>
    <x v="2"/>
    <n v="20498"/>
    <s v="890903938"/>
    <s v="BANCOLOMBIA S.A."/>
    <s v="2019071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 BANCOLOMBIA"/>
    <n v="51613"/>
    <n v="0"/>
    <n v="51613"/>
    <x v="0"/>
    <x v="0"/>
    <x v="0"/>
    <n v="51613"/>
    <n v="0"/>
    <n v="51613"/>
    <x v="0"/>
    <x v="0"/>
    <x v="0"/>
    <n v="51613"/>
    <n v="0"/>
    <n v="51613"/>
    <x v="0"/>
    <x v="0"/>
    <x v="0"/>
    <x v="0"/>
    <x v="0"/>
  </r>
  <r>
    <x v="3"/>
    <x v="0"/>
    <x v="0"/>
    <x v="0"/>
    <x v="0"/>
    <x v="2"/>
    <x v="2"/>
    <n v="20499"/>
    <s v="890903938"/>
    <s v="BANCOLOMBIA S.A."/>
    <s v="2019071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BANCOLOMBIA"/>
    <n v="245087"/>
    <n v="0"/>
    <n v="245087"/>
    <x v="0"/>
    <x v="0"/>
    <x v="0"/>
    <n v="245087"/>
    <n v="0"/>
    <n v="245087"/>
    <x v="0"/>
    <x v="0"/>
    <x v="0"/>
    <n v="245087"/>
    <n v="0"/>
    <n v="245087"/>
    <x v="0"/>
    <x v="0"/>
    <x v="0"/>
    <x v="0"/>
    <x v="0"/>
  </r>
  <r>
    <x v="3"/>
    <x v="0"/>
    <x v="0"/>
    <x v="0"/>
    <x v="0"/>
    <x v="2"/>
    <x v="2"/>
    <n v="20594"/>
    <s v="860002964"/>
    <s v="BANCO DE BOGOTA S.A."/>
    <s v="201907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BANCO DE BOGOTA"/>
    <n v="80911.78"/>
    <n v="0"/>
    <n v="80911.78"/>
    <x v="0"/>
    <x v="0"/>
    <x v="0"/>
    <n v="80911.78"/>
    <n v="0"/>
    <n v="80911.78"/>
    <x v="0"/>
    <x v="0"/>
    <x v="0"/>
    <n v="80911.78"/>
    <n v="0"/>
    <n v="80911.78"/>
    <x v="0"/>
    <x v="0"/>
    <x v="0"/>
    <x v="0"/>
    <x v="0"/>
  </r>
  <r>
    <x v="4"/>
    <x v="0"/>
    <x v="0"/>
    <x v="0"/>
    <x v="0"/>
    <x v="2"/>
    <x v="2"/>
    <n v="20578"/>
    <s v="860002964"/>
    <s v="BANCO DE BOGOTA S.A.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 CUOTA 21"/>
    <n v="64394.69"/>
    <n v="0"/>
    <n v="64394.69"/>
    <x v="0"/>
    <x v="0"/>
    <x v="0"/>
    <n v="64394.69"/>
    <n v="0"/>
    <n v="64394.69"/>
    <x v="0"/>
    <x v="0"/>
    <x v="0"/>
    <n v="64394.69"/>
    <n v="0"/>
    <n v="64394.69"/>
    <x v="0"/>
    <x v="0"/>
    <x v="0"/>
    <x v="0"/>
    <x v="0"/>
  </r>
  <r>
    <x v="4"/>
    <x v="0"/>
    <x v="0"/>
    <x v="0"/>
    <x v="0"/>
    <x v="2"/>
    <x v="2"/>
    <n v="20579"/>
    <s v="860035827"/>
    <s v="BANCO AV VILLAS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366-7  AV VILLAS"/>
    <n v="1106599"/>
    <n v="0"/>
    <n v="1106599"/>
    <x v="0"/>
    <x v="0"/>
    <x v="0"/>
    <n v="1106599"/>
    <n v="0"/>
    <n v="1106599"/>
    <x v="0"/>
    <x v="0"/>
    <x v="0"/>
    <n v="1106599"/>
    <n v="0"/>
    <n v="1106599"/>
    <x v="0"/>
    <x v="0"/>
    <x v="0"/>
    <x v="0"/>
    <x v="0"/>
  </r>
  <r>
    <x v="4"/>
    <x v="0"/>
    <x v="0"/>
    <x v="0"/>
    <x v="0"/>
    <x v="2"/>
    <x v="2"/>
    <n v="20580"/>
    <s v="860035827"/>
    <s v="BANCO AV VILLAS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 AV VILLAS"/>
    <n v="535809"/>
    <n v="0"/>
    <n v="535809"/>
    <x v="0"/>
    <x v="0"/>
    <x v="0"/>
    <n v="535809"/>
    <n v="0"/>
    <n v="535809"/>
    <x v="0"/>
    <x v="0"/>
    <x v="0"/>
    <n v="535809"/>
    <n v="0"/>
    <n v="535809"/>
    <x v="0"/>
    <x v="0"/>
    <x v="0"/>
    <x v="0"/>
    <x v="0"/>
  </r>
  <r>
    <x v="4"/>
    <x v="0"/>
    <x v="0"/>
    <x v="0"/>
    <x v="0"/>
    <x v="2"/>
    <x v="2"/>
    <n v="20581"/>
    <s v="860035827"/>
    <s v="BANCO AV VILLAS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06-3  AV VILLAS"/>
    <n v="345776"/>
    <n v="0"/>
    <n v="345776"/>
    <x v="0"/>
    <x v="0"/>
    <x v="0"/>
    <n v="345776"/>
    <n v="0"/>
    <n v="345776"/>
    <x v="0"/>
    <x v="0"/>
    <x v="0"/>
    <n v="345776"/>
    <n v="0"/>
    <n v="345776"/>
    <x v="0"/>
    <x v="0"/>
    <x v="0"/>
    <x v="0"/>
    <x v="0"/>
  </r>
  <r>
    <x v="4"/>
    <x v="0"/>
    <x v="0"/>
    <x v="0"/>
    <x v="0"/>
    <x v="2"/>
    <x v="2"/>
    <n v="20584"/>
    <s v="890903938"/>
    <s v="BANCOLOMBIA S.A.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259  mes de agosto del 2019"/>
    <n v="1494791"/>
    <n v="0"/>
    <n v="1494791"/>
    <x v="0"/>
    <x v="0"/>
    <x v="0"/>
    <n v="1494791"/>
    <n v="0"/>
    <n v="1494791"/>
    <x v="0"/>
    <x v="0"/>
    <x v="0"/>
    <n v="1494791"/>
    <n v="0"/>
    <n v="1494791"/>
    <x v="0"/>
    <x v="0"/>
    <x v="0"/>
    <x v="0"/>
    <x v="0"/>
  </r>
  <r>
    <x v="4"/>
    <x v="0"/>
    <x v="0"/>
    <x v="0"/>
    <x v="0"/>
    <x v="2"/>
    <x v="2"/>
    <n v="20585"/>
    <s v="890903938"/>
    <s v="BANCOLOMBIA S.A.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738  bancolombia"/>
    <n v="239149"/>
    <n v="0"/>
    <n v="239149"/>
    <x v="0"/>
    <x v="0"/>
    <x v="0"/>
    <n v="239149"/>
    <n v="0"/>
    <n v="239149"/>
    <x v="0"/>
    <x v="0"/>
    <x v="0"/>
    <n v="239149"/>
    <n v="0"/>
    <n v="239149"/>
    <x v="0"/>
    <x v="0"/>
    <x v="0"/>
    <x v="0"/>
    <x v="0"/>
  </r>
  <r>
    <x v="4"/>
    <x v="0"/>
    <x v="0"/>
    <x v="0"/>
    <x v="0"/>
    <x v="2"/>
    <x v="2"/>
    <n v="20586"/>
    <s v="890903938"/>
    <s v="BANCOLOMBIA S.A.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268  bancolombia"/>
    <n v="711278"/>
    <n v="0"/>
    <n v="711278"/>
    <x v="0"/>
    <x v="0"/>
    <x v="0"/>
    <n v="711278"/>
    <n v="0"/>
    <n v="711278"/>
    <x v="0"/>
    <x v="0"/>
    <x v="0"/>
    <n v="711278"/>
    <n v="0"/>
    <n v="711278"/>
    <x v="0"/>
    <x v="0"/>
    <x v="0"/>
    <x v="0"/>
    <x v="0"/>
  </r>
  <r>
    <x v="4"/>
    <x v="0"/>
    <x v="0"/>
    <x v="0"/>
    <x v="0"/>
    <x v="2"/>
    <x v="2"/>
    <n v="20587"/>
    <s v="890300279"/>
    <s v="BANCO DE OCCIDENTE."/>
    <s v="201908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57- 8"/>
    <n v="511070"/>
    <n v="0"/>
    <n v="511070"/>
    <x v="0"/>
    <x v="0"/>
    <x v="0"/>
    <n v="511070"/>
    <n v="0"/>
    <n v="511070"/>
    <x v="0"/>
    <x v="0"/>
    <x v="0"/>
    <n v="511070"/>
    <n v="0"/>
    <n v="511070"/>
    <x v="0"/>
    <x v="0"/>
    <x v="0"/>
    <x v="0"/>
    <x v="0"/>
  </r>
  <r>
    <x v="4"/>
    <x v="0"/>
    <x v="0"/>
    <x v="0"/>
    <x v="0"/>
    <x v="2"/>
    <x v="2"/>
    <n v="20596"/>
    <s v="890300279"/>
    <s v="BANCO DE OCCIDENTE."/>
    <s v="201908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2850   BANCO DE OCCIDENTE"/>
    <n v="241159"/>
    <n v="0"/>
    <n v="241159"/>
    <x v="0"/>
    <x v="0"/>
    <x v="0"/>
    <n v="241159"/>
    <n v="0"/>
    <n v="241159"/>
    <x v="0"/>
    <x v="0"/>
    <x v="0"/>
    <n v="241159"/>
    <n v="0"/>
    <n v="241159"/>
    <x v="0"/>
    <x v="0"/>
    <x v="0"/>
    <x v="0"/>
    <x v="0"/>
  </r>
  <r>
    <x v="4"/>
    <x v="0"/>
    <x v="0"/>
    <x v="0"/>
    <x v="0"/>
    <x v="2"/>
    <x v="2"/>
    <n v="20608"/>
    <s v="890903938"/>
    <s v="BANCOLOMBIA S.A."/>
    <s v="201908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50  BANCOLOMBIA"/>
    <n v="186999"/>
    <n v="0"/>
    <n v="186999"/>
    <x v="0"/>
    <x v="0"/>
    <x v="0"/>
    <n v="186999"/>
    <n v="0"/>
    <n v="186999"/>
    <x v="0"/>
    <x v="0"/>
    <x v="0"/>
    <n v="186999"/>
    <n v="0"/>
    <n v="186999"/>
    <x v="0"/>
    <x v="0"/>
    <x v="0"/>
    <x v="0"/>
    <x v="0"/>
  </r>
  <r>
    <x v="4"/>
    <x v="0"/>
    <x v="0"/>
    <x v="0"/>
    <x v="0"/>
    <x v="2"/>
    <x v="2"/>
    <n v="20609"/>
    <s v="890903938"/>
    <s v="BANCOLOMBIA S.A."/>
    <s v="201908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 BANCOLOMBIA"/>
    <n v="47840"/>
    <n v="0"/>
    <n v="47840"/>
    <x v="0"/>
    <x v="0"/>
    <x v="0"/>
    <n v="47840"/>
    <n v="0"/>
    <n v="47840"/>
    <x v="0"/>
    <x v="0"/>
    <x v="0"/>
    <n v="47840"/>
    <n v="0"/>
    <n v="47840"/>
    <x v="0"/>
    <x v="0"/>
    <x v="0"/>
    <x v="0"/>
    <x v="0"/>
  </r>
  <r>
    <x v="4"/>
    <x v="0"/>
    <x v="0"/>
    <x v="0"/>
    <x v="0"/>
    <x v="2"/>
    <x v="2"/>
    <n v="20611"/>
    <s v="860002964"/>
    <s v="BANCO DE BOGOTA S.A."/>
    <s v="20190813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284  BANCO DE BOGOTA"/>
    <n v="267816.62"/>
    <n v="0"/>
    <n v="267816.62"/>
    <x v="0"/>
    <x v="0"/>
    <x v="0"/>
    <n v="267816.62"/>
    <n v="0"/>
    <n v="267816.62"/>
    <x v="0"/>
    <x v="0"/>
    <x v="0"/>
    <n v="267816.62"/>
    <n v="0"/>
    <n v="267816.62"/>
    <x v="0"/>
    <x v="0"/>
    <x v="0"/>
    <x v="0"/>
    <x v="0"/>
  </r>
  <r>
    <x v="4"/>
    <x v="0"/>
    <x v="0"/>
    <x v="0"/>
    <x v="0"/>
    <x v="2"/>
    <x v="2"/>
    <n v="20641"/>
    <s v="860007660"/>
    <s v="HELM BANK S.A."/>
    <s v="2019082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HELM BANK - CREDITO ROTATIVO"/>
    <n v="1676732.31"/>
    <n v="0"/>
    <n v="1676732.31"/>
    <x v="0"/>
    <x v="0"/>
    <x v="0"/>
    <n v="1676732.31"/>
    <n v="0"/>
    <n v="1676732.31"/>
    <x v="0"/>
    <x v="0"/>
    <x v="0"/>
    <n v="1676732.31"/>
    <n v="0"/>
    <n v="1676732.31"/>
    <x v="0"/>
    <x v="0"/>
    <x v="0"/>
    <x v="0"/>
    <x v="0"/>
  </r>
  <r>
    <x v="6"/>
    <x v="0"/>
    <x v="0"/>
    <x v="0"/>
    <x v="0"/>
    <x v="2"/>
    <x v="2"/>
    <n v="20184"/>
    <s v="800242106"/>
    <s v="SODIMAC COLOMBIA S.A."/>
    <s v="2019052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HELM BANK"/>
    <n v="98479.74"/>
    <n v="0"/>
    <n v="98479.74"/>
    <x v="0"/>
    <x v="0"/>
    <x v="0"/>
    <n v="98479.74"/>
    <n v="0"/>
    <n v="98479.74"/>
    <x v="0"/>
    <x v="0"/>
    <x v="0"/>
    <n v="98479.74"/>
    <n v="0"/>
    <n v="98479.74"/>
    <x v="0"/>
    <x v="0"/>
    <x v="0"/>
    <x v="0"/>
    <x v="0"/>
  </r>
  <r>
    <x v="6"/>
    <x v="0"/>
    <x v="0"/>
    <x v="0"/>
    <x v="0"/>
    <x v="11"/>
    <x v="11"/>
    <n v="26301"/>
    <s v="1036930909"/>
    <s v="ALZATE SANCHEZ NATACHA"/>
    <s v="2019052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78+ GASTOS BANCARIOS"/>
    <n v="11677"/>
    <n v="0"/>
    <n v="11677"/>
    <x v="0"/>
    <x v="0"/>
    <x v="0"/>
    <n v="11677"/>
    <n v="0"/>
    <n v="11677"/>
    <x v="0"/>
    <x v="0"/>
    <x v="0"/>
    <n v="11677"/>
    <n v="0"/>
    <n v="11677"/>
    <x v="0"/>
    <x v="0"/>
    <x v="0"/>
    <x v="0"/>
    <x v="0"/>
  </r>
  <r>
    <x v="6"/>
    <x v="0"/>
    <x v="0"/>
    <x v="0"/>
    <x v="0"/>
    <x v="11"/>
    <x v="11"/>
    <n v="26311"/>
    <s v="1045717933"/>
    <s v="PALMA GUTIERREZ KETTY JANETH"/>
    <s v="201905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6+ GASTOS BANCARIOS"/>
    <n v="4353"/>
    <n v="0"/>
    <n v="4353"/>
    <x v="0"/>
    <x v="0"/>
    <x v="0"/>
    <n v="4353"/>
    <n v="0"/>
    <n v="4353"/>
    <x v="0"/>
    <x v="0"/>
    <x v="0"/>
    <n v="4353"/>
    <n v="0"/>
    <n v="4353"/>
    <x v="0"/>
    <x v="0"/>
    <x v="0"/>
    <x v="0"/>
    <x v="0"/>
  </r>
  <r>
    <x v="6"/>
    <x v="0"/>
    <x v="0"/>
    <x v="0"/>
    <x v="0"/>
    <x v="11"/>
    <x v="11"/>
    <n v="26312"/>
    <s v="31908098"/>
    <s v="LOPEZ GARCIA MARIA DEL SOCORRO"/>
    <s v="201905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31908098"/>
    <s v="LOPEZ GARCIA MARIA DEL SOCORR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3"/>
    <n v="7588"/>
    <n v="0"/>
    <n v="7588"/>
    <x v="0"/>
    <x v="0"/>
    <x v="0"/>
    <n v="7588"/>
    <n v="0"/>
    <n v="7588"/>
    <x v="0"/>
    <x v="0"/>
    <x v="0"/>
    <n v="7588"/>
    <n v="0"/>
    <n v="7588"/>
    <x v="0"/>
    <x v="0"/>
    <x v="0"/>
    <x v="0"/>
    <x v="0"/>
  </r>
  <r>
    <x v="6"/>
    <x v="0"/>
    <x v="0"/>
    <x v="0"/>
    <x v="0"/>
    <x v="11"/>
    <x v="11"/>
    <n v="26313"/>
    <s v="29873536"/>
    <s v="ZUÑIGA CEBALLOS CLAUDIA MARIA"/>
    <s v="201905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36 + GASTOS BANCARIOS"/>
    <n v="7714"/>
    <n v="0"/>
    <n v="7714"/>
    <x v="0"/>
    <x v="0"/>
    <x v="0"/>
    <n v="7714"/>
    <n v="0"/>
    <n v="7714"/>
    <x v="0"/>
    <x v="0"/>
    <x v="0"/>
    <n v="7714"/>
    <n v="0"/>
    <n v="7714"/>
    <x v="0"/>
    <x v="0"/>
    <x v="0"/>
    <x v="0"/>
    <x v="0"/>
  </r>
  <r>
    <x v="4"/>
    <x v="0"/>
    <x v="0"/>
    <x v="0"/>
    <x v="0"/>
    <x v="2"/>
    <x v="2"/>
    <n v="20607"/>
    <s v="890903938"/>
    <s v="BANCOLOMBIA S.A."/>
    <s v="201908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263  bancolombia"/>
    <n v="1808800"/>
    <n v="0"/>
    <n v="1808800"/>
    <x v="0"/>
    <x v="0"/>
    <x v="0"/>
    <n v="1808800"/>
    <n v="0"/>
    <n v="1808800"/>
    <x v="0"/>
    <x v="0"/>
    <x v="0"/>
    <n v="1808800"/>
    <n v="0"/>
    <n v="1808800"/>
    <x v="0"/>
    <x v="0"/>
    <x v="0"/>
    <x v="0"/>
    <x v="0"/>
  </r>
  <r>
    <x v="4"/>
    <x v="0"/>
    <x v="0"/>
    <x v="0"/>
    <x v="0"/>
    <x v="2"/>
    <x v="2"/>
    <n v="20649"/>
    <s v="890903938"/>
    <s v="BANCOLOMBIA S.A."/>
    <s v="20190823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CUOTA 32"/>
    <n v="233412"/>
    <n v="0"/>
    <n v="233412"/>
    <x v="0"/>
    <x v="0"/>
    <x v="0"/>
    <n v="233412"/>
    <n v="0"/>
    <n v="233412"/>
    <x v="0"/>
    <x v="0"/>
    <x v="0"/>
    <n v="233412"/>
    <n v="0"/>
    <n v="233412"/>
    <x v="0"/>
    <x v="0"/>
    <x v="0"/>
    <x v="0"/>
    <x v="0"/>
  </r>
  <r>
    <x v="6"/>
    <x v="0"/>
    <x v="0"/>
    <x v="0"/>
    <x v="0"/>
    <x v="11"/>
    <x v="11"/>
    <n v="26349"/>
    <s v="1018441067"/>
    <s v="ALONSO GUTIERREZ YINNETH CATALINA"/>
    <s v="201905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9"/>
    <n v="12293"/>
    <n v="0"/>
    <n v="12293"/>
    <x v="0"/>
    <x v="0"/>
    <x v="0"/>
    <n v="12293"/>
    <n v="0"/>
    <n v="12293"/>
    <x v="0"/>
    <x v="0"/>
    <x v="0"/>
    <n v="12293"/>
    <n v="0"/>
    <n v="12293"/>
    <x v="0"/>
    <x v="0"/>
    <x v="0"/>
    <x v="0"/>
    <x v="0"/>
  </r>
  <r>
    <x v="6"/>
    <x v="0"/>
    <x v="0"/>
    <x v="0"/>
    <x v="0"/>
    <x v="11"/>
    <x v="11"/>
    <n v="26289"/>
    <s v="71631400"/>
    <s v="CARRASQUILLA PIZARRO MARCO ANTONIO"/>
    <s v="201905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36 + GASTOS BANCARI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11"/>
    <x v="11"/>
    <n v="26416"/>
    <s v="71631400"/>
    <s v="CARRASQUILLA PIZARRO MARCO ANTONIO"/>
    <s v="201905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71631400"/>
    <s v="CARRASQUILLA PIZARRO MARCO ANTONIO"/>
    <x v="0"/>
    <x v="2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2+GAST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11"/>
    <x v="11"/>
    <n v="26417"/>
    <s v="1098657994"/>
    <s v="HERNANDEZ ROJAS JOHN EDISON"/>
    <s v="201905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98657994"/>
    <s v="HERNANDEZ ROJAS JOHN EDISO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490+GASTOS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.2"/>
    <n v="0"/>
    <n v="3432.2000000000003"/>
    <x v="0"/>
    <x v="0"/>
    <x v="0"/>
    <n v="3432.2"/>
    <n v="0"/>
    <n v="3432.2000000000003"/>
    <x v="0"/>
    <x v="0"/>
    <x v="0"/>
    <n v="3432.2"/>
    <n v="0"/>
    <n v="3432.20000000000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31199.03999999998"/>
    <n v="0"/>
    <n v="331199.03999999998"/>
    <x v="0"/>
    <x v="0"/>
    <x v="0"/>
    <n v="331199.03999999998"/>
    <n v="0"/>
    <n v="331199.03999999998"/>
    <x v="0"/>
    <x v="0"/>
    <x v="0"/>
    <n v="331199.03999999998"/>
    <n v="0"/>
    <n v="331199.03999999998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023.48"/>
    <n v="0"/>
    <n v="54023.48"/>
    <x v="0"/>
    <x v="0"/>
    <x v="0"/>
    <n v="54023.48"/>
    <n v="0"/>
    <n v="54023.48"/>
    <x v="0"/>
    <x v="0"/>
    <x v="0"/>
    <n v="54023.48"/>
    <n v="0"/>
    <n v="54023.4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8877.099999999999"/>
    <n v="0"/>
    <n v="18877.100000000002"/>
    <x v="0"/>
    <x v="0"/>
    <x v="0"/>
    <n v="18877.099999999999"/>
    <n v="0"/>
    <n v="18877.100000000002"/>
    <x v="0"/>
    <x v="0"/>
    <x v="0"/>
    <n v="18877.099999999999"/>
    <n v="0"/>
    <n v="18877.10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.2"/>
    <n v="0"/>
    <n v="3432.2000000000003"/>
    <x v="0"/>
    <x v="0"/>
    <x v="0"/>
    <n v="3432.2"/>
    <n v="0"/>
    <n v="3432.2000000000003"/>
    <x v="0"/>
    <x v="0"/>
    <x v="0"/>
    <n v="3432.2"/>
    <n v="0"/>
    <n v="3432.20000000000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11999.92"/>
    <n v="0"/>
    <n v="11999.92"/>
    <x v="0"/>
    <x v="0"/>
    <x v="0"/>
    <n v="11999.92"/>
    <n v="0"/>
    <n v="11999.92"/>
    <x v="0"/>
    <x v="0"/>
    <x v="0"/>
    <n v="11999.92"/>
    <n v="0"/>
    <n v="11999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708.74"/>
    <n v="0"/>
    <n v="100708.74"/>
    <x v="0"/>
    <x v="0"/>
    <x v="0"/>
    <n v="100708.74"/>
    <n v="0"/>
    <n v="100708.74"/>
    <x v="0"/>
    <x v="0"/>
    <x v="0"/>
    <n v="100708.74"/>
    <n v="0"/>
    <n v="100708.7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6247.85"/>
    <n v="0"/>
    <n v="16247.85"/>
    <x v="0"/>
    <x v="0"/>
    <x v="0"/>
    <n v="16247.85"/>
    <n v="0"/>
    <n v="16247.85"/>
    <x v="0"/>
    <x v="0"/>
    <x v="0"/>
    <n v="16247.85"/>
    <n v="0"/>
    <n v="16247.8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11999.92"/>
    <n v="0"/>
    <n v="11999.92"/>
    <x v="0"/>
    <x v="0"/>
    <x v="0"/>
    <n v="11999.92"/>
    <n v="0"/>
    <n v="11999.92"/>
    <x v="0"/>
    <x v="0"/>
    <x v="0"/>
    <n v="11999.92"/>
    <n v="0"/>
    <n v="11999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3199.1"/>
    <n v="0"/>
    <n v="53199.1"/>
    <x v="0"/>
    <x v="0"/>
    <x v="0"/>
    <n v="53199.1"/>
    <n v="0"/>
    <n v="53199.1"/>
    <x v="0"/>
    <x v="0"/>
    <x v="0"/>
    <n v="53199.1"/>
    <n v="0"/>
    <n v="53199.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6"/>
    <x v="6"/>
    <n v="55"/>
    <s v="860047239"/>
    <s v="MUSICAR S.A.S"/>
    <s v="201901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ENERO DEL 2019"/>
    <n v="1054174"/>
    <n v="0"/>
    <n v="1054174"/>
    <x v="0"/>
    <x v="0"/>
    <x v="0"/>
    <n v="1054174"/>
    <n v="0"/>
    <n v="1054174"/>
    <x v="0"/>
    <x v="0"/>
    <x v="0"/>
    <n v="0"/>
    <n v="0"/>
    <n v="0"/>
    <x v="0"/>
    <x v="0"/>
    <x v="0"/>
    <x v="0"/>
    <x v="0"/>
  </r>
  <r>
    <x v="0"/>
    <x v="0"/>
    <x v="0"/>
    <x v="0"/>
    <x v="0"/>
    <x v="6"/>
    <x v="6"/>
    <n v="55"/>
    <s v="860047239"/>
    <s v="MUSICAR S.A.S"/>
    <s v="201901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ENERO DEL 2019"/>
    <n v="306530"/>
    <n v="0"/>
    <n v="306530"/>
    <x v="0"/>
    <x v="0"/>
    <x v="0"/>
    <n v="306530"/>
    <n v="0"/>
    <n v="306530"/>
    <x v="0"/>
    <x v="0"/>
    <x v="0"/>
    <n v="306530"/>
    <n v="0"/>
    <n v="306530"/>
    <x v="0"/>
    <x v="0"/>
    <x v="0"/>
    <x v="0"/>
    <x v="0"/>
  </r>
  <r>
    <x v="0"/>
    <x v="0"/>
    <x v="0"/>
    <x v="0"/>
    <x v="0"/>
    <x v="6"/>
    <x v="6"/>
    <n v="55"/>
    <s v="860047239"/>
    <s v="MUSICAR S.A.S"/>
    <s v="201901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ENERO DEL 2019"/>
    <n v="0"/>
    <n v="0"/>
    <n v="0"/>
    <x v="0"/>
    <x v="0"/>
    <x v="0"/>
    <n v="147862"/>
    <n v="0"/>
    <n v="147862"/>
    <x v="0"/>
    <x v="0"/>
    <x v="0"/>
    <n v="0"/>
    <n v="0"/>
    <n v="0"/>
    <x v="0"/>
    <x v="0"/>
    <x v="0"/>
    <x v="0"/>
    <x v="0"/>
  </r>
  <r>
    <x v="0"/>
    <x v="0"/>
    <x v="0"/>
    <x v="0"/>
    <x v="0"/>
    <x v="2"/>
    <x v="2"/>
    <n v="19608"/>
    <s v="PME001013J84"/>
    <s v="PANAMSAT DE MEXICO S DE RL DE CV"/>
    <s v="201901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PANAMSAT  - (USD 17586 ) TRM 3136.59"/>
    <n v="2891313.74"/>
    <n v="0"/>
    <n v="2891313.74"/>
    <x v="0"/>
    <x v="0"/>
    <x v="0"/>
    <n v="2891313.74"/>
    <n v="0"/>
    <n v="2891313.74"/>
    <x v="0"/>
    <x v="0"/>
    <x v="0"/>
    <n v="2891313.74"/>
    <n v="0"/>
    <n v="2891313.74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37586"/>
    <n v="0"/>
    <n v="37586"/>
    <x v="0"/>
    <x v="0"/>
    <x v="0"/>
    <n v="37586"/>
    <n v="0"/>
    <n v="37586"/>
    <x v="0"/>
    <x v="0"/>
    <x v="0"/>
    <n v="37586"/>
    <n v="0"/>
    <n v="37586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1117214"/>
    <n v="0"/>
    <n v="1117214"/>
    <x v="0"/>
    <x v="0"/>
    <x v="0"/>
    <n v="1117214"/>
    <n v="0"/>
    <n v="1117214"/>
    <x v="0"/>
    <x v="0"/>
    <x v="0"/>
    <n v="0"/>
    <n v="0"/>
    <n v="0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0"/>
    <n v="0"/>
    <n v="0"/>
    <x v="0"/>
    <x v="0"/>
    <x v="0"/>
    <n v="156705"/>
    <n v="0"/>
    <n v="156705"/>
    <x v="0"/>
    <x v="0"/>
    <x v="0"/>
    <n v="0"/>
    <n v="0"/>
    <n v="0"/>
    <x v="0"/>
    <x v="0"/>
    <x v="0"/>
    <x v="0"/>
    <x v="0"/>
  </r>
  <r>
    <x v="5"/>
    <x v="0"/>
    <x v="0"/>
    <x v="0"/>
    <x v="0"/>
    <x v="6"/>
    <x v="6"/>
    <n v="57"/>
    <s v="860047239"/>
    <s v="MUSICAR S.A.S"/>
    <s v="201903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RZO 2019"/>
    <n v="440198"/>
    <n v="0"/>
    <n v="440198"/>
    <x v="0"/>
    <x v="0"/>
    <x v="0"/>
    <n v="440198"/>
    <n v="0"/>
    <n v="440198"/>
    <x v="0"/>
    <x v="0"/>
    <x v="0"/>
    <n v="440198"/>
    <n v="0"/>
    <n v="440198"/>
    <x v="0"/>
    <x v="0"/>
    <x v="0"/>
    <x v="0"/>
    <x v="0"/>
  </r>
  <r>
    <x v="5"/>
    <x v="0"/>
    <x v="0"/>
    <x v="0"/>
    <x v="0"/>
    <x v="6"/>
    <x v="6"/>
    <n v="57"/>
    <s v="860047239"/>
    <s v="MUSICAR S.A.S"/>
    <s v="201903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RZO 2019"/>
    <n v="1910268"/>
    <n v="0"/>
    <n v="1910268"/>
    <x v="0"/>
    <x v="0"/>
    <x v="0"/>
    <n v="1910268"/>
    <n v="0"/>
    <n v="1910268"/>
    <x v="0"/>
    <x v="0"/>
    <x v="0"/>
    <n v="1910268"/>
    <n v="0"/>
    <n v="1910268"/>
    <x v="0"/>
    <x v="0"/>
    <x v="0"/>
    <x v="0"/>
    <x v="0"/>
  </r>
  <r>
    <x v="5"/>
    <x v="0"/>
    <x v="0"/>
    <x v="0"/>
    <x v="0"/>
    <x v="6"/>
    <x v="6"/>
    <n v="57"/>
    <s v="860047239"/>
    <s v="MUSICAR S.A.S"/>
    <s v="201903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RZO 2019"/>
    <n v="1807488"/>
    <n v="0"/>
    <n v="1807488"/>
    <x v="0"/>
    <x v="0"/>
    <x v="0"/>
    <n v="1807488"/>
    <n v="0"/>
    <n v="1807488"/>
    <x v="0"/>
    <x v="0"/>
    <x v="0"/>
    <n v="1807488"/>
    <n v="0"/>
    <n v="1807488"/>
    <x v="0"/>
    <x v="0"/>
    <x v="0"/>
    <x v="0"/>
    <x v="0"/>
  </r>
  <r>
    <x v="5"/>
    <x v="0"/>
    <x v="0"/>
    <x v="0"/>
    <x v="0"/>
    <x v="6"/>
    <x v="6"/>
    <n v="57"/>
    <s v="860047239"/>
    <s v="MUSICAR S.A.S"/>
    <s v="201903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RZO 2019"/>
    <n v="1910269"/>
    <n v="0"/>
    <n v="1910269"/>
    <x v="0"/>
    <x v="0"/>
    <x v="0"/>
    <n v="1910269"/>
    <n v="0"/>
    <n v="1910269"/>
    <x v="0"/>
    <x v="0"/>
    <x v="0"/>
    <n v="1910269"/>
    <n v="0"/>
    <n v="1910269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1355477"/>
    <n v="0"/>
    <n v="1355477"/>
    <x v="0"/>
    <x v="0"/>
    <x v="0"/>
    <n v="1355477"/>
    <n v="0"/>
    <n v="1355477"/>
    <x v="0"/>
    <x v="0"/>
    <x v="0"/>
    <n v="1355477"/>
    <n v="0"/>
    <n v="1355477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250793"/>
    <n v="0"/>
    <n v="250793"/>
    <x v="0"/>
    <x v="0"/>
    <x v="0"/>
    <n v="250793"/>
    <n v="0"/>
    <n v="250793"/>
    <x v="0"/>
    <x v="0"/>
    <x v="0"/>
    <n v="250793"/>
    <n v="0"/>
    <n v="250793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1097936"/>
    <n v="0"/>
    <n v="1097936"/>
    <x v="0"/>
    <x v="0"/>
    <x v="0"/>
    <n v="1097936"/>
    <n v="0"/>
    <n v="1097936"/>
    <x v="0"/>
    <x v="0"/>
    <x v="0"/>
    <n v="1097936"/>
    <n v="0"/>
    <n v="1097936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1355477"/>
    <n v="0"/>
    <n v="1355477"/>
    <x v="0"/>
    <x v="0"/>
    <x v="0"/>
    <n v="1355477"/>
    <n v="0"/>
    <n v="1355477"/>
    <x v="0"/>
    <x v="0"/>
    <x v="0"/>
    <n v="1355477"/>
    <n v="0"/>
    <n v="1355477"/>
    <x v="0"/>
    <x v="0"/>
    <x v="0"/>
    <x v="0"/>
    <x v="0"/>
  </r>
  <r>
    <x v="6"/>
    <x v="0"/>
    <x v="0"/>
    <x v="0"/>
    <x v="0"/>
    <x v="2"/>
    <x v="2"/>
    <n v="20253"/>
    <s v="PME001013J84"/>
    <s v="PANAMSAT DE MEXICO S DE RL DE CV"/>
    <s v="201905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C PANAMSAT - USD 18586 (TRM 3290.27)"/>
    <n v="790835.22"/>
    <n v="0"/>
    <n v="790835.22"/>
    <x v="0"/>
    <x v="0"/>
    <x v="0"/>
    <n v="790835.22"/>
    <n v="0"/>
    <n v="790835.22"/>
    <x v="0"/>
    <x v="0"/>
    <x v="0"/>
    <n v="790835.22"/>
    <n v="0"/>
    <n v="790835.22"/>
    <x v="0"/>
    <x v="0"/>
    <x v="0"/>
    <x v="0"/>
    <x v="0"/>
  </r>
  <r>
    <x v="6"/>
    <x v="0"/>
    <x v="0"/>
    <x v="0"/>
    <x v="0"/>
    <x v="6"/>
    <x v="6"/>
    <n v="59"/>
    <s v="860047239"/>
    <s v="MUSICAR S.A.S"/>
    <s v="201905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YO DEL 2018"/>
    <n v="2046319"/>
    <n v="0"/>
    <n v="2046319"/>
    <x v="0"/>
    <x v="0"/>
    <x v="0"/>
    <n v="2046319"/>
    <n v="0"/>
    <n v="2046319"/>
    <x v="0"/>
    <x v="0"/>
    <x v="0"/>
    <n v="2046319"/>
    <n v="0"/>
    <n v="2046319"/>
    <x v="0"/>
    <x v="0"/>
    <x v="0"/>
    <x v="0"/>
    <x v="0"/>
  </r>
  <r>
    <x v="6"/>
    <x v="0"/>
    <x v="0"/>
    <x v="0"/>
    <x v="0"/>
    <x v="6"/>
    <x v="6"/>
    <n v="59"/>
    <s v="860047239"/>
    <s v="MUSICAR S.A.S"/>
    <s v="201905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YO DEL 2018"/>
    <n v="2046318"/>
    <n v="0"/>
    <n v="2046318"/>
    <x v="0"/>
    <x v="0"/>
    <x v="0"/>
    <n v="2046318"/>
    <n v="0"/>
    <n v="2046318"/>
    <x v="0"/>
    <x v="0"/>
    <x v="0"/>
    <n v="2046318"/>
    <n v="0"/>
    <n v="2046318"/>
    <x v="0"/>
    <x v="0"/>
    <x v="0"/>
    <x v="0"/>
    <x v="0"/>
  </r>
  <r>
    <x v="2"/>
    <x v="0"/>
    <x v="0"/>
    <x v="0"/>
    <x v="0"/>
    <x v="2"/>
    <x v="2"/>
    <n v="20295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X TERCEROS - DIF EN CAMBIO EN LA CUENTA DE DEPOSITOS PARA CONTRATO"/>
    <n v="1117214"/>
    <n v="0"/>
    <n v="1117214"/>
    <x v="0"/>
    <x v="0"/>
    <x v="0"/>
    <n v="1117214"/>
    <n v="0"/>
    <n v="1117214"/>
    <x v="0"/>
    <x v="0"/>
    <x v="0"/>
    <n v="1117214"/>
    <n v="0"/>
    <n v="1117214"/>
    <x v="0"/>
    <x v="0"/>
    <x v="0"/>
    <x v="0"/>
    <x v="0"/>
  </r>
  <r>
    <x v="2"/>
    <x v="0"/>
    <x v="0"/>
    <x v="0"/>
    <x v="0"/>
    <x v="2"/>
    <x v="2"/>
    <n v="20295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X TERCEROS - DIF EN CAMBIO EN LA CUENTA DE DEPOSITOS PARA CONTRATO"/>
    <n v="0"/>
    <n v="1054174"/>
    <n v="-1054174"/>
    <x v="0"/>
    <x v="0"/>
    <x v="0"/>
    <n v="0"/>
    <n v="1054174"/>
    <n v="-1054174"/>
    <x v="0"/>
    <x v="0"/>
    <x v="0"/>
    <n v="0"/>
    <n v="1054174"/>
    <n v="-1054174"/>
    <x v="0"/>
    <x v="0"/>
    <x v="0"/>
    <x v="0"/>
    <x v="0"/>
  </r>
  <r>
    <x v="2"/>
    <x v="0"/>
    <x v="0"/>
    <x v="0"/>
    <x v="0"/>
    <x v="2"/>
    <x v="2"/>
    <n v="20295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X TERCEROS - DIF EN CAMBIO EN LA CUENTA DE DEPOSITOS PARA CONTRATO"/>
    <n v="1054174"/>
    <n v="0"/>
    <n v="1054174"/>
    <x v="0"/>
    <x v="0"/>
    <x v="0"/>
    <n v="1054174"/>
    <n v="0"/>
    <n v="1054174"/>
    <x v="0"/>
    <x v="0"/>
    <x v="0"/>
    <n v="1054174"/>
    <n v="0"/>
    <n v="1054174"/>
    <x v="0"/>
    <x v="0"/>
    <x v="0"/>
    <x v="0"/>
    <x v="0"/>
  </r>
  <r>
    <x v="2"/>
    <x v="0"/>
    <x v="0"/>
    <x v="0"/>
    <x v="0"/>
    <x v="2"/>
    <x v="2"/>
    <n v="20295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X TERCEROS - DIF EN CAMBIO EN LA CUENTA DE DEPOSITOS PARA CONTRATO"/>
    <n v="0"/>
    <n v="1117214"/>
    <n v="-1117214"/>
    <x v="0"/>
    <x v="0"/>
    <x v="0"/>
    <n v="0"/>
    <n v="1117214"/>
    <n v="-1117214"/>
    <x v="0"/>
    <x v="0"/>
    <x v="0"/>
    <n v="0"/>
    <n v="1117214"/>
    <n v="-1117214"/>
    <x v="0"/>
    <x v="0"/>
    <x v="0"/>
    <x v="0"/>
    <x v="0"/>
  </r>
  <r>
    <x v="2"/>
    <x v="0"/>
    <x v="0"/>
    <x v="0"/>
    <x v="0"/>
    <x v="2"/>
    <x v="2"/>
    <n v="20284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RRECCION SALDO BAJO NIIF, EN LA CUENTA DE INTELSAT"/>
    <n v="0"/>
    <n v="0"/>
    <n v="0"/>
    <x v="0"/>
    <x v="0"/>
    <x v="0"/>
    <n v="0"/>
    <n v="147862"/>
    <n v="-147862"/>
    <x v="0"/>
    <x v="0"/>
    <x v="0"/>
    <n v="0"/>
    <n v="0"/>
    <n v="0"/>
    <x v="0"/>
    <x v="0"/>
    <x v="0"/>
    <x v="0"/>
    <x v="0"/>
  </r>
  <r>
    <x v="2"/>
    <x v="0"/>
    <x v="0"/>
    <x v="0"/>
    <x v="0"/>
    <x v="2"/>
    <x v="2"/>
    <n v="20284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RRECCION SALDO BAJO NIIF, EN LA CUENTA DE INTELSAT"/>
    <n v="0"/>
    <n v="0"/>
    <n v="0"/>
    <x v="0"/>
    <x v="0"/>
    <x v="0"/>
    <n v="0"/>
    <n v="156705"/>
    <n v="-156705"/>
    <x v="0"/>
    <x v="0"/>
    <x v="0"/>
    <n v="0"/>
    <n v="0"/>
    <n v="0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190243"/>
    <n v="0"/>
    <n v="190243"/>
    <x v="0"/>
    <x v="0"/>
    <x v="0"/>
    <n v="190243"/>
    <n v="0"/>
    <n v="190243"/>
    <x v="0"/>
    <x v="0"/>
    <x v="0"/>
    <n v="190243"/>
    <n v="0"/>
    <n v="190243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1858764"/>
    <n v="0"/>
    <n v="1858764"/>
    <x v="0"/>
    <x v="0"/>
    <x v="0"/>
    <n v="1858764"/>
    <n v="0"/>
    <n v="1858764"/>
    <x v="0"/>
    <x v="0"/>
    <x v="0"/>
    <n v="1858764"/>
    <n v="0"/>
    <n v="1858764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0"/>
    <n v="0"/>
    <n v="0"/>
    <x v="0"/>
    <x v="0"/>
    <x v="0"/>
    <n v="721682"/>
    <n v="0"/>
    <n v="721682"/>
    <x v="0"/>
    <x v="0"/>
    <x v="0"/>
    <n v="0"/>
    <n v="0"/>
    <n v="0"/>
    <x v="0"/>
    <x v="0"/>
    <x v="0"/>
    <x v="0"/>
    <x v="0"/>
  </r>
  <r>
    <x v="3"/>
    <x v="0"/>
    <x v="0"/>
    <x v="0"/>
    <x v="0"/>
    <x v="2"/>
    <x v="2"/>
    <n v="20569"/>
    <s v="PME001013J84"/>
    <s v="PANAMSAT DE MEXICO S DE RL DE CV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SERVICIO MARZO (TRM 3199.72)"/>
    <n v="11209723.92"/>
    <n v="0"/>
    <n v="11209723.92"/>
    <x v="0"/>
    <x v="0"/>
    <x v="0"/>
    <n v="11209723.92"/>
    <n v="0"/>
    <n v="11209723.92"/>
    <x v="0"/>
    <x v="0"/>
    <x v="0"/>
    <n v="11209723.92"/>
    <n v="0"/>
    <n v="11209723.92"/>
    <x v="0"/>
    <x v="0"/>
    <x v="0"/>
    <x v="0"/>
    <x v="0"/>
  </r>
  <r>
    <x v="3"/>
    <x v="0"/>
    <x v="0"/>
    <x v="0"/>
    <x v="0"/>
    <x v="2"/>
    <x v="2"/>
    <n v="20560"/>
    <s v="900397145"/>
    <s v="TILETRADE S.A.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900397145"/>
    <s v="TILETRAD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GO DIVIDENDOS CUOTA 04 (USD 3718.47   / TRM 3195)"/>
    <n v="8.65"/>
    <n v="0"/>
    <n v="8.65"/>
    <x v="0"/>
    <x v="0"/>
    <x v="0"/>
    <n v="8.65"/>
    <n v="0"/>
    <n v="8.65"/>
    <x v="0"/>
    <x v="0"/>
    <x v="0"/>
    <n v="8.65"/>
    <n v="0"/>
    <n v="8.65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1694671"/>
    <n v="0"/>
    <n v="1694671"/>
    <x v="0"/>
    <x v="0"/>
    <x v="0"/>
    <n v="1694671"/>
    <n v="0"/>
    <n v="1694671"/>
    <x v="0"/>
    <x v="0"/>
    <x v="0"/>
    <n v="1694671"/>
    <n v="0"/>
    <n v="1694671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1694672"/>
    <n v="0"/>
    <n v="1694672"/>
    <x v="0"/>
    <x v="0"/>
    <x v="0"/>
    <n v="1694672"/>
    <n v="0"/>
    <n v="1694672"/>
    <x v="0"/>
    <x v="0"/>
    <x v="0"/>
    <n v="1694672"/>
    <n v="0"/>
    <n v="1694672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479651"/>
    <n v="0"/>
    <n v="479651"/>
    <x v="0"/>
    <x v="0"/>
    <x v="0"/>
    <n v="479651"/>
    <n v="0"/>
    <n v="479651"/>
    <x v="0"/>
    <x v="0"/>
    <x v="0"/>
    <n v="479651"/>
    <n v="0"/>
    <n v="479651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1694671"/>
    <n v="0"/>
    <n v="1694671"/>
    <x v="0"/>
    <x v="0"/>
    <x v="0"/>
    <n v="1694671"/>
    <n v="0"/>
    <n v="1694671"/>
    <x v="0"/>
    <x v="0"/>
    <x v="0"/>
    <n v="1694671"/>
    <n v="0"/>
    <n v="1694671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0"/>
    <n v="0"/>
    <n v="0"/>
    <x v="0"/>
    <x v="0"/>
    <x v="0"/>
    <n v="0"/>
    <n v="0"/>
    <n v="0"/>
    <x v="0"/>
    <x v="0"/>
    <x v="0"/>
    <n v="1113914"/>
    <n v="0"/>
    <n v="1113914"/>
    <x v="0"/>
    <x v="0"/>
    <x v="0"/>
    <x v="0"/>
    <x v="0"/>
  </r>
  <r>
    <x v="4"/>
    <x v="0"/>
    <x v="0"/>
    <x v="0"/>
    <x v="0"/>
    <x v="2"/>
    <x v="2"/>
    <n v="20687"/>
    <s v="900397145"/>
    <s v="TILETRADE S.A."/>
    <s v="201908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900397145"/>
    <s v="TILETRAD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IVIDENDOS CUOTA 05 ( USD 3435.77 - TRM 3457.89)"/>
    <n v="11.73"/>
    <n v="0"/>
    <n v="11.73"/>
    <x v="0"/>
    <x v="0"/>
    <x v="0"/>
    <n v="11.73"/>
    <n v="0"/>
    <n v="11.73"/>
    <x v="0"/>
    <x v="0"/>
    <x v="0"/>
    <n v="11.73"/>
    <n v="0"/>
    <n v="11.73"/>
    <x v="0"/>
    <x v="0"/>
    <x v="0"/>
    <x v="0"/>
    <x v="0"/>
  </r>
  <r>
    <x v="4"/>
    <x v="0"/>
    <x v="0"/>
    <x v="0"/>
    <x v="0"/>
    <x v="2"/>
    <x v="2"/>
    <n v="20690"/>
    <s v="440000000330"/>
    <s v="BANCOLOMBIA CAYMAN"/>
    <s v="201908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1707136"/>
    <s v="CODINGTON TRADING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IVIDENDOS CUOTA 05 ( USD 3865.24 - TRM 3457.89)"/>
    <n v="347884.34"/>
    <n v="0"/>
    <n v="347884.34"/>
    <x v="0"/>
    <x v="0"/>
    <x v="0"/>
    <n v="347884.34"/>
    <n v="0"/>
    <n v="347884.34"/>
    <x v="0"/>
    <x v="0"/>
    <x v="0"/>
    <n v="347884.34"/>
    <n v="0"/>
    <n v="347884.34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2424357"/>
    <n v="0"/>
    <n v="2424357"/>
    <x v="0"/>
    <x v="0"/>
    <x v="0"/>
    <n v="2424357"/>
    <n v="0"/>
    <n v="2424357"/>
    <x v="0"/>
    <x v="0"/>
    <x v="0"/>
    <n v="2424357"/>
    <n v="0"/>
    <n v="2424357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2424357"/>
    <n v="0"/>
    <n v="2424357"/>
    <x v="0"/>
    <x v="0"/>
    <x v="0"/>
    <n v="2424357"/>
    <n v="0"/>
    <n v="2424357"/>
    <x v="0"/>
    <x v="0"/>
    <x v="0"/>
    <n v="2424357"/>
    <n v="0"/>
    <n v="2424357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2424357"/>
    <n v="0"/>
    <n v="2424357"/>
    <x v="0"/>
    <x v="0"/>
    <x v="0"/>
    <n v="2424357"/>
    <n v="0"/>
    <n v="2424357"/>
    <x v="0"/>
    <x v="0"/>
    <x v="0"/>
    <n v="2424357"/>
    <n v="0"/>
    <n v="2424357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2424357"/>
    <n v="0"/>
    <n v="2424357"/>
    <x v="0"/>
    <x v="0"/>
    <x v="0"/>
    <n v="2424357"/>
    <n v="0"/>
    <n v="2424357"/>
    <x v="0"/>
    <x v="0"/>
    <x v="0"/>
    <n v="2424357"/>
    <n v="0"/>
    <n v="2424357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0"/>
    <n v="0"/>
    <n v="0"/>
    <x v="0"/>
    <x v="0"/>
    <x v="0"/>
    <n v="0"/>
    <n v="0"/>
    <n v="0"/>
    <x v="0"/>
    <x v="0"/>
    <x v="0"/>
    <n v="1593541"/>
    <n v="0"/>
    <n v="159354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501518"/>
    <n v="0"/>
    <n v="501518"/>
    <x v="0"/>
    <x v="0"/>
    <x v="0"/>
    <n v="501518"/>
    <n v="0"/>
    <n v="501518"/>
    <x v="0"/>
    <x v="0"/>
    <x v="0"/>
    <n v="501518"/>
    <n v="0"/>
    <n v="50151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708.74"/>
    <n v="0"/>
    <n v="100708.74"/>
    <x v="0"/>
    <x v="0"/>
    <x v="0"/>
    <n v="100708.74"/>
    <n v="0"/>
    <n v="100708.74"/>
    <x v="0"/>
    <x v="0"/>
    <x v="0"/>
    <n v="100708.74"/>
    <n v="0"/>
    <n v="100708.7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2"/>
    <n v="0"/>
    <n v="34322"/>
    <x v="0"/>
    <x v="0"/>
    <x v="0"/>
    <n v="34322"/>
    <n v="0"/>
    <n v="34322"/>
    <x v="0"/>
    <x v="0"/>
    <x v="0"/>
    <n v="34322"/>
    <n v="0"/>
    <n v="3432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2850.27"/>
    <n v="0"/>
    <n v="2850.27"/>
    <x v="0"/>
    <x v="0"/>
    <x v="0"/>
    <n v="2850.27"/>
    <n v="0"/>
    <n v="2850.27"/>
    <x v="0"/>
    <x v="0"/>
    <x v="0"/>
    <n v="2850.27"/>
    <n v="0"/>
    <n v="2850.2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4206.44"/>
    <n v="0"/>
    <n v="74206.44"/>
    <x v="0"/>
    <x v="0"/>
    <x v="0"/>
    <n v="74206.44"/>
    <n v="0"/>
    <n v="74206.44"/>
    <x v="0"/>
    <x v="0"/>
    <x v="0"/>
    <n v="74206.44"/>
    <n v="0"/>
    <n v="74206.4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5338.8"/>
    <n v="0"/>
    <n v="185338.80000000002"/>
    <x v="0"/>
    <x v="0"/>
    <x v="0"/>
    <n v="185338.8"/>
    <n v="0"/>
    <n v="185338.80000000002"/>
    <x v="0"/>
    <x v="0"/>
    <x v="0"/>
    <n v="185338.8"/>
    <n v="0"/>
    <n v="185338.8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70360.100000000006"/>
    <n v="0"/>
    <n v="70360.100000000006"/>
    <x v="0"/>
    <x v="0"/>
    <x v="0"/>
    <n v="70360.100000000006"/>
    <n v="0"/>
    <n v="70360.100000000006"/>
    <x v="0"/>
    <x v="0"/>
    <x v="0"/>
    <n v="70360.100000000006"/>
    <n v="0"/>
    <n v="70360.10000000000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6.97"/>
    <n v="0"/>
    <n v="3556.9700000000003"/>
    <x v="0"/>
    <x v="0"/>
    <x v="0"/>
    <n v="3556.97"/>
    <n v="0"/>
    <n v="3556.9700000000003"/>
    <x v="0"/>
    <x v="0"/>
    <x v="0"/>
    <n v="3556.97"/>
    <n v="0"/>
    <n v="3556.97000000000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Sancion Ciclo Extra ACH"/>
    <n v="0"/>
    <n v="15589.04"/>
    <n v="-15589.04"/>
    <x v="0"/>
    <x v="0"/>
    <x v="0"/>
    <n v="0"/>
    <n v="15589.04"/>
    <n v="-15589.04"/>
    <x v="0"/>
    <x v="0"/>
    <x v="0"/>
    <n v="0"/>
    <n v="15589.04"/>
    <n v="-15589.04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6.97"/>
    <n v="0"/>
    <n v="3556.9700000000003"/>
    <x v="0"/>
    <x v="0"/>
    <x v="0"/>
    <n v="3556.97"/>
    <n v="0"/>
    <n v="3556.9700000000003"/>
    <x v="0"/>
    <x v="0"/>
    <x v="0"/>
    <n v="3556.97"/>
    <n v="0"/>
    <n v="3556.97000000000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Sancion Ciclo Extra ACH"/>
    <n v="0"/>
    <n v="6391.51"/>
    <n v="-6391.51"/>
    <x v="0"/>
    <x v="0"/>
    <x v="0"/>
    <n v="0"/>
    <n v="6391.51"/>
    <n v="-6391.51"/>
    <x v="0"/>
    <x v="0"/>
    <x v="0"/>
    <n v="0"/>
    <n v="6391.51"/>
    <n v="-6391.51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2"/>
    <x v="2"/>
    <n v="20281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  BACOLOMBIA -SERVIDOR PANTALLAS"/>
    <n v="18119.080000000002"/>
    <n v="0"/>
    <n v="18119.080000000002"/>
    <x v="0"/>
    <x v="0"/>
    <x v="0"/>
    <n v="18119.080000000002"/>
    <n v="0"/>
    <n v="18119.080000000002"/>
    <x v="0"/>
    <x v="0"/>
    <x v="0"/>
    <n v="18119.080000000002"/>
    <n v="0"/>
    <n v="18119.080000000002"/>
    <x v="0"/>
    <x v="0"/>
    <x v="0"/>
    <x v="0"/>
    <x v="0"/>
  </r>
  <r>
    <x v="6"/>
    <x v="0"/>
    <x v="0"/>
    <x v="0"/>
    <x v="0"/>
    <x v="2"/>
    <x v="2"/>
    <n v="20285"/>
    <s v="444444464"/>
    <s v="DANQ ENVIRONMENTAL TECHNOLOGY Co., LTD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4444437"/>
    <s v="PAYP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3015 BANCOLOMBIA"/>
    <n v="740191.07"/>
    <n v="0"/>
    <n v="740191.07000000007"/>
    <x v="0"/>
    <x v="0"/>
    <x v="0"/>
    <n v="740191.07"/>
    <n v="0"/>
    <n v="740191.07000000007"/>
    <x v="0"/>
    <x v="0"/>
    <x v="0"/>
    <n v="740191.07"/>
    <n v="0"/>
    <n v="740191.07000000007"/>
    <x v="0"/>
    <x v="0"/>
    <x v="0"/>
    <x v="0"/>
    <x v="0"/>
  </r>
  <r>
    <x v="2"/>
    <x v="0"/>
    <x v="0"/>
    <x v="0"/>
    <x v="0"/>
    <x v="11"/>
    <x v="11"/>
    <n v="26433"/>
    <s v="4519543"/>
    <s v="GARCIA CASTAÑO FREDY JHOVANNY"/>
    <s v="201906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340_x000d__x000a_CJM 255_x000d__x000a_GASTOS BANCARIOS"/>
    <n v="7940"/>
    <n v="0"/>
    <n v="7940"/>
    <x v="0"/>
    <x v="0"/>
    <x v="0"/>
    <n v="7940"/>
    <n v="0"/>
    <n v="7940"/>
    <x v="0"/>
    <x v="0"/>
    <x v="0"/>
    <n v="7940"/>
    <n v="0"/>
    <n v="7940"/>
    <x v="0"/>
    <x v="0"/>
    <x v="0"/>
    <x v="0"/>
    <x v="0"/>
  </r>
  <r>
    <x v="2"/>
    <x v="0"/>
    <x v="0"/>
    <x v="0"/>
    <x v="0"/>
    <x v="11"/>
    <x v="11"/>
    <n v="26434"/>
    <s v="71631400"/>
    <s v="CARRASQUILLA PIZARRO MARCO ANTONIO"/>
    <s v="201906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3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435"/>
    <s v="1045717933"/>
    <s v="PALMA GUTIERREZ KETTY JANETH"/>
    <s v="201906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57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445"/>
    <s v="71631400"/>
    <s v="CARRASQUILLA PIZARRO MARCO ANTONIO"/>
    <s v="201906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71631400"/>
    <s v="CARRASQUILLA PIZARRO MARCO ANTONIO"/>
    <x v="0"/>
    <x v="2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 583 + GASTOS"/>
    <n v="50"/>
    <n v="0"/>
    <n v="50"/>
    <x v="0"/>
    <x v="0"/>
    <x v="0"/>
    <n v="50"/>
    <n v="0"/>
    <n v="50"/>
    <x v="0"/>
    <x v="0"/>
    <x v="0"/>
    <n v="50"/>
    <n v="0"/>
    <n v="50"/>
    <x v="0"/>
    <x v="0"/>
    <x v="0"/>
    <x v="0"/>
    <x v="0"/>
  </r>
  <r>
    <x v="2"/>
    <x v="0"/>
    <x v="0"/>
    <x v="0"/>
    <x v="0"/>
    <x v="11"/>
    <x v="11"/>
    <n v="26446"/>
    <s v="1045717933"/>
    <s v="PALMA GUTIERREZ KETTY JANETH"/>
    <s v="201906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45717933"/>
    <s v="PALMA GUTIERREZ KETTY JANET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476 - LAN 193 + GASTOS BANCARI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447"/>
    <s v="1018441067"/>
    <s v="ALONSO GUTIERREZ YINNETH CATALINA"/>
    <s v="201906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0+GASTOS BANCARIOS"/>
    <n v="11484"/>
    <n v="0"/>
    <n v="11484"/>
    <x v="0"/>
    <x v="0"/>
    <x v="0"/>
    <n v="11484"/>
    <n v="0"/>
    <n v="11484"/>
    <x v="0"/>
    <x v="0"/>
    <x v="0"/>
    <n v="11484"/>
    <n v="0"/>
    <n v="11484"/>
    <x v="0"/>
    <x v="0"/>
    <x v="0"/>
    <x v="0"/>
    <x v="0"/>
  </r>
  <r>
    <x v="2"/>
    <x v="0"/>
    <x v="0"/>
    <x v="0"/>
    <x v="0"/>
    <x v="11"/>
    <x v="11"/>
    <n v="26448"/>
    <s v="1098657994"/>
    <s v="HERNANDEZ ROJAS JOHN EDISON"/>
    <s v="201906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4+ GASTOS BANCARIOS"/>
    <n v="6739"/>
    <n v="0"/>
    <n v="6739"/>
    <x v="0"/>
    <x v="0"/>
    <x v="0"/>
    <n v="6739"/>
    <n v="0"/>
    <n v="6739"/>
    <x v="0"/>
    <x v="0"/>
    <x v="0"/>
    <n v="6739"/>
    <n v="0"/>
    <n v="6739"/>
    <x v="0"/>
    <x v="0"/>
    <x v="0"/>
    <x v="0"/>
    <x v="0"/>
  </r>
  <r>
    <x v="2"/>
    <x v="0"/>
    <x v="0"/>
    <x v="0"/>
    <x v="0"/>
    <x v="2"/>
    <x v="2"/>
    <n v="20310"/>
    <s v="860002964"/>
    <s v="BANCO DE BOGOTA S.A."/>
    <s v="201906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MAYO DEL 2019"/>
    <n v="84981.45"/>
    <n v="0"/>
    <n v="84981.45"/>
    <x v="0"/>
    <x v="0"/>
    <x v="0"/>
    <n v="84981.45"/>
    <n v="0"/>
    <n v="84981.45"/>
    <x v="0"/>
    <x v="0"/>
    <x v="0"/>
    <n v="84981.45"/>
    <n v="0"/>
    <n v="84981.45"/>
    <x v="0"/>
    <x v="0"/>
    <x v="0"/>
    <x v="0"/>
    <x v="0"/>
  </r>
  <r>
    <x v="2"/>
    <x v="0"/>
    <x v="0"/>
    <x v="0"/>
    <x v="0"/>
    <x v="2"/>
    <x v="2"/>
    <n v="20322"/>
    <s v="890300279"/>
    <s v="BANCO DE OCCIDENTE."/>
    <s v="2019061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MAYO DEL 2019"/>
    <n v="135874"/>
    <n v="0"/>
    <n v="135874"/>
    <x v="0"/>
    <x v="0"/>
    <x v="0"/>
    <n v="135874"/>
    <n v="0"/>
    <n v="135874"/>
    <x v="0"/>
    <x v="0"/>
    <x v="0"/>
    <n v="135874"/>
    <n v="0"/>
    <n v="135874"/>
    <x v="0"/>
    <x v="0"/>
    <x v="0"/>
    <x v="0"/>
    <x v="0"/>
  </r>
  <r>
    <x v="2"/>
    <x v="0"/>
    <x v="0"/>
    <x v="0"/>
    <x v="0"/>
    <x v="11"/>
    <x v="11"/>
    <n v="26519"/>
    <s v="71631400"/>
    <s v="CARRASQUILLA PIZARRO MARCO ANTONIO"/>
    <s v="2019062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7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2"/>
    <x v="0"/>
    <x v="0"/>
    <x v="0"/>
    <x v="0"/>
    <x v="11"/>
    <x v="11"/>
    <n v="26520"/>
    <s v="1045717933"/>
    <s v="PALMA GUTIERREZ KETTY JANETH"/>
    <s v="2019062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4"/>
    <n v="2400"/>
    <n v="0"/>
    <n v="2400"/>
    <x v="0"/>
    <x v="0"/>
    <x v="0"/>
    <n v="2400"/>
    <n v="0"/>
    <n v="2400"/>
    <x v="0"/>
    <x v="0"/>
    <x v="0"/>
    <n v="2400"/>
    <n v="0"/>
    <n v="2400"/>
    <x v="0"/>
    <x v="0"/>
    <x v="0"/>
    <x v="0"/>
    <x v="0"/>
  </r>
  <r>
    <x v="2"/>
    <x v="0"/>
    <x v="0"/>
    <x v="0"/>
    <x v="0"/>
    <x v="11"/>
    <x v="11"/>
    <n v="26608"/>
    <s v="1045717933"/>
    <s v="PALMA GUTIERREZ KETTY JANETH"/>
    <s v="201906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7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609"/>
    <s v="1018441067"/>
    <s v="ALONSO GUTIERREZ YINNETH CATALINA"/>
    <s v="201906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2"/>
    <n v="3754"/>
    <n v="0"/>
    <n v="3754"/>
    <x v="0"/>
    <x v="0"/>
    <x v="0"/>
    <n v="3754"/>
    <n v="0"/>
    <n v="3754"/>
    <x v="0"/>
    <x v="0"/>
    <x v="0"/>
    <n v="3754"/>
    <n v="0"/>
    <n v="3754"/>
    <x v="0"/>
    <x v="0"/>
    <x v="0"/>
    <x v="0"/>
    <x v="0"/>
  </r>
  <r>
    <x v="2"/>
    <x v="0"/>
    <x v="0"/>
    <x v="0"/>
    <x v="0"/>
    <x v="11"/>
    <x v="11"/>
    <n v="26610"/>
    <s v="1036930909"/>
    <s v="ALZATE SANCHEZ NATACHA"/>
    <s v="201906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79"/>
    <n v="8506"/>
    <n v="0"/>
    <n v="8506"/>
    <x v="0"/>
    <x v="0"/>
    <x v="0"/>
    <n v="8506"/>
    <n v="0"/>
    <n v="8506"/>
    <x v="0"/>
    <x v="0"/>
    <x v="0"/>
    <n v="8506"/>
    <n v="0"/>
    <n v="8506"/>
    <x v="0"/>
    <x v="0"/>
    <x v="0"/>
    <x v="0"/>
    <x v="0"/>
  </r>
  <r>
    <x v="2"/>
    <x v="0"/>
    <x v="0"/>
    <x v="0"/>
    <x v="0"/>
    <x v="2"/>
    <x v="2"/>
    <n v="20378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BANCOLOMBIA"/>
    <n v="8655.7000000000007"/>
    <n v="0"/>
    <n v="8655.7000000000007"/>
    <x v="0"/>
    <x v="0"/>
    <x v="0"/>
    <n v="8655.7000000000007"/>
    <n v="0"/>
    <n v="8655.7000000000007"/>
    <x v="0"/>
    <x v="0"/>
    <x v="0"/>
    <n v="8655.7000000000007"/>
    <n v="0"/>
    <n v="8655.7000000000007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2"/>
    <x v="0"/>
    <x v="0"/>
    <x v="0"/>
    <x v="0"/>
    <x v="11"/>
    <x v="11"/>
    <n v="26491"/>
    <s v="1045717933"/>
    <s v="PALMA GUTIERREZ KETTY JANETH"/>
    <s v="201906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3+GAST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512"/>
    <s v="31908098"/>
    <s v="LOPEZ GARCIA MARIA DEL SOCORRO"/>
    <s v="201906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4"/>
    <n v="11250"/>
    <n v="0"/>
    <n v="11250"/>
    <x v="0"/>
    <x v="0"/>
    <x v="0"/>
    <n v="11250"/>
    <n v="0"/>
    <n v="11250"/>
    <x v="0"/>
    <x v="0"/>
    <x v="0"/>
    <n v="11250"/>
    <n v="0"/>
    <n v="11250"/>
    <x v="0"/>
    <x v="0"/>
    <x v="0"/>
    <x v="0"/>
    <x v="0"/>
  </r>
  <r>
    <x v="2"/>
    <x v="0"/>
    <x v="0"/>
    <x v="0"/>
    <x v="0"/>
    <x v="11"/>
    <x v="11"/>
    <n v="26513"/>
    <s v="1018441067"/>
    <s v="ALONSO GUTIERREZ YINNETH CATALINA"/>
    <s v="201906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1"/>
    <n v="7687.01"/>
    <n v="0"/>
    <n v="7687.01"/>
    <x v="0"/>
    <x v="0"/>
    <x v="0"/>
    <n v="7687.01"/>
    <n v="0"/>
    <n v="7687.01"/>
    <x v="0"/>
    <x v="0"/>
    <x v="0"/>
    <n v="7687.01"/>
    <n v="0"/>
    <n v="7687.01"/>
    <x v="0"/>
    <x v="0"/>
    <x v="0"/>
    <x v="0"/>
    <x v="0"/>
  </r>
  <r>
    <x v="2"/>
    <x v="0"/>
    <x v="0"/>
    <x v="0"/>
    <x v="0"/>
    <x v="11"/>
    <x v="11"/>
    <n v="26526"/>
    <s v="1045717933"/>
    <s v="PALMA GUTIERREZ KETTY JANETH"/>
    <s v="2019062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7+ GASTOS BANCARIOS"/>
    <n v="5158"/>
    <n v="0"/>
    <n v="5158"/>
    <x v="0"/>
    <x v="0"/>
    <x v="0"/>
    <n v="5158"/>
    <n v="0"/>
    <n v="5158"/>
    <x v="0"/>
    <x v="0"/>
    <x v="0"/>
    <n v="5158"/>
    <n v="0"/>
    <n v="5158"/>
    <x v="0"/>
    <x v="0"/>
    <x v="0"/>
    <x v="0"/>
    <x v="0"/>
  </r>
  <r>
    <x v="6"/>
    <x v="0"/>
    <x v="0"/>
    <x v="0"/>
    <x v="0"/>
    <x v="2"/>
    <x v="2"/>
    <n v="2026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MAYO -  CONCILIACION BANCOLOMBIA"/>
    <n v="153000"/>
    <n v="0"/>
    <n v="153000"/>
    <x v="0"/>
    <x v="0"/>
    <x v="0"/>
    <n v="153000"/>
    <n v="0"/>
    <n v="153000"/>
    <x v="0"/>
    <x v="0"/>
    <x v="0"/>
    <n v="153000"/>
    <n v="0"/>
    <n v="153000"/>
    <x v="0"/>
    <x v="0"/>
    <x v="0"/>
    <x v="0"/>
    <x v="0"/>
  </r>
  <r>
    <x v="2"/>
    <x v="0"/>
    <x v="0"/>
    <x v="0"/>
    <x v="0"/>
    <x v="11"/>
    <x v="11"/>
    <n v="26490"/>
    <s v="71631400"/>
    <s v="CARRASQUILLA PIZARRO MARCO ANTONIO"/>
    <s v="201906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5 + GASTOS"/>
    <n v="5000"/>
    <n v="0"/>
    <n v="5000"/>
    <x v="0"/>
    <x v="0"/>
    <x v="0"/>
    <n v="5000"/>
    <n v="0"/>
    <n v="5000"/>
    <x v="0"/>
    <x v="0"/>
    <x v="0"/>
    <n v="5000"/>
    <n v="0"/>
    <n v="5000"/>
    <x v="0"/>
    <x v="0"/>
    <x v="0"/>
    <x v="0"/>
    <x v="0"/>
  </r>
  <r>
    <x v="2"/>
    <x v="0"/>
    <x v="0"/>
    <x v="0"/>
    <x v="0"/>
    <x v="11"/>
    <x v="11"/>
    <n v="26531"/>
    <s v="1098657994"/>
    <s v="HERNANDEZ ROJAS JOHN EDISON"/>
    <s v="2019062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497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998.28"/>
    <n v="0"/>
    <n v="12998.28"/>
    <x v="0"/>
    <x v="0"/>
    <x v="0"/>
    <n v="12998.28"/>
    <n v="0"/>
    <n v="12998.28"/>
    <x v="0"/>
    <x v="0"/>
    <x v="0"/>
    <n v="12998.28"/>
    <n v="0"/>
    <n v="12998.2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3728.8"/>
    <n v="0"/>
    <n v="13728.800000000001"/>
    <x v="0"/>
    <x v="0"/>
    <x v="0"/>
    <n v="13728.8"/>
    <n v="0"/>
    <n v="13728.800000000001"/>
    <x v="0"/>
    <x v="0"/>
    <x v="0"/>
    <n v="13728.8"/>
    <n v="0"/>
    <n v="13728.8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2"/>
    <n v="0"/>
    <n v="34322"/>
    <x v="0"/>
    <x v="0"/>
    <x v="0"/>
    <n v="34322"/>
    <n v="0"/>
    <n v="34322"/>
    <x v="0"/>
    <x v="0"/>
    <x v="0"/>
    <n v="34322"/>
    <n v="0"/>
    <n v="3432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69893.9"/>
    <n v="0"/>
    <n v="169893.9"/>
    <x v="0"/>
    <x v="0"/>
    <x v="0"/>
    <n v="169893.9"/>
    <n v="0"/>
    <n v="169893.9"/>
    <x v="0"/>
    <x v="0"/>
    <x v="0"/>
    <n v="169893.9"/>
    <n v="0"/>
    <n v="169893.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60000"/>
    <n v="0"/>
    <n v="60000"/>
    <x v="0"/>
    <x v="0"/>
    <x v="0"/>
    <n v="60000"/>
    <n v="0"/>
    <n v="60000"/>
    <x v="0"/>
    <x v="0"/>
    <x v="0"/>
    <n v="60000"/>
    <n v="0"/>
    <n v="60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6009.2"/>
    <n v="0"/>
    <n v="106009.2"/>
    <x v="0"/>
    <x v="0"/>
    <x v="0"/>
    <n v="106009.2"/>
    <n v="0"/>
    <n v="106009.2"/>
    <x v="0"/>
    <x v="0"/>
    <x v="0"/>
    <n v="106009.2"/>
    <n v="0"/>
    <n v="106009.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605224"/>
    <n v="0"/>
    <n v="605224"/>
    <x v="0"/>
    <x v="0"/>
    <x v="0"/>
    <n v="605224"/>
    <n v="0"/>
    <n v="605224"/>
    <x v="0"/>
    <x v="0"/>
    <x v="0"/>
    <n v="605224"/>
    <n v="0"/>
    <n v="60522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3.79999999999"/>
    <n v="0"/>
    <n v="159013.80000000002"/>
    <x v="0"/>
    <x v="0"/>
    <x v="0"/>
    <n v="159013.79999999999"/>
    <n v="0"/>
    <n v="159013.80000000002"/>
    <x v="0"/>
    <x v="0"/>
    <x v="0"/>
    <n v="159013.79999999999"/>
    <n v="0"/>
    <n v="159013.8000000000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4750.45"/>
    <n v="0"/>
    <n v="4750.45"/>
    <x v="0"/>
    <x v="0"/>
    <x v="0"/>
    <n v="4750.45"/>
    <n v="0"/>
    <n v="4750.45"/>
    <x v="0"/>
    <x v="0"/>
    <x v="0"/>
    <n v="4750.45"/>
    <n v="0"/>
    <n v="4750.45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9470.300000000003"/>
    <n v="0"/>
    <n v="39470.300000000003"/>
    <x v="0"/>
    <x v="0"/>
    <x v="0"/>
    <n v="39470.300000000003"/>
    <n v="0"/>
    <n v="39470.300000000003"/>
    <x v="0"/>
    <x v="0"/>
    <x v="0"/>
    <n v="39470.300000000003"/>
    <n v="0"/>
    <n v="39470.30000000000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7054.9"/>
    <n v="0"/>
    <n v="187054.9"/>
    <x v="0"/>
    <x v="0"/>
    <x v="0"/>
    <n v="187054.9"/>
    <n v="0"/>
    <n v="187054.9"/>
    <x v="0"/>
    <x v="0"/>
    <x v="0"/>
    <n v="187054.9"/>
    <n v="0"/>
    <n v="187054.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9470.300000000003"/>
    <n v="0"/>
    <n v="39470.300000000003"/>
    <x v="0"/>
    <x v="0"/>
    <x v="0"/>
    <n v="39470.300000000003"/>
    <n v="0"/>
    <n v="39470.300000000003"/>
    <x v="0"/>
    <x v="0"/>
    <x v="0"/>
    <n v="39470.300000000003"/>
    <n v="0"/>
    <n v="39470.30000000000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.05"/>
    <n v="0"/>
    <n v="3557.05"/>
    <x v="0"/>
    <x v="0"/>
    <x v="0"/>
    <n v="3557.05"/>
    <n v="0"/>
    <n v="3557.05"/>
    <x v="0"/>
    <x v="0"/>
    <x v="0"/>
    <n v="3557.05"/>
    <n v="0"/>
    <n v="3557.05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42088"/>
    <n v="0"/>
    <n v="342088"/>
    <x v="0"/>
    <x v="0"/>
    <x v="0"/>
    <n v="342088"/>
    <n v="0"/>
    <n v="342088"/>
    <x v="0"/>
    <x v="0"/>
    <x v="0"/>
    <n v="342088"/>
    <n v="0"/>
    <n v="342088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.05"/>
    <n v="0"/>
    <n v="3557.05"/>
    <x v="0"/>
    <x v="0"/>
    <x v="0"/>
    <n v="3557.05"/>
    <n v="0"/>
    <n v="3557.05"/>
    <x v="0"/>
    <x v="0"/>
    <x v="0"/>
    <n v="3557.05"/>
    <n v="0"/>
    <n v="3557.05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2"/>
    <x v="2"/>
    <n v="20405"/>
    <s v="900406150"/>
    <s v="BANCO COOMEV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VERSION  DE GASTOS BANCARIOS BANCOOMEVA"/>
    <n v="0"/>
    <n v="57110.080000000002"/>
    <n v="-57110.080000000002"/>
    <x v="0"/>
    <x v="0"/>
    <x v="0"/>
    <n v="0"/>
    <n v="57110.080000000002"/>
    <n v="-57110.080000000002"/>
    <x v="0"/>
    <x v="0"/>
    <x v="0"/>
    <n v="0"/>
    <n v="57110.080000000002"/>
    <n v="-57110.080000000002"/>
    <x v="0"/>
    <x v="0"/>
    <x v="0"/>
    <x v="0"/>
    <x v="0"/>
  </r>
  <r>
    <x v="3"/>
    <x v="0"/>
    <x v="0"/>
    <x v="0"/>
    <x v="0"/>
    <x v="11"/>
    <x v="11"/>
    <n v="26672"/>
    <s v="1036930909"/>
    <s v="ALZATE SANCHEZ NATACHA"/>
    <s v="201907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267"/>
    <n v="41500"/>
    <n v="0"/>
    <n v="41500"/>
    <x v="0"/>
    <x v="0"/>
    <x v="0"/>
    <n v="41500"/>
    <n v="0"/>
    <n v="41500"/>
    <x v="0"/>
    <x v="0"/>
    <x v="0"/>
    <n v="41500"/>
    <n v="0"/>
    <n v="41500"/>
    <x v="0"/>
    <x v="0"/>
    <x v="0"/>
    <x v="0"/>
    <x v="0"/>
  </r>
  <r>
    <x v="3"/>
    <x v="0"/>
    <x v="0"/>
    <x v="0"/>
    <x v="0"/>
    <x v="11"/>
    <x v="11"/>
    <n v="26673"/>
    <s v="66915560"/>
    <s v="PEREZ ARCE GRETTY"/>
    <s v="201907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00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3"/>
    <x v="0"/>
    <x v="0"/>
    <x v="0"/>
    <x v="0"/>
    <x v="2"/>
    <x v="2"/>
    <n v="20455"/>
    <s v="860035827"/>
    <s v="BANCO AV VILLAS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0520-1 AV VILLAS"/>
    <n v="573457"/>
    <n v="0"/>
    <n v="573457"/>
    <x v="0"/>
    <x v="0"/>
    <x v="0"/>
    <n v="573457"/>
    <n v="0"/>
    <n v="573457"/>
    <x v="0"/>
    <x v="0"/>
    <x v="0"/>
    <n v="573457"/>
    <n v="0"/>
    <n v="573457"/>
    <x v="0"/>
    <x v="0"/>
    <x v="0"/>
    <x v="0"/>
    <x v="0"/>
  </r>
  <r>
    <x v="3"/>
    <x v="0"/>
    <x v="0"/>
    <x v="0"/>
    <x v="0"/>
    <x v="11"/>
    <x v="11"/>
    <n v="26686"/>
    <s v="1045717933"/>
    <s v="PALMA GUTIERREZ KETTY JANETH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70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3"/>
    <x v="0"/>
    <x v="0"/>
    <x v="0"/>
    <x v="0"/>
    <x v="11"/>
    <x v="11"/>
    <n v="26687"/>
    <s v="1098657994"/>
    <s v="HERNANDEZ ROJAS JOHN EDISON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5"/>
    <n v="7218"/>
    <n v="0"/>
    <n v="7218"/>
    <x v="0"/>
    <x v="0"/>
    <x v="0"/>
    <n v="7218"/>
    <n v="0"/>
    <n v="7218"/>
    <x v="0"/>
    <x v="0"/>
    <x v="0"/>
    <n v="7218"/>
    <n v="0"/>
    <n v="7218"/>
    <x v="0"/>
    <x v="0"/>
    <x v="0"/>
    <x v="0"/>
    <x v="0"/>
  </r>
  <r>
    <x v="3"/>
    <x v="0"/>
    <x v="0"/>
    <x v="0"/>
    <x v="0"/>
    <x v="11"/>
    <x v="11"/>
    <n v="26688"/>
    <s v="4519543"/>
    <s v="GARCIA CASTAÑO FREDY JHOVANNY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 511"/>
    <n v="2224"/>
    <n v="0"/>
    <n v="2224"/>
    <x v="0"/>
    <x v="0"/>
    <x v="0"/>
    <n v="2224"/>
    <n v="0"/>
    <n v="2224"/>
    <x v="0"/>
    <x v="0"/>
    <x v="0"/>
    <n v="2224"/>
    <n v="0"/>
    <n v="2224"/>
    <x v="0"/>
    <x v="0"/>
    <x v="0"/>
    <x v="0"/>
    <x v="0"/>
  </r>
  <r>
    <x v="3"/>
    <x v="0"/>
    <x v="0"/>
    <x v="0"/>
    <x v="0"/>
    <x v="11"/>
    <x v="11"/>
    <n v="26689"/>
    <s v="4519543"/>
    <s v="GARCIA CASTAÑO FREDY JHOVANNY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57"/>
    <n v="2468"/>
    <n v="0"/>
    <n v="2468"/>
    <x v="0"/>
    <x v="0"/>
    <x v="0"/>
    <n v="2468"/>
    <n v="0"/>
    <n v="2468"/>
    <x v="0"/>
    <x v="0"/>
    <x v="0"/>
    <n v="2468"/>
    <n v="0"/>
    <n v="2468"/>
    <x v="0"/>
    <x v="0"/>
    <x v="0"/>
    <x v="0"/>
    <x v="0"/>
  </r>
  <r>
    <x v="3"/>
    <x v="0"/>
    <x v="0"/>
    <x v="0"/>
    <x v="0"/>
    <x v="2"/>
    <x v="2"/>
    <n v="20465"/>
    <s v="860035827"/>
    <s v="BANCO AV VILLAS"/>
    <s v="2019071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 VILLAS OBLIGACION 7366-7"/>
    <n v="184383"/>
    <n v="0"/>
    <n v="184383"/>
    <x v="0"/>
    <x v="0"/>
    <x v="0"/>
    <n v="184383"/>
    <n v="0"/>
    <n v="184383"/>
    <x v="0"/>
    <x v="0"/>
    <x v="0"/>
    <n v="184383"/>
    <n v="0"/>
    <n v="184383"/>
    <x v="0"/>
    <x v="0"/>
    <x v="0"/>
    <x v="0"/>
    <x v="0"/>
  </r>
  <r>
    <x v="3"/>
    <x v="0"/>
    <x v="0"/>
    <x v="0"/>
    <x v="0"/>
    <x v="2"/>
    <x v="2"/>
    <n v="20469"/>
    <s v="890300279"/>
    <s v="BANCO DE OCCIDENTE."/>
    <s v="2019071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I VILLAS OBLIGACION 7666-7  18490 DEL MES DE JUNIO ATRARZADA"/>
    <n v="194576"/>
    <n v="0"/>
    <n v="194576"/>
    <x v="0"/>
    <x v="0"/>
    <x v="0"/>
    <n v="194576"/>
    <n v="0"/>
    <n v="194576"/>
    <x v="0"/>
    <x v="0"/>
    <x v="0"/>
    <n v="194576"/>
    <n v="0"/>
    <n v="194576"/>
    <x v="0"/>
    <x v="0"/>
    <x v="0"/>
    <x v="0"/>
    <x v="0"/>
  </r>
  <r>
    <x v="3"/>
    <x v="0"/>
    <x v="0"/>
    <x v="0"/>
    <x v="0"/>
    <x v="2"/>
    <x v="2"/>
    <n v="20471"/>
    <s v="890300279"/>
    <s v="BANCO DE OCCIDENTE."/>
    <s v="2019071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JUNIO DEL 2019"/>
    <n v="71722"/>
    <n v="0"/>
    <n v="71722"/>
    <x v="0"/>
    <x v="0"/>
    <x v="0"/>
    <n v="71722"/>
    <n v="0"/>
    <n v="71722"/>
    <x v="0"/>
    <x v="0"/>
    <x v="0"/>
    <n v="71722"/>
    <n v="0"/>
    <n v="71722"/>
    <x v="0"/>
    <x v="0"/>
    <x v="0"/>
    <x v="0"/>
    <x v="0"/>
  </r>
  <r>
    <x v="3"/>
    <x v="0"/>
    <x v="0"/>
    <x v="0"/>
    <x v="0"/>
    <x v="11"/>
    <x v="11"/>
    <n v="26753"/>
    <s v="31908098"/>
    <s v="LOPEZ GARCIA MARIA DEL SOCORRO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6"/>
    <n v="8503"/>
    <n v="0"/>
    <n v="8503"/>
    <x v="0"/>
    <x v="0"/>
    <x v="0"/>
    <n v="8503"/>
    <n v="0"/>
    <n v="8503"/>
    <x v="0"/>
    <x v="0"/>
    <x v="0"/>
    <n v="8503"/>
    <n v="0"/>
    <n v="8503"/>
    <x v="0"/>
    <x v="0"/>
    <x v="0"/>
    <x v="0"/>
    <x v="0"/>
  </r>
  <r>
    <x v="3"/>
    <x v="0"/>
    <x v="0"/>
    <x v="0"/>
    <x v="0"/>
    <x v="11"/>
    <x v="11"/>
    <n v="26658"/>
    <s v="1018441067"/>
    <s v="ALONSO GUTIERREZ YINNETH CATALINA"/>
    <s v="2019070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3"/>
    <n v="7410"/>
    <n v="0"/>
    <n v="7410"/>
    <x v="0"/>
    <x v="0"/>
    <x v="0"/>
    <n v="7410"/>
    <n v="0"/>
    <n v="7410"/>
    <x v="0"/>
    <x v="0"/>
    <x v="0"/>
    <n v="7410"/>
    <n v="0"/>
    <n v="7410"/>
    <x v="0"/>
    <x v="0"/>
    <x v="0"/>
    <x v="0"/>
    <x v="0"/>
  </r>
  <r>
    <x v="3"/>
    <x v="0"/>
    <x v="0"/>
    <x v="0"/>
    <x v="0"/>
    <x v="11"/>
    <x v="11"/>
    <n v="26659"/>
    <s v="31908098"/>
    <s v="LOPEZ GARCIA MARIA DEL SOCORRO"/>
    <s v="2019070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235"/>
    <n v="7032"/>
    <n v="0"/>
    <n v="7032"/>
    <x v="0"/>
    <x v="0"/>
    <x v="0"/>
    <n v="7032"/>
    <n v="0"/>
    <n v="7032"/>
    <x v="0"/>
    <x v="0"/>
    <x v="0"/>
    <n v="7032"/>
    <n v="0"/>
    <n v="7032"/>
    <x v="0"/>
    <x v="0"/>
    <x v="0"/>
    <x v="0"/>
    <x v="0"/>
  </r>
  <r>
    <x v="3"/>
    <x v="0"/>
    <x v="0"/>
    <x v="0"/>
    <x v="0"/>
    <x v="11"/>
    <x v="11"/>
    <n v="26660"/>
    <s v="71631400"/>
    <s v="CARRASQUILLA PIZARRO MARCO ANTONIO"/>
    <s v="2019070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8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11"/>
    <x v="11"/>
    <n v="26727"/>
    <s v="71631400"/>
    <s v="CARRASQUILLA PIZARRO MARCO ANTONIO"/>
    <s v="201907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51"/>
    <n v="5000"/>
    <n v="0"/>
    <n v="5000"/>
    <x v="0"/>
    <x v="0"/>
    <x v="0"/>
    <n v="5000"/>
    <n v="0"/>
    <n v="5000"/>
    <x v="0"/>
    <x v="0"/>
    <x v="0"/>
    <n v="5000"/>
    <n v="0"/>
    <n v="5000"/>
    <x v="0"/>
    <x v="0"/>
    <x v="0"/>
    <x v="0"/>
    <x v="0"/>
  </r>
  <r>
    <x v="3"/>
    <x v="0"/>
    <x v="0"/>
    <x v="0"/>
    <x v="0"/>
    <x v="11"/>
    <x v="11"/>
    <n v="26728"/>
    <s v="1045717933"/>
    <s v="PALMA GUTIERREZ KETTY JANETH"/>
    <s v="201907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71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11"/>
    <x v="11"/>
    <n v="26749"/>
    <s v="1098657994"/>
    <s v="HERNANDEZ ROJAS JOHN EDISON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02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3"/>
    <x v="0"/>
    <x v="0"/>
    <x v="0"/>
    <x v="0"/>
    <x v="11"/>
    <x v="11"/>
    <n v="26750"/>
    <s v="4519543"/>
    <s v="GARCIA CASTAÑO FREDY JHOVANNY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344 _x000d__x000a_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3"/>
    <x v="0"/>
    <x v="0"/>
    <x v="0"/>
    <x v="0"/>
    <x v="11"/>
    <x v="11"/>
    <n v="26751"/>
    <s v="1018441067"/>
    <s v="ALONSO GUTIERREZ YINNETH CATALINA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4_x000d__x000a_AE 752"/>
    <n v="10073"/>
    <n v="0"/>
    <n v="10073"/>
    <x v="0"/>
    <x v="0"/>
    <x v="0"/>
    <n v="10073"/>
    <n v="0"/>
    <n v="10073"/>
    <x v="0"/>
    <x v="0"/>
    <x v="0"/>
    <n v="10073"/>
    <n v="0"/>
    <n v="10073"/>
    <x v="0"/>
    <x v="0"/>
    <x v="0"/>
    <x v="0"/>
    <x v="0"/>
  </r>
  <r>
    <x v="3"/>
    <x v="0"/>
    <x v="0"/>
    <x v="0"/>
    <x v="0"/>
    <x v="11"/>
    <x v="11"/>
    <n v="26752"/>
    <s v="1045717933"/>
    <s v="PALMA GUTIERREZ KETTY JANETH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SN 199"/>
    <n v="3968"/>
    <n v="0"/>
    <n v="3968"/>
    <x v="0"/>
    <x v="0"/>
    <x v="0"/>
    <n v="3968"/>
    <n v="0"/>
    <n v="3968"/>
    <x v="0"/>
    <x v="0"/>
    <x v="0"/>
    <n v="3968"/>
    <n v="0"/>
    <n v="3968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385"/>
    <n v="0"/>
    <n v="54385"/>
    <x v="0"/>
    <x v="0"/>
    <x v="0"/>
    <n v="54385"/>
    <n v="0"/>
    <n v="54385"/>
    <x v="0"/>
    <x v="0"/>
    <x v="0"/>
    <n v="54385"/>
    <n v="0"/>
    <n v="54385"/>
    <x v="0"/>
    <x v="0"/>
    <x v="0"/>
    <x v="0"/>
    <x v="0"/>
  </r>
  <r>
    <x v="3"/>
    <x v="0"/>
    <x v="0"/>
    <x v="0"/>
    <x v="0"/>
    <x v="2"/>
    <x v="2"/>
    <n v="20493"/>
    <s v="IE9692928F"/>
    <s v="FACEBOOK IRELAND LIMITED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HELM BANCK"/>
    <n v="5082.54"/>
    <n v="0"/>
    <n v="5082.54"/>
    <x v="0"/>
    <x v="0"/>
    <x v="0"/>
    <n v="5082.54"/>
    <n v="0"/>
    <n v="5082.54"/>
    <x v="0"/>
    <x v="0"/>
    <x v="0"/>
    <n v="5082.54"/>
    <n v="0"/>
    <n v="5082.54"/>
    <x v="0"/>
    <x v="0"/>
    <x v="0"/>
    <x v="0"/>
    <x v="0"/>
  </r>
  <r>
    <x v="3"/>
    <x v="0"/>
    <x v="0"/>
    <x v="0"/>
    <x v="0"/>
    <x v="12"/>
    <x v="12"/>
    <n v="6925"/>
    <s v="860035827"/>
    <s v="BANCO AV VILLAS"/>
    <s v="2019071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credito 002527366-7_x000d__x000a_saldo         credito  002277483-7"/>
    <n v="16319"/>
    <n v="0"/>
    <n v="16319"/>
    <x v="0"/>
    <x v="0"/>
    <x v="0"/>
    <n v="16319"/>
    <n v="0"/>
    <n v="16319"/>
    <x v="0"/>
    <x v="0"/>
    <x v="0"/>
    <n v="16319"/>
    <n v="0"/>
    <n v="16319"/>
    <x v="0"/>
    <x v="0"/>
    <x v="0"/>
    <x v="0"/>
    <x v="0"/>
  </r>
  <r>
    <x v="3"/>
    <x v="0"/>
    <x v="0"/>
    <x v="0"/>
    <x v="0"/>
    <x v="2"/>
    <x v="2"/>
    <n v="20494"/>
    <s v="860002964"/>
    <s v="BANCO DE BOGOTA S.A."/>
    <s v="2019071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0349 BANCO DE BOGOTA"/>
    <n v="17493"/>
    <n v="0"/>
    <n v="17493"/>
    <x v="0"/>
    <x v="0"/>
    <x v="0"/>
    <n v="17493"/>
    <n v="0"/>
    <n v="17493"/>
    <x v="0"/>
    <x v="0"/>
    <x v="0"/>
    <n v="17493"/>
    <n v="0"/>
    <n v="17493"/>
    <x v="0"/>
    <x v="0"/>
    <x v="0"/>
    <x v="0"/>
    <x v="0"/>
  </r>
  <r>
    <x v="3"/>
    <x v="0"/>
    <x v="0"/>
    <x v="0"/>
    <x v="0"/>
    <x v="2"/>
    <x v="2"/>
    <n v="20501"/>
    <s v="860002964"/>
    <s v="BANCO DE BOGOTA S.A."/>
    <s v="201907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DE BANCARIOS BANCO DE BOGOTA  - MES DE JUNIO"/>
    <n v="103984.24"/>
    <n v="0"/>
    <n v="103984.24"/>
    <x v="0"/>
    <x v="0"/>
    <x v="0"/>
    <n v="103984.24"/>
    <n v="0"/>
    <n v="103984.24"/>
    <x v="0"/>
    <x v="0"/>
    <x v="0"/>
    <n v="103984.24"/>
    <n v="0"/>
    <n v="103984.24"/>
    <x v="0"/>
    <x v="0"/>
    <x v="0"/>
    <x v="0"/>
    <x v="0"/>
  </r>
  <r>
    <x v="3"/>
    <x v="0"/>
    <x v="0"/>
    <x v="0"/>
    <x v="0"/>
    <x v="11"/>
    <x v="11"/>
    <n v="26763"/>
    <s v="32896574"/>
    <s v="DE PAZ DIAZ JOHADYS ELENA"/>
    <s v="2019071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76"/>
    <n v="10607"/>
    <n v="0"/>
    <n v="10607"/>
    <x v="0"/>
    <x v="0"/>
    <x v="0"/>
    <n v="10607"/>
    <n v="0"/>
    <n v="10607"/>
    <x v="0"/>
    <x v="0"/>
    <x v="0"/>
    <n v="10607"/>
    <n v="0"/>
    <n v="10607"/>
    <x v="0"/>
    <x v="0"/>
    <x v="0"/>
    <x v="0"/>
    <x v="0"/>
  </r>
  <r>
    <x v="3"/>
    <x v="0"/>
    <x v="0"/>
    <x v="0"/>
    <x v="0"/>
    <x v="11"/>
    <x v="11"/>
    <n v="26764"/>
    <s v="71631400"/>
    <s v="CARRASQUILLA PIZARRO MARCO ANTONIO"/>
    <s v="201907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55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3"/>
    <x v="0"/>
    <x v="0"/>
    <x v="0"/>
    <x v="0"/>
    <x v="11"/>
    <x v="11"/>
    <n v="26770"/>
    <s v="71631400"/>
    <s v="CARRASQUILLA PIZARRO MARCO ANTONIO"/>
    <s v="201907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71631400"/>
    <s v="CARRASQUILLA PIZARRO MARCO ANTONIO"/>
    <x v="0"/>
    <x v="2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589"/>
    <n v="2200"/>
    <n v="0"/>
    <n v="2200"/>
    <x v="0"/>
    <x v="0"/>
    <x v="0"/>
    <n v="2200"/>
    <n v="0"/>
    <n v="2200"/>
    <x v="0"/>
    <x v="0"/>
    <x v="0"/>
    <n v="2200"/>
    <n v="0"/>
    <n v="2200"/>
    <x v="0"/>
    <x v="0"/>
    <x v="0"/>
    <x v="0"/>
    <x v="0"/>
  </r>
  <r>
    <x v="3"/>
    <x v="0"/>
    <x v="0"/>
    <x v="0"/>
    <x v="0"/>
    <x v="11"/>
    <x v="11"/>
    <n v="26771"/>
    <s v="71631400"/>
    <s v="CARRASQUILLA PIZARRO MARCO ANTONIO"/>
    <s v="2019072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"/>
    <n v="6000"/>
    <n v="0"/>
    <n v="6000"/>
    <x v="0"/>
    <x v="0"/>
    <x v="0"/>
    <n v="6000"/>
    <n v="0"/>
    <n v="6000"/>
    <x v="0"/>
    <x v="0"/>
    <x v="0"/>
    <n v="6000"/>
    <n v="0"/>
    <n v="6000"/>
    <x v="0"/>
    <x v="0"/>
    <x v="0"/>
    <x v="0"/>
    <x v="0"/>
  </r>
  <r>
    <x v="3"/>
    <x v="0"/>
    <x v="0"/>
    <x v="0"/>
    <x v="0"/>
    <x v="11"/>
    <x v="11"/>
    <n v="26887"/>
    <s v="1045717933"/>
    <s v="PALMA GUTIERREZ KETTY JANETH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77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3"/>
    <x v="0"/>
    <x v="0"/>
    <x v="0"/>
    <x v="0"/>
    <x v="11"/>
    <x v="11"/>
    <n v="26888"/>
    <s v="4519543"/>
    <s v="GARCIA CASTAÑO FREDY JHOVANNY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 518"/>
    <n v="2560"/>
    <n v="0"/>
    <n v="2560"/>
    <x v="0"/>
    <x v="0"/>
    <x v="0"/>
    <n v="2560"/>
    <n v="0"/>
    <n v="2560"/>
    <x v="0"/>
    <x v="0"/>
    <x v="0"/>
    <n v="2560"/>
    <n v="0"/>
    <n v="2560"/>
    <x v="0"/>
    <x v="0"/>
    <x v="0"/>
    <x v="0"/>
    <x v="0"/>
  </r>
  <r>
    <x v="3"/>
    <x v="0"/>
    <x v="0"/>
    <x v="0"/>
    <x v="0"/>
    <x v="11"/>
    <x v="11"/>
    <n v="26889"/>
    <s v="31908098"/>
    <s v="LOPEZ GARCIA MARIA DEL SOCORRO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7"/>
    <n v="8557"/>
    <n v="0"/>
    <n v="8557"/>
    <x v="0"/>
    <x v="0"/>
    <x v="0"/>
    <n v="8557"/>
    <n v="0"/>
    <n v="8557"/>
    <x v="0"/>
    <x v="0"/>
    <x v="0"/>
    <n v="8557"/>
    <n v="0"/>
    <n v="8557"/>
    <x v="0"/>
    <x v="0"/>
    <x v="0"/>
    <x v="0"/>
    <x v="0"/>
  </r>
  <r>
    <x v="3"/>
    <x v="0"/>
    <x v="0"/>
    <x v="0"/>
    <x v="0"/>
    <x v="11"/>
    <x v="11"/>
    <n v="26890"/>
    <s v="1098657994"/>
    <s v="HERNANDEZ ROJAS JOHN EDISON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6"/>
    <n v="6596"/>
    <n v="0"/>
    <n v="6596"/>
    <x v="0"/>
    <x v="0"/>
    <x v="0"/>
    <n v="6596"/>
    <n v="0"/>
    <n v="6596"/>
    <x v="0"/>
    <x v="0"/>
    <x v="0"/>
    <n v="6596"/>
    <n v="0"/>
    <n v="6596"/>
    <x v="0"/>
    <x v="0"/>
    <x v="0"/>
    <x v="0"/>
    <x v="0"/>
  </r>
  <r>
    <x v="3"/>
    <x v="0"/>
    <x v="0"/>
    <x v="0"/>
    <x v="0"/>
    <x v="11"/>
    <x v="11"/>
    <n v="26891"/>
    <s v="1018441067"/>
    <s v="ALONSO GUTIERREZ YINNETH CATALINA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5"/>
    <n v="10938"/>
    <n v="0"/>
    <n v="10938"/>
    <x v="0"/>
    <x v="0"/>
    <x v="0"/>
    <n v="10938"/>
    <n v="0"/>
    <n v="10938"/>
    <x v="0"/>
    <x v="0"/>
    <x v="0"/>
    <n v="10938"/>
    <n v="0"/>
    <n v="10938"/>
    <x v="0"/>
    <x v="0"/>
    <x v="0"/>
    <x v="0"/>
    <x v="0"/>
  </r>
  <r>
    <x v="3"/>
    <x v="0"/>
    <x v="0"/>
    <x v="0"/>
    <x v="0"/>
    <x v="2"/>
    <x v="2"/>
    <n v="20590"/>
    <s v="890300279"/>
    <s v="BANCO DE OCCIDENTE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JULIO DEL 2019"/>
    <n v="141400.89000000001"/>
    <n v="0"/>
    <n v="141400.89000000001"/>
    <x v="0"/>
    <x v="0"/>
    <x v="0"/>
    <n v="141400.89000000001"/>
    <n v="0"/>
    <n v="141400.89000000001"/>
    <x v="0"/>
    <x v="0"/>
    <x v="0"/>
    <n v="141400.89000000001"/>
    <n v="0"/>
    <n v="141400.89000000001"/>
    <x v="0"/>
    <x v="0"/>
    <x v="0"/>
    <x v="0"/>
    <x v="0"/>
  </r>
  <r>
    <x v="3"/>
    <x v="0"/>
    <x v="0"/>
    <x v="0"/>
    <x v="0"/>
    <x v="2"/>
    <x v="2"/>
    <n v="20595"/>
    <s v="860002964"/>
    <s v="BANCO DE BOGOT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JULIO DEL 2019"/>
    <n v="87363.27"/>
    <n v="0"/>
    <n v="87363.27"/>
    <x v="0"/>
    <x v="0"/>
    <x v="0"/>
    <n v="87363.27"/>
    <n v="0"/>
    <n v="87363.27"/>
    <x v="0"/>
    <x v="0"/>
    <x v="0"/>
    <n v="87363.27"/>
    <n v="0"/>
    <n v="87363.2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8877.099999999999"/>
    <n v="0"/>
    <n v="18877.100000000002"/>
    <x v="0"/>
    <x v="0"/>
    <x v="0"/>
    <n v="18877.099999999999"/>
    <n v="0"/>
    <n v="18877.100000000002"/>
    <x v="0"/>
    <x v="0"/>
    <x v="0"/>
    <n v="18877.099999999999"/>
    <n v="0"/>
    <n v="18877.10000000000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11999.92"/>
    <n v="0"/>
    <n v="11999.92"/>
    <x v="0"/>
    <x v="0"/>
    <x v="0"/>
    <n v="11999.92"/>
    <n v="0"/>
    <n v="11999.92"/>
    <x v="0"/>
    <x v="0"/>
    <x v="0"/>
    <n v="11999.92"/>
    <n v="0"/>
    <n v="11999.9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.05"/>
    <n v="0"/>
    <n v="3557.05"/>
    <x v="0"/>
    <x v="0"/>
    <x v="0"/>
    <n v="3557.05"/>
    <n v="0"/>
    <n v="3557.05"/>
    <x v="0"/>
    <x v="0"/>
    <x v="0"/>
    <n v="3557.05"/>
    <n v="0"/>
    <n v="3557.0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2000"/>
    <n v="0"/>
    <n v="32000"/>
    <x v="0"/>
    <x v="0"/>
    <x v="0"/>
    <n v="32000"/>
    <n v="0"/>
    <n v="32000"/>
    <x v="0"/>
    <x v="0"/>
    <x v="0"/>
    <n v="32000"/>
    <n v="0"/>
    <n v="3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4104"/>
    <n v="0"/>
    <n v="4104"/>
    <x v="0"/>
    <x v="0"/>
    <x v="0"/>
    <n v="4104"/>
    <n v="0"/>
    <n v="4104"/>
    <x v="0"/>
    <x v="0"/>
    <x v="0"/>
    <n v="4104"/>
    <n v="0"/>
    <n v="410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779.76"/>
    <n v="0"/>
    <n v="779.76"/>
    <x v="0"/>
    <x v="0"/>
    <x v="0"/>
    <n v="779.76"/>
    <n v="0"/>
    <n v="779.76"/>
    <x v="0"/>
    <x v="0"/>
    <x v="0"/>
    <n v="779.76"/>
    <n v="0"/>
    <n v="779.7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5444.9"/>
    <n v="0"/>
    <n v="15444.9"/>
    <x v="0"/>
    <x v="0"/>
    <x v="0"/>
    <n v="15444.9"/>
    <n v="0"/>
    <n v="15444.9"/>
    <x v="0"/>
    <x v="0"/>
    <x v="0"/>
    <n v="15444.9"/>
    <n v="0"/>
    <n v="15444.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81282"/>
    <n v="0"/>
    <n v="381282"/>
    <x v="0"/>
    <x v="0"/>
    <x v="0"/>
    <n v="381282"/>
    <n v="0"/>
    <n v="381282"/>
    <x v="0"/>
    <x v="0"/>
    <x v="0"/>
    <n v="381282"/>
    <n v="0"/>
    <n v="381282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385"/>
    <n v="0"/>
    <n v="54385"/>
    <x v="0"/>
    <x v="0"/>
    <x v="0"/>
    <n v="54385"/>
    <n v="0"/>
    <n v="54385"/>
    <x v="0"/>
    <x v="0"/>
    <x v="0"/>
    <n v="54385"/>
    <n v="0"/>
    <n v="5438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7457.599999999999"/>
    <n v="0"/>
    <n v="27457.600000000002"/>
    <x v="0"/>
    <x v="0"/>
    <x v="0"/>
    <n v="27457.599999999999"/>
    <n v="0"/>
    <n v="27457.600000000002"/>
    <x v="0"/>
    <x v="0"/>
    <x v="0"/>
    <n v="27457.599999999999"/>
    <n v="0"/>
    <n v="27457.60000000000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17999.88"/>
    <n v="0"/>
    <n v="17999.88"/>
    <x v="0"/>
    <x v="0"/>
    <x v="0"/>
    <n v="17999.88"/>
    <n v="0"/>
    <n v="17999.88"/>
    <x v="0"/>
    <x v="0"/>
    <x v="0"/>
    <n v="17999.88"/>
    <n v="0"/>
    <n v="17999.8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8000"/>
    <n v="0"/>
    <n v="28000"/>
    <x v="0"/>
    <x v="0"/>
    <x v="0"/>
    <n v="28000"/>
    <n v="0"/>
    <n v="28000"/>
    <x v="0"/>
    <x v="0"/>
    <x v="0"/>
    <n v="28000"/>
    <n v="0"/>
    <n v="2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436906"/>
    <n v="0"/>
    <n v="436906"/>
    <x v="0"/>
    <x v="0"/>
    <x v="0"/>
    <n v="436906"/>
    <n v="0"/>
    <n v="436906"/>
    <x v="0"/>
    <x v="0"/>
    <x v="0"/>
    <n v="436906"/>
    <n v="0"/>
    <n v="43690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6247.85"/>
    <n v="0"/>
    <n v="16247.85"/>
    <x v="0"/>
    <x v="0"/>
    <x v="0"/>
    <n v="16247.85"/>
    <n v="0"/>
    <n v="16247.85"/>
    <x v="0"/>
    <x v="0"/>
    <x v="0"/>
    <n v="16247.85"/>
    <n v="0"/>
    <n v="16247.8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0889.8"/>
    <n v="0"/>
    <n v="30889.8"/>
    <x v="0"/>
    <x v="0"/>
    <x v="0"/>
    <n v="30889.8"/>
    <n v="0"/>
    <n v="30889.8"/>
    <x v="0"/>
    <x v="0"/>
    <x v="0"/>
    <n v="30889.8"/>
    <n v="0"/>
    <n v="30889.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8000"/>
    <n v="0"/>
    <n v="28000"/>
    <x v="0"/>
    <x v="0"/>
    <x v="0"/>
    <n v="28000"/>
    <n v="0"/>
    <n v="28000"/>
    <x v="0"/>
    <x v="0"/>
    <x v="0"/>
    <n v="28000"/>
    <n v="0"/>
    <n v="2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2000"/>
    <n v="0"/>
    <n v="32000"/>
    <x v="0"/>
    <x v="0"/>
    <x v="0"/>
    <n v="32000"/>
    <n v="0"/>
    <n v="32000"/>
    <x v="0"/>
    <x v="0"/>
    <x v="0"/>
    <n v="32000"/>
    <n v="0"/>
    <n v="3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779.76"/>
    <n v="0"/>
    <n v="779.76"/>
    <x v="0"/>
    <x v="0"/>
    <x v="0"/>
    <n v="779.76"/>
    <n v="0"/>
    <n v="779.76"/>
    <x v="0"/>
    <x v="0"/>
    <x v="0"/>
    <n v="779.76"/>
    <n v="0"/>
    <n v="779.7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4104"/>
    <n v="0"/>
    <n v="4104"/>
    <x v="0"/>
    <x v="0"/>
    <x v="0"/>
    <n v="4104"/>
    <n v="0"/>
    <n v="4104"/>
    <x v="0"/>
    <x v="0"/>
    <x v="0"/>
    <n v="4104"/>
    <n v="0"/>
    <n v="410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9470.300000000003"/>
    <n v="0"/>
    <n v="39470.300000000003"/>
    <x v="0"/>
    <x v="0"/>
    <x v="0"/>
    <n v="39470.300000000003"/>
    <n v="0"/>
    <n v="39470.300000000003"/>
    <x v="0"/>
    <x v="0"/>
    <x v="0"/>
    <n v="39470.300000000003"/>
    <n v="0"/>
    <n v="39470.30000000000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7054.9"/>
    <n v="0"/>
    <n v="187054.9"/>
    <x v="0"/>
    <x v="0"/>
    <x v="0"/>
    <n v="187054.9"/>
    <n v="0"/>
    <n v="187054.9"/>
    <x v="0"/>
    <x v="0"/>
    <x v="0"/>
    <n v="187054.9"/>
    <n v="0"/>
    <n v="187054.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6247.85"/>
    <n v="0"/>
    <n v="16247.85"/>
    <x v="0"/>
    <x v="0"/>
    <x v="0"/>
    <n v="16247.85"/>
    <n v="0"/>
    <n v="16247.85"/>
    <x v="0"/>
    <x v="0"/>
    <x v="0"/>
    <n v="16247.85"/>
    <n v="0"/>
    <n v="16247.8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75508.399999999994"/>
    <n v="0"/>
    <n v="75508.400000000009"/>
    <x v="0"/>
    <x v="0"/>
    <x v="0"/>
    <n v="75508.399999999994"/>
    <n v="0"/>
    <n v="75508.400000000009"/>
    <x v="0"/>
    <x v="0"/>
    <x v="0"/>
    <n v="75508.399999999994"/>
    <n v="0"/>
    <n v="75508.4000000000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403.68"/>
    <n v="0"/>
    <n v="50403.68"/>
    <x v="0"/>
    <x v="0"/>
    <x v="0"/>
    <n v="50403.68"/>
    <n v="0"/>
    <n v="50403.68"/>
    <x v="0"/>
    <x v="0"/>
    <x v="0"/>
    <n v="50403.68"/>
    <n v="0"/>
    <n v="50403.68"/>
    <x v="0"/>
    <x v="0"/>
    <x v="0"/>
    <x v="0"/>
    <x v="0"/>
  </r>
  <r>
    <x v="4"/>
    <x v="0"/>
    <x v="0"/>
    <x v="0"/>
    <x v="0"/>
    <x v="1"/>
    <x v="1"/>
    <n v="2439"/>
    <s v="900466196"/>
    <s v="BLUEFIELDS FINANCIAL COLOMBIA"/>
    <s v="2019080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66196"/>
    <s v="BLUEFIELDS FINANCIAL COLOMB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INTEGRO VALOR PAGADO DOBLE A PROVEEDOR, ESTE SE HABIA PAGADO CON TC_x000d__x000a_(PEL 26239 - NI 20407)"/>
    <n v="6783"/>
    <n v="0"/>
    <n v="6783"/>
    <x v="0"/>
    <x v="0"/>
    <x v="0"/>
    <n v="6783"/>
    <n v="0"/>
    <n v="6783"/>
    <x v="0"/>
    <x v="0"/>
    <x v="0"/>
    <n v="6783"/>
    <n v="0"/>
    <n v="6783"/>
    <x v="0"/>
    <x v="0"/>
    <x v="0"/>
    <x v="0"/>
    <x v="0"/>
  </r>
  <r>
    <x v="4"/>
    <x v="0"/>
    <x v="0"/>
    <x v="0"/>
    <x v="0"/>
    <x v="11"/>
    <x v="11"/>
    <n v="26911"/>
    <s v="1045717933"/>
    <s v="PALMA GUTIERREZ KETTY JANETH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8"/>
    <n v="6877"/>
    <n v="0"/>
    <n v="6877"/>
    <x v="0"/>
    <x v="0"/>
    <x v="0"/>
    <n v="6877"/>
    <n v="0"/>
    <n v="6877"/>
    <x v="0"/>
    <x v="0"/>
    <x v="0"/>
    <n v="6877"/>
    <n v="0"/>
    <n v="6877"/>
    <x v="0"/>
    <x v="0"/>
    <x v="0"/>
    <x v="0"/>
    <x v="0"/>
  </r>
  <r>
    <x v="4"/>
    <x v="0"/>
    <x v="0"/>
    <x v="0"/>
    <x v="0"/>
    <x v="11"/>
    <x v="11"/>
    <n v="26912"/>
    <s v="1036930909"/>
    <s v="ALZATE SANCHEZ NATACHA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0"/>
    <n v="11603"/>
    <n v="0"/>
    <n v="11603"/>
    <x v="0"/>
    <x v="0"/>
    <x v="0"/>
    <n v="11603"/>
    <n v="0"/>
    <n v="11603"/>
    <x v="0"/>
    <x v="0"/>
    <x v="0"/>
    <n v="11603"/>
    <n v="0"/>
    <n v="11603"/>
    <x v="0"/>
    <x v="0"/>
    <x v="0"/>
    <x v="0"/>
    <x v="0"/>
  </r>
  <r>
    <x v="4"/>
    <x v="0"/>
    <x v="0"/>
    <x v="0"/>
    <x v="0"/>
    <x v="11"/>
    <x v="11"/>
    <n v="26913"/>
    <s v="4519543"/>
    <s v="GARCIA CASTAÑO FREDY JHOVANNY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58"/>
    <n v="6515.88"/>
    <n v="0"/>
    <n v="6515.88"/>
    <x v="0"/>
    <x v="0"/>
    <x v="0"/>
    <n v="6515.88"/>
    <n v="0"/>
    <n v="6515.88"/>
    <x v="0"/>
    <x v="0"/>
    <x v="0"/>
    <n v="6515.88"/>
    <n v="0"/>
    <n v="6515.88"/>
    <x v="0"/>
    <x v="0"/>
    <x v="0"/>
    <x v="0"/>
    <x v="0"/>
  </r>
  <r>
    <x v="4"/>
    <x v="0"/>
    <x v="0"/>
    <x v="0"/>
    <x v="0"/>
    <x v="11"/>
    <x v="11"/>
    <n v="26914"/>
    <s v="71631400"/>
    <s v="CARRASQUILLA PIZARRO MARCO ANTONIO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 591"/>
    <n v="2200"/>
    <n v="0"/>
    <n v="2200"/>
    <x v="0"/>
    <x v="0"/>
    <x v="0"/>
    <n v="2200"/>
    <n v="0"/>
    <n v="2200"/>
    <x v="0"/>
    <x v="0"/>
    <x v="0"/>
    <n v="2200"/>
    <n v="0"/>
    <n v="2200"/>
    <x v="0"/>
    <x v="0"/>
    <x v="0"/>
    <x v="0"/>
    <x v="0"/>
  </r>
  <r>
    <x v="4"/>
    <x v="0"/>
    <x v="0"/>
    <x v="0"/>
    <x v="0"/>
    <x v="2"/>
    <x v="2"/>
    <n v="20582"/>
    <s v="860035827"/>
    <s v="BANCO AV VILLAS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20-1  AV VILLAS"/>
    <n v="516768"/>
    <n v="0"/>
    <n v="516768"/>
    <x v="0"/>
    <x v="0"/>
    <x v="0"/>
    <n v="516768"/>
    <n v="0"/>
    <n v="516768"/>
    <x v="0"/>
    <x v="0"/>
    <x v="0"/>
    <n v="516768"/>
    <n v="0"/>
    <n v="516768"/>
    <x v="0"/>
    <x v="0"/>
    <x v="0"/>
    <x v="0"/>
    <x v="0"/>
  </r>
  <r>
    <x v="4"/>
    <x v="0"/>
    <x v="0"/>
    <x v="0"/>
    <x v="0"/>
    <x v="13"/>
    <x v="13"/>
    <n v="138"/>
    <s v="29873536"/>
    <s v="ZUÑIGA CEBALLOS CLAUDIA MARIA"/>
    <s v="201908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V VILLAS - FALTANTE EN ULTIMA CUOTA CREDITO 22774837"/>
    <n v="13962"/>
    <n v="0"/>
    <n v="13962"/>
    <x v="0"/>
    <x v="0"/>
    <x v="0"/>
    <n v="13962"/>
    <n v="0"/>
    <n v="13962"/>
    <x v="0"/>
    <x v="0"/>
    <x v="0"/>
    <n v="13962"/>
    <n v="0"/>
    <n v="13962"/>
    <x v="0"/>
    <x v="0"/>
    <x v="0"/>
    <x v="0"/>
    <x v="0"/>
  </r>
  <r>
    <x v="4"/>
    <x v="0"/>
    <x v="0"/>
    <x v="0"/>
    <x v="0"/>
    <x v="2"/>
    <x v="2"/>
    <n v="20618"/>
    <s v="890300279"/>
    <s v="BANCO DE OCCIDENTE."/>
    <s v="2019082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ACION DE CUENTA BANCO DE OCCIDENTE PAGO DE OBLIGACION"/>
    <n v="215451.21"/>
    <n v="0"/>
    <n v="215451.21"/>
    <x v="0"/>
    <x v="0"/>
    <x v="0"/>
    <n v="215451.21"/>
    <n v="0"/>
    <n v="215451.21"/>
    <x v="0"/>
    <x v="0"/>
    <x v="0"/>
    <n v="215451.21"/>
    <n v="0"/>
    <n v="215451.21"/>
    <x v="0"/>
    <x v="0"/>
    <x v="0"/>
    <x v="0"/>
    <x v="0"/>
  </r>
  <r>
    <x v="4"/>
    <x v="0"/>
    <x v="0"/>
    <x v="0"/>
    <x v="0"/>
    <x v="2"/>
    <x v="2"/>
    <n v="20619"/>
    <s v="900406150"/>
    <s v="BANCO COOMEVA S.A."/>
    <s v="2019082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 JULIO BANCOOMEVA"/>
    <n v="69668"/>
    <n v="0"/>
    <n v="69668"/>
    <x v="0"/>
    <x v="0"/>
    <x v="0"/>
    <n v="69668"/>
    <n v="0"/>
    <n v="69668"/>
    <x v="0"/>
    <x v="0"/>
    <x v="0"/>
    <n v="69668"/>
    <n v="0"/>
    <n v="69668"/>
    <x v="0"/>
    <x v="0"/>
    <x v="0"/>
    <x v="0"/>
    <x v="0"/>
  </r>
  <r>
    <x v="4"/>
    <x v="0"/>
    <x v="0"/>
    <x v="0"/>
    <x v="0"/>
    <x v="2"/>
    <x v="2"/>
    <n v="20620"/>
    <s v="890903938"/>
    <s v="BANCOLOMBIA S.A."/>
    <s v="2019082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MES DE JULIO 9028"/>
    <n v="0"/>
    <n v="438.82"/>
    <n v="-438.82"/>
    <x v="0"/>
    <x v="0"/>
    <x v="0"/>
    <n v="0"/>
    <n v="438.82"/>
    <n v="-438.82"/>
    <x v="0"/>
    <x v="0"/>
    <x v="0"/>
    <n v="0"/>
    <n v="438.82"/>
    <n v="-438.82"/>
    <x v="0"/>
    <x v="0"/>
    <x v="0"/>
    <x v="0"/>
    <x v="0"/>
  </r>
  <r>
    <x v="4"/>
    <x v="0"/>
    <x v="0"/>
    <x v="0"/>
    <x v="0"/>
    <x v="11"/>
    <x v="11"/>
    <n v="27010"/>
    <s v="1018441067"/>
    <s v="ALONSO GUTIERREZ YINNETH CATALINA"/>
    <s v="201908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1_x000d__x000a_CJM 246"/>
    <n v="15981"/>
    <n v="0"/>
    <n v="15981"/>
    <x v="0"/>
    <x v="0"/>
    <x v="0"/>
    <n v="15981"/>
    <n v="0"/>
    <n v="15981"/>
    <x v="0"/>
    <x v="0"/>
    <x v="0"/>
    <n v="15981"/>
    <n v="0"/>
    <n v="15981"/>
    <x v="0"/>
    <x v="0"/>
    <x v="0"/>
    <x v="0"/>
    <x v="0"/>
  </r>
  <r>
    <x v="4"/>
    <x v="0"/>
    <x v="0"/>
    <x v="0"/>
    <x v="0"/>
    <x v="2"/>
    <x v="2"/>
    <n v="20648"/>
    <s v="860007660"/>
    <s v="HELM BANK S.A."/>
    <s v="201908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HELM BANK"/>
    <n v="115174.86"/>
    <n v="0"/>
    <n v="115174.86"/>
    <x v="0"/>
    <x v="0"/>
    <x v="0"/>
    <n v="115174.86"/>
    <n v="0"/>
    <n v="115174.86"/>
    <x v="0"/>
    <x v="0"/>
    <x v="0"/>
    <n v="115174.86"/>
    <n v="0"/>
    <n v="115174.86"/>
    <x v="0"/>
    <x v="0"/>
    <x v="0"/>
    <x v="0"/>
    <x v="0"/>
  </r>
  <r>
    <x v="4"/>
    <x v="0"/>
    <x v="0"/>
    <x v="0"/>
    <x v="0"/>
    <x v="11"/>
    <x v="11"/>
    <n v="27042"/>
    <s v="1045717933"/>
    <s v="PALMA GUTIERREZ KETTY JANETH"/>
    <s v="201908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85"/>
    <n v="3420"/>
    <n v="0"/>
    <n v="3420"/>
    <x v="0"/>
    <x v="0"/>
    <x v="0"/>
    <n v="3420"/>
    <n v="0"/>
    <n v="3420"/>
    <x v="0"/>
    <x v="0"/>
    <x v="0"/>
    <n v="3420"/>
    <n v="0"/>
    <n v="3420"/>
    <x v="0"/>
    <x v="0"/>
    <x v="0"/>
    <x v="0"/>
    <x v="0"/>
  </r>
  <r>
    <x v="4"/>
    <x v="0"/>
    <x v="0"/>
    <x v="0"/>
    <x v="0"/>
    <x v="11"/>
    <x v="11"/>
    <n v="27043"/>
    <s v="4519543"/>
    <s v="GARCIA CASTAÑO FREDY JHOVANNY"/>
    <s v="201908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AN 106"/>
    <n v="2200"/>
    <n v="0"/>
    <n v="2200"/>
    <x v="0"/>
    <x v="0"/>
    <x v="0"/>
    <n v="2200"/>
    <n v="0"/>
    <n v="2200"/>
    <x v="0"/>
    <x v="0"/>
    <x v="0"/>
    <n v="2200"/>
    <n v="0"/>
    <n v="2200"/>
    <x v="0"/>
    <x v="0"/>
    <x v="0"/>
    <x v="0"/>
    <x v="0"/>
  </r>
  <r>
    <x v="4"/>
    <x v="0"/>
    <x v="0"/>
    <x v="0"/>
    <x v="0"/>
    <x v="11"/>
    <x v="11"/>
    <n v="27044"/>
    <s v="1098657994"/>
    <s v="HERNANDEZ ROJAS JOHN EDISON"/>
    <s v="201908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14_x000d__x000a_CJM 187"/>
    <n v="9356"/>
    <n v="0"/>
    <n v="9356"/>
    <x v="0"/>
    <x v="0"/>
    <x v="0"/>
    <n v="9356"/>
    <n v="0"/>
    <n v="9356"/>
    <x v="0"/>
    <x v="0"/>
    <x v="0"/>
    <n v="9356"/>
    <n v="0"/>
    <n v="9356"/>
    <x v="0"/>
    <x v="0"/>
    <x v="0"/>
    <x v="0"/>
    <x v="0"/>
  </r>
  <r>
    <x v="4"/>
    <x v="0"/>
    <x v="0"/>
    <x v="0"/>
    <x v="0"/>
    <x v="2"/>
    <x v="2"/>
    <n v="20689"/>
    <s v="440000000330"/>
    <s v="BANCOLOMBIA CAYMAN"/>
    <s v="201908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AGOSTO 2019  (TR 3427.29)"/>
    <n v="373403.25"/>
    <n v="0"/>
    <n v="373403.25"/>
    <x v="0"/>
    <x v="0"/>
    <x v="0"/>
    <n v="373403.25"/>
    <n v="0"/>
    <n v="373403.25"/>
    <x v="0"/>
    <x v="0"/>
    <x v="0"/>
    <n v="373403.25"/>
    <n v="0"/>
    <n v="373403.25"/>
    <x v="0"/>
    <x v="0"/>
    <x v="0"/>
    <x v="0"/>
    <x v="0"/>
  </r>
  <r>
    <x v="4"/>
    <x v="0"/>
    <x v="0"/>
    <x v="0"/>
    <x v="0"/>
    <x v="2"/>
    <x v="2"/>
    <n v="20740"/>
    <s v="860002964"/>
    <s v="BANCO DE BOGOT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BANCO DE BOGOTA MES DE AGOSTO DEL 2019"/>
    <n v="102214.69"/>
    <n v="0"/>
    <n v="102214.69"/>
    <x v="0"/>
    <x v="0"/>
    <x v="0"/>
    <n v="102214.69"/>
    <n v="0"/>
    <n v="102214.69"/>
    <x v="0"/>
    <x v="0"/>
    <x v="0"/>
    <n v="102214.69"/>
    <n v="0"/>
    <n v="102214.69"/>
    <x v="0"/>
    <x v="0"/>
    <x v="0"/>
    <x v="0"/>
    <x v="0"/>
  </r>
  <r>
    <x v="4"/>
    <x v="0"/>
    <x v="0"/>
    <x v="0"/>
    <x v="0"/>
    <x v="2"/>
    <x v="2"/>
    <n v="20729"/>
    <s v="900406150"/>
    <s v="BANCO COOMEV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VERSA  GASTOS BANCARIOS MES DE AGOSTOS DEL 2019"/>
    <n v="0"/>
    <n v="23104"/>
    <n v="-23104"/>
    <x v="0"/>
    <x v="0"/>
    <x v="0"/>
    <n v="0"/>
    <n v="23104"/>
    <n v="-23104"/>
    <x v="0"/>
    <x v="0"/>
    <x v="0"/>
    <n v="0"/>
    <n v="23104"/>
    <n v="-23104"/>
    <x v="0"/>
    <x v="0"/>
    <x v="0"/>
    <x v="0"/>
    <x v="0"/>
  </r>
  <r>
    <x v="4"/>
    <x v="0"/>
    <x v="0"/>
    <x v="0"/>
    <x v="0"/>
    <x v="2"/>
    <x v="2"/>
    <n v="20730"/>
    <s v="890300279"/>
    <s v="BANCO DE OCCIDENTE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OS MES DE AGOSTO DEL 2019"/>
    <n v="31134.66"/>
    <n v="0"/>
    <n v="31134.66"/>
    <x v="0"/>
    <x v="0"/>
    <x v="0"/>
    <n v="31134.66"/>
    <n v="0"/>
    <n v="31134.66"/>
    <x v="0"/>
    <x v="0"/>
    <x v="0"/>
    <n v="31134.66"/>
    <n v="0"/>
    <n v="31134.66"/>
    <x v="0"/>
    <x v="0"/>
    <x v="0"/>
    <x v="0"/>
    <x v="0"/>
  </r>
  <r>
    <x v="4"/>
    <x v="0"/>
    <x v="0"/>
    <x v="0"/>
    <x v="0"/>
    <x v="2"/>
    <x v="2"/>
    <n v="20696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TARJETA DE CREDITO EN PESOS BANCOLOMBIA"/>
    <n v="3211.06"/>
    <n v="0"/>
    <n v="3211.06"/>
    <x v="0"/>
    <x v="0"/>
    <x v="0"/>
    <n v="3211.06"/>
    <n v="0"/>
    <n v="3211.06"/>
    <x v="0"/>
    <x v="0"/>
    <x v="0"/>
    <n v="3211.06"/>
    <n v="0"/>
    <n v="3211.06"/>
    <x v="0"/>
    <x v="0"/>
    <x v="0"/>
    <x v="0"/>
    <x v="0"/>
  </r>
  <r>
    <x v="4"/>
    <x v="0"/>
    <x v="0"/>
    <x v="0"/>
    <x v="0"/>
    <x v="2"/>
    <x v="2"/>
    <n v="20697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S DE VALORES Y GASTOS BANCARIOS EN CONCILIACION DE AGOSTO DE 2019"/>
    <n v="62810"/>
    <n v="0"/>
    <n v="62810"/>
    <x v="0"/>
    <x v="0"/>
    <x v="0"/>
    <n v="62810"/>
    <n v="0"/>
    <n v="62810"/>
    <x v="0"/>
    <x v="0"/>
    <x v="0"/>
    <n v="62810"/>
    <n v="0"/>
    <n v="6281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11309.66"/>
    <n v="0"/>
    <n v="111309.66"/>
    <x v="0"/>
    <x v="0"/>
    <x v="0"/>
    <n v="111309.66"/>
    <n v="0"/>
    <n v="111309.66"/>
    <x v="0"/>
    <x v="0"/>
    <x v="0"/>
    <n v="111309.66"/>
    <n v="0"/>
    <n v="111309.6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11"/>
    <x v="11"/>
    <n v="26930"/>
    <s v="1098657994"/>
    <s v="HERNANDEZ ROJAS JOHN EDISON"/>
    <s v="201908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10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4"/>
    <x v="0"/>
    <x v="0"/>
    <x v="0"/>
    <x v="0"/>
    <x v="11"/>
    <x v="11"/>
    <n v="26997"/>
    <s v="29873536"/>
    <s v="ZUÑIGA CEBALLOS CLAUDIA MARIA"/>
    <s v="2019081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37"/>
    <n v="10202"/>
    <n v="0"/>
    <n v="10202"/>
    <x v="0"/>
    <x v="0"/>
    <x v="0"/>
    <n v="10202"/>
    <n v="0"/>
    <n v="10202"/>
    <x v="0"/>
    <x v="0"/>
    <x v="0"/>
    <n v="10202"/>
    <n v="0"/>
    <n v="10202"/>
    <x v="0"/>
    <x v="0"/>
    <x v="0"/>
    <x v="0"/>
    <x v="0"/>
  </r>
  <r>
    <x v="4"/>
    <x v="0"/>
    <x v="0"/>
    <x v="0"/>
    <x v="0"/>
    <x v="11"/>
    <x v="11"/>
    <n v="26998"/>
    <s v="31908098"/>
    <s v="LOPEZ GARCIA MARIA DEL SOCORRO"/>
    <s v="2019081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8"/>
    <n v="10749"/>
    <n v="0"/>
    <n v="10749"/>
    <x v="0"/>
    <x v="0"/>
    <x v="0"/>
    <n v="10749"/>
    <n v="0"/>
    <n v="10749"/>
    <x v="0"/>
    <x v="0"/>
    <x v="0"/>
    <n v="10749"/>
    <n v="0"/>
    <n v="10749"/>
    <x v="0"/>
    <x v="0"/>
    <x v="0"/>
    <x v="0"/>
    <x v="0"/>
  </r>
  <r>
    <x v="4"/>
    <x v="0"/>
    <x v="0"/>
    <x v="0"/>
    <x v="0"/>
    <x v="11"/>
    <x v="11"/>
    <n v="27089"/>
    <s v="71631400"/>
    <s v="CARRASQUILLA PIZARRO MARCO ANTONIO"/>
    <s v="201908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2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537218"/>
    <n v="0"/>
    <n v="537218"/>
    <x v="0"/>
    <x v="0"/>
    <x v="0"/>
    <n v="537218"/>
    <n v="0"/>
    <n v="537218"/>
    <x v="0"/>
    <x v="0"/>
    <x v="0"/>
    <n v="537218"/>
    <n v="0"/>
    <n v="53721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605.9"/>
    <n v="0"/>
    <n v="32605.9"/>
    <x v="0"/>
    <x v="0"/>
    <x v="0"/>
    <n v="32605.9"/>
    <n v="0"/>
    <n v="32605.9"/>
    <x v="0"/>
    <x v="0"/>
    <x v="0"/>
    <n v="32605.9"/>
    <n v="0"/>
    <n v="32605.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7054.9"/>
    <n v="0"/>
    <n v="187054.9"/>
    <x v="0"/>
    <x v="0"/>
    <x v="0"/>
    <n v="187054.9"/>
    <n v="0"/>
    <n v="187054.9"/>
    <x v="0"/>
    <x v="0"/>
    <x v="0"/>
    <n v="187054.9"/>
    <n v="0"/>
    <n v="187054.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9173.7"/>
    <n v="0"/>
    <n v="29173.7"/>
    <x v="0"/>
    <x v="0"/>
    <x v="0"/>
    <n v="29173.7"/>
    <n v="0"/>
    <n v="29173.7"/>
    <x v="0"/>
    <x v="0"/>
    <x v="0"/>
    <n v="29173.7"/>
    <n v="0"/>
    <n v="29173.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7754.199999999997"/>
    <n v="0"/>
    <n v="37754.200000000004"/>
    <x v="0"/>
    <x v="0"/>
    <x v="0"/>
    <n v="37754.199999999997"/>
    <n v="0"/>
    <n v="37754.200000000004"/>
    <x v="0"/>
    <x v="0"/>
    <x v="0"/>
    <n v="37754.199999999997"/>
    <n v="0"/>
    <n v="37754.20000000000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3800.36"/>
    <n v="0"/>
    <n v="3800.36"/>
    <x v="0"/>
    <x v="0"/>
    <x v="0"/>
    <n v="3800.36"/>
    <n v="0"/>
    <n v="3800.36"/>
    <x v="0"/>
    <x v="0"/>
    <x v="0"/>
    <n v="3800.36"/>
    <n v="0"/>
    <n v="3800.3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4104"/>
    <n v="0"/>
    <n v="4104"/>
    <x v="0"/>
    <x v="0"/>
    <x v="0"/>
    <n v="4104"/>
    <n v="0"/>
    <n v="4104"/>
    <x v="0"/>
    <x v="0"/>
    <x v="0"/>
    <n v="4104"/>
    <n v="0"/>
    <n v="410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779.76"/>
    <n v="0"/>
    <n v="779.76"/>
    <x v="0"/>
    <x v="0"/>
    <x v="0"/>
    <n v="779.76"/>
    <n v="0"/>
    <n v="779.76"/>
    <x v="0"/>
    <x v="0"/>
    <x v="0"/>
    <n v="779.76"/>
    <n v="0"/>
    <n v="779.7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00.98"/>
    <n v="0"/>
    <n v="10000.98"/>
    <x v="0"/>
    <x v="0"/>
    <x v="0"/>
    <n v="10000.98"/>
    <n v="0"/>
    <n v="10000.98"/>
    <x v="0"/>
    <x v="0"/>
    <x v="0"/>
    <n v="10000.98"/>
    <n v="0"/>
    <n v="10000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3728.8"/>
    <n v="0"/>
    <n v="13728.800000000001"/>
    <x v="0"/>
    <x v="0"/>
    <x v="0"/>
    <n v="13728.8"/>
    <n v="0"/>
    <n v="13728.800000000001"/>
    <x v="0"/>
    <x v="0"/>
    <x v="0"/>
    <n v="13728.8"/>
    <n v="0"/>
    <n v="13728.8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998.28"/>
    <n v="0"/>
    <n v="12998.28"/>
    <x v="0"/>
    <x v="0"/>
    <x v="0"/>
    <n v="12998.28"/>
    <n v="0"/>
    <n v="12998.28"/>
    <x v="0"/>
    <x v="0"/>
    <x v="0"/>
    <n v="12998.28"/>
    <n v="0"/>
    <n v="12998.2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37811.96"/>
    <n v="0"/>
    <n v="137811.96"/>
    <x v="0"/>
    <x v="0"/>
    <x v="0"/>
    <n v="137811.96"/>
    <n v="0"/>
    <n v="137811.96"/>
    <x v="0"/>
    <x v="0"/>
    <x v="0"/>
    <n v="137811.96"/>
    <n v="0"/>
    <n v="137811.9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3495.7"/>
    <n v="0"/>
    <n v="63495.700000000004"/>
    <x v="0"/>
    <x v="0"/>
    <x v="0"/>
    <n v="63495.7"/>
    <n v="0"/>
    <n v="63495.700000000004"/>
    <x v="0"/>
    <x v="0"/>
    <x v="0"/>
    <n v="63495.7"/>
    <n v="0"/>
    <n v="63495.70000000000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426756"/>
    <n v="0"/>
    <n v="426756"/>
    <x v="0"/>
    <x v="0"/>
    <x v="0"/>
    <n v="426756"/>
    <n v="0"/>
    <n v="426756"/>
    <x v="0"/>
    <x v="0"/>
    <x v="0"/>
    <n v="426756"/>
    <n v="0"/>
    <n v="426756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.05"/>
    <n v="0"/>
    <n v="3557.05"/>
    <x v="0"/>
    <x v="0"/>
    <x v="0"/>
    <n v="3557.05"/>
    <n v="0"/>
    <n v="3557.05"/>
    <x v="0"/>
    <x v="0"/>
    <x v="0"/>
    <n v="3557.05"/>
    <n v="0"/>
    <n v="3557.05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385"/>
    <n v="0"/>
    <n v="54385"/>
    <x v="0"/>
    <x v="0"/>
    <x v="0"/>
    <n v="54385"/>
    <n v="0"/>
    <n v="54385"/>
    <x v="0"/>
    <x v="0"/>
    <x v="0"/>
    <n v="54385"/>
    <n v="0"/>
    <n v="54385"/>
    <x v="0"/>
    <x v="0"/>
    <x v="0"/>
    <x v="0"/>
    <x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1"/>
    <x v="1"/>
    <x v="1"/>
    <x v="1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1"/>
  </r>
  <r>
    <x v="0"/>
    <x v="0"/>
    <x v="0"/>
    <x v="0"/>
    <x v="1"/>
    <x v="1"/>
    <x v="1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1"/>
  </r>
  <r>
    <x v="0"/>
    <x v="0"/>
    <x v="0"/>
    <x v="0"/>
    <x v="2"/>
    <x v="2"/>
    <x v="2"/>
    <x v="0"/>
    <x v="0"/>
    <x v="0"/>
    <x v="0"/>
    <x v="0"/>
    <x v="0"/>
    <x v="2"/>
    <x v="2"/>
    <x v="2"/>
    <x v="2"/>
    <x v="2"/>
    <x v="2"/>
    <x v="2"/>
    <x v="2"/>
    <x v="2"/>
    <x v="2"/>
    <x v="2"/>
    <x v="2"/>
    <x v="0"/>
    <x v="0"/>
    <x v="0"/>
    <x v="0"/>
    <x v="0"/>
    <x v="2"/>
  </r>
  <r>
    <x v="0"/>
    <x v="0"/>
    <x v="0"/>
    <x v="1"/>
    <x v="2"/>
    <x v="2"/>
    <x v="2"/>
    <x v="0"/>
    <x v="0"/>
    <x v="0"/>
    <x v="0"/>
    <x v="0"/>
    <x v="0"/>
    <x v="2"/>
    <x v="2"/>
    <x v="2"/>
    <x v="2"/>
    <x v="2"/>
    <x v="2"/>
    <x v="2"/>
    <x v="2"/>
    <x v="2"/>
    <x v="2"/>
    <x v="2"/>
    <x v="2"/>
    <x v="0"/>
    <x v="0"/>
    <x v="0"/>
    <x v="0"/>
    <x v="0"/>
    <x v="2"/>
  </r>
  <r>
    <x v="0"/>
    <x v="0"/>
    <x v="0"/>
    <x v="0"/>
    <x v="3"/>
    <x v="3"/>
    <x v="3"/>
    <x v="0"/>
    <x v="0"/>
    <x v="0"/>
    <x v="0"/>
    <x v="0"/>
    <x v="0"/>
    <x v="3"/>
    <x v="3"/>
    <x v="3"/>
    <x v="3"/>
    <x v="3"/>
    <x v="3"/>
    <x v="3"/>
    <x v="3"/>
    <x v="3"/>
    <x v="3"/>
    <x v="3"/>
    <x v="3"/>
    <x v="0"/>
    <x v="0"/>
    <x v="0"/>
    <x v="0"/>
    <x v="0"/>
    <x v="3"/>
  </r>
  <r>
    <x v="0"/>
    <x v="0"/>
    <x v="0"/>
    <x v="1"/>
    <x v="3"/>
    <x v="3"/>
    <x v="3"/>
    <x v="0"/>
    <x v="0"/>
    <x v="0"/>
    <x v="0"/>
    <x v="0"/>
    <x v="0"/>
    <x v="3"/>
    <x v="3"/>
    <x v="3"/>
    <x v="3"/>
    <x v="3"/>
    <x v="3"/>
    <x v="3"/>
    <x v="3"/>
    <x v="3"/>
    <x v="3"/>
    <x v="3"/>
    <x v="3"/>
    <x v="0"/>
    <x v="0"/>
    <x v="0"/>
    <x v="0"/>
    <x v="0"/>
    <x v="3"/>
  </r>
  <r>
    <x v="0"/>
    <x v="0"/>
    <x v="0"/>
    <x v="0"/>
    <x v="4"/>
    <x v="4"/>
    <x v="4"/>
    <x v="0"/>
    <x v="0"/>
    <x v="0"/>
    <x v="0"/>
    <x v="0"/>
    <x v="0"/>
    <x v="2"/>
    <x v="2"/>
    <x v="4"/>
    <x v="4"/>
    <x v="4"/>
    <x v="4"/>
    <x v="4"/>
    <x v="4"/>
    <x v="4"/>
    <x v="4"/>
    <x v="4"/>
    <x v="4"/>
    <x v="0"/>
    <x v="0"/>
    <x v="0"/>
    <x v="0"/>
    <x v="0"/>
    <x v="4"/>
  </r>
  <r>
    <x v="0"/>
    <x v="0"/>
    <x v="0"/>
    <x v="1"/>
    <x v="4"/>
    <x v="4"/>
    <x v="4"/>
    <x v="0"/>
    <x v="0"/>
    <x v="0"/>
    <x v="0"/>
    <x v="0"/>
    <x v="0"/>
    <x v="2"/>
    <x v="2"/>
    <x v="4"/>
    <x v="4"/>
    <x v="4"/>
    <x v="4"/>
    <x v="4"/>
    <x v="4"/>
    <x v="4"/>
    <x v="4"/>
    <x v="4"/>
    <x v="4"/>
    <x v="0"/>
    <x v="0"/>
    <x v="0"/>
    <x v="0"/>
    <x v="0"/>
    <x v="4"/>
  </r>
  <r>
    <x v="0"/>
    <x v="0"/>
    <x v="0"/>
    <x v="0"/>
    <x v="5"/>
    <x v="5"/>
    <x v="5"/>
    <x v="0"/>
    <x v="0"/>
    <x v="0"/>
    <x v="0"/>
    <x v="0"/>
    <x v="0"/>
    <x v="4"/>
    <x v="4"/>
    <x v="5"/>
    <x v="5"/>
    <x v="5"/>
    <x v="5"/>
    <x v="5"/>
    <x v="5"/>
    <x v="5"/>
    <x v="5"/>
    <x v="5"/>
    <x v="5"/>
    <x v="0"/>
    <x v="0"/>
    <x v="0"/>
    <x v="0"/>
    <x v="0"/>
    <x v="5"/>
  </r>
  <r>
    <x v="0"/>
    <x v="0"/>
    <x v="0"/>
    <x v="1"/>
    <x v="5"/>
    <x v="5"/>
    <x v="5"/>
    <x v="0"/>
    <x v="0"/>
    <x v="0"/>
    <x v="0"/>
    <x v="0"/>
    <x v="0"/>
    <x v="4"/>
    <x v="4"/>
    <x v="5"/>
    <x v="5"/>
    <x v="5"/>
    <x v="5"/>
    <x v="5"/>
    <x v="5"/>
    <x v="5"/>
    <x v="5"/>
    <x v="5"/>
    <x v="5"/>
    <x v="0"/>
    <x v="0"/>
    <x v="0"/>
    <x v="0"/>
    <x v="0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779B80C-B750-4095-8179-DFFB385FC1F7}" name="UnoBiable: SmartZoom 000 en ctas" cacheId="6" applyNumberFormats="0" applyBorderFormats="0" applyFontFormats="0" applyPatternFormats="0" applyAlignmentFormats="0" applyWidthHeightFormats="1" dataCaption="Valores" updatedVersion="6" minRefreshableVersion="3" showCalcMbrs="0" useAutoFormatting="1" itemPrintTitles="1" createdVersion="3" indent="0" compact="0" compactData="0" gridDropZones="1" multipleFieldFilters="0">
  <location ref="C187:D195" firstHeaderRow="2" firstDataRow="2" firstDataCol="1"/>
  <pivotFields count="31"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7">
        <item x="1"/>
        <item x="2"/>
        <item x="4"/>
        <item x="0"/>
        <item x="3"/>
        <item x="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</pivotFields>
  <rowFields count="1">
    <field x="4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dataFields count="1">
    <dataField name="Suma de VALOR_PRESUPUESTO" fld="30" baseField="0" baseItem="0"/>
  </dataFields>
  <formats count="14">
    <format dxfId="26">
      <pivotArea type="all" dataOnly="0" outline="0" fieldPosition="0"/>
    </format>
    <format dxfId="25">
      <pivotArea outline="0" collapsedLevelsAreSubtotals="1" fieldPosition="0"/>
    </format>
    <format dxfId="24">
      <pivotArea type="origin" dataOnly="0" labelOnly="1" outline="0" fieldPosition="0"/>
    </format>
    <format dxfId="23">
      <pivotArea field="4" type="button" dataOnly="0" labelOnly="1" outline="0" axis="axisRow" fieldPosition="0"/>
    </format>
    <format dxfId="22">
      <pivotArea dataOnly="0" labelOnly="1" outline="0" fieldPosition="0">
        <references count="1">
          <reference field="4" count="0"/>
        </references>
      </pivotArea>
    </format>
    <format dxfId="21">
      <pivotArea dataOnly="0" labelOnly="1" grandRow="1" outline="0" fieldPosition="0"/>
    </format>
    <format dxfId="20">
      <pivotArea type="topRight" dataOnly="0" labelOnly="1" outline="0" fieldPosition="0"/>
    </format>
    <format dxfId="19">
      <pivotArea type="all" dataOnly="0" outline="0" fieldPosition="0"/>
    </format>
    <format dxfId="18">
      <pivotArea outline="0" collapsedLevelsAreSubtotals="1" fieldPosition="0"/>
    </format>
    <format dxfId="17">
      <pivotArea type="origin" dataOnly="0" labelOnly="1" outline="0" fieldPosition="0"/>
    </format>
    <format dxfId="16">
      <pivotArea field="4" type="button" dataOnly="0" labelOnly="1" outline="0" axis="axisRow" fieldPosition="0"/>
    </format>
    <format dxfId="15">
      <pivotArea dataOnly="0" labelOnly="1" outline="0" fieldPosition="0">
        <references count="1">
          <reference field="4" count="0"/>
        </references>
      </pivotArea>
    </format>
    <format dxfId="14">
      <pivotArea dataOnly="0" labelOnly="1" grandRow="1" outline="0" fieldPosition="0"/>
    </format>
    <format dxfId="13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528E189-0878-44BD-BA72-7CCC09F02357}" name="UnoBiable: SmartZoom 001 en ctas" cacheId="5" applyNumberFormats="0" applyBorderFormats="0" applyFontFormats="0" applyPatternFormats="0" applyAlignmentFormats="0" applyWidthHeightFormats="1" dataCaption="Valores" updatedVersion="6" minRefreshableVersion="3" showCalcMbrs="0" useAutoFormatting="1" itemPrintTitles="1" createdVersion="3" indent="0" compact="0" compactData="0" gridDropZones="1" multipleFieldFilters="0">
  <location ref="E126:G129" firstHeaderRow="2" firstDataRow="2" firstDataCol="2"/>
  <pivotFields count="10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10">
        <item x="9"/>
        <item h="1" x="1"/>
        <item h="1" x="0"/>
        <item h="1" x="6"/>
        <item h="1" x="4"/>
        <item h="1" x="7"/>
        <item h="1" x="3"/>
        <item h="1" x="2"/>
        <item h="1" x="8"/>
        <item h="1" x="5"/>
      </items>
    </pivotField>
    <pivotField axis="axisRow" compact="0" outline="0" showAll="0">
      <items count="11">
        <item x="1"/>
        <item x="5"/>
        <item x="2"/>
        <item x="4"/>
        <item x="7"/>
        <item x="0"/>
        <item x="8"/>
        <item x="6"/>
        <item x="3"/>
        <item x="9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31"/>
    <field x="32"/>
  </rowFields>
  <rowItems count="2">
    <i>
      <x/>
      <x v="9"/>
    </i>
    <i t="grand">
      <x/>
    </i>
  </rowItems>
  <colItems count="1">
    <i/>
  </colItems>
  <dataFields count="1">
    <dataField name="Suma de MOVTO_LIBRO2" fld="96" baseField="0" baseItem="0" numFmtId="41"/>
  </dataFields>
  <formats count="19">
    <format dxfId="45">
      <pivotArea outline="0" collapsedLevelsAreSubtotals="1" fieldPosition="0"/>
    </format>
    <format dxfId="44">
      <pivotArea type="all" dataOnly="0" outline="0" fieldPosition="0"/>
    </format>
    <format dxfId="43">
      <pivotArea outline="0" collapsedLevelsAreSubtotals="1" fieldPosition="0"/>
    </format>
    <format dxfId="42">
      <pivotArea type="origin" dataOnly="0" labelOnly="1" outline="0" fieldPosition="0"/>
    </format>
    <format dxfId="41">
      <pivotArea field="31" type="button" dataOnly="0" labelOnly="1" outline="0" axis="axisRow" fieldPosition="0"/>
    </format>
    <format dxfId="40">
      <pivotArea field="32" type="button" dataOnly="0" labelOnly="1" outline="0" axis="axisRow" fieldPosition="1"/>
    </format>
    <format dxfId="39">
      <pivotArea dataOnly="0" labelOnly="1" outline="0" fieldPosition="0">
        <references count="1">
          <reference field="31" count="0"/>
        </references>
      </pivotArea>
    </format>
    <format dxfId="38">
      <pivotArea dataOnly="0" labelOnly="1" grandRow="1" outline="0" fieldPosition="0"/>
    </format>
    <format dxfId="37">
      <pivotArea dataOnly="0" labelOnly="1" outline="0" fieldPosition="0">
        <references count="2">
          <reference field="31" count="0" selected="0"/>
          <reference field="32" count="1">
            <x v="9"/>
          </reference>
        </references>
      </pivotArea>
    </format>
    <format dxfId="36">
      <pivotArea type="topRight" dataOnly="0" labelOnly="1" outline="0" fieldPosition="0"/>
    </format>
    <format dxfId="35">
      <pivotArea type="all" dataOnly="0" outline="0" fieldPosition="0"/>
    </format>
    <format dxfId="34">
      <pivotArea outline="0" collapsedLevelsAreSubtotals="1" fieldPosition="0"/>
    </format>
    <format dxfId="33">
      <pivotArea type="origin" dataOnly="0" labelOnly="1" outline="0" fieldPosition="0"/>
    </format>
    <format dxfId="32">
      <pivotArea field="31" type="button" dataOnly="0" labelOnly="1" outline="0" axis="axisRow" fieldPosition="0"/>
    </format>
    <format dxfId="31">
      <pivotArea field="32" type="button" dataOnly="0" labelOnly="1" outline="0" axis="axisRow" fieldPosition="1"/>
    </format>
    <format dxfId="30">
      <pivotArea dataOnly="0" labelOnly="1" outline="0" fieldPosition="0">
        <references count="1">
          <reference field="31" count="0"/>
        </references>
      </pivotArea>
    </format>
    <format dxfId="29">
      <pivotArea dataOnly="0" labelOnly="1" grandRow="1" outline="0" fieldPosition="0"/>
    </format>
    <format dxfId="28">
      <pivotArea dataOnly="0" labelOnly="1" outline="0" fieldPosition="0">
        <references count="2">
          <reference field="31" count="0" selected="0"/>
          <reference field="32" count="1">
            <x v="9"/>
          </reference>
        </references>
      </pivotArea>
    </format>
    <format dxfId="27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5C14C06-98E2-4679-8E63-5A6FE4C2504E}" name="UnoBiable: SmartZoom 002 en ctas" cacheId="4" applyNumberFormats="0" applyBorderFormats="0" applyFontFormats="0" applyPatternFormats="0" applyAlignmentFormats="0" applyWidthHeightFormats="1" dataCaption="Valores" updatedVersion="8" minRefreshableVersion="3" showCalcMbrs="0" useAutoFormatting="1" itemPrintTitles="1" createdVersion="3" indent="0" compact="0" compactData="0" gridDropZones="1" multipleFieldFilters="0">
  <location ref="E542:G547" firstHeaderRow="2" firstDataRow="2" firstDataCol="2" rowPageCount="1" colPageCount="1"/>
  <pivotFields count="33">
    <pivotField axis="axisPage" compact="0" outline="0" showAll="0">
      <items count="17">
        <item m="1" x="15"/>
        <item m="1" x="6"/>
        <item m="1" x="7"/>
        <item m="1" x="8"/>
        <item m="1" x="9"/>
        <item m="1" x="10"/>
        <item m="1" x="11"/>
        <item m="1" x="12"/>
        <item m="1" x="13"/>
        <item m="1" x="14"/>
        <item x="0"/>
        <item x="1"/>
        <item x="2"/>
        <item x="3"/>
        <item x="4"/>
        <item x="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4">
        <item x="0"/>
        <item x="1"/>
        <item x="2"/>
        <item m="1" x="3"/>
      </items>
    </pivotField>
    <pivotField axis="axisRow" compact="0" outline="0" showAll="0">
      <items count="5">
        <item x="0"/>
        <item x="1"/>
        <item x="2"/>
        <item m="1" x="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</pivotFields>
  <rowFields count="2">
    <field x="5"/>
    <field x="6"/>
  </rowFields>
  <rowItems count="4">
    <i>
      <x/>
      <x/>
    </i>
    <i>
      <x v="1"/>
      <x v="1"/>
    </i>
    <i>
      <x v="2"/>
      <x v="2"/>
    </i>
    <i t="grand">
      <x/>
    </i>
  </rowItems>
  <colItems count="1">
    <i/>
  </colItems>
  <pageFields count="1">
    <pageField fld="0" hier="-1"/>
  </pageFields>
  <dataFields count="1">
    <dataField name="Suma de Valor Presupuesto" fld="32" baseField="0" baseItem="0" numFmtId="41"/>
  </dataFields>
  <formats count="23">
    <format dxfId="68">
      <pivotArea outline="0" collapsedLevelsAreSubtotals="1" fieldPosition="0"/>
    </format>
    <format dxfId="67">
      <pivotArea type="all" dataOnly="0" outline="0" fieldPosition="0"/>
    </format>
    <format dxfId="66">
      <pivotArea outline="0" collapsedLevelsAreSubtotals="1" fieldPosition="0"/>
    </format>
    <format dxfId="65">
      <pivotArea type="origin" dataOnly="0" labelOnly="1" outline="0" fieldPosition="0"/>
    </format>
    <format dxfId="64">
      <pivotArea field="5" type="button" dataOnly="0" labelOnly="1" outline="0" axis="axisRow" fieldPosition="0"/>
    </format>
    <format dxfId="63">
      <pivotArea field="6" type="button" dataOnly="0" labelOnly="1" outline="0" axis="axisRow" fieldPosition="1"/>
    </format>
    <format dxfId="62">
      <pivotArea dataOnly="0" labelOnly="1" outline="0" fieldPosition="0">
        <references count="1">
          <reference field="5" count="0"/>
        </references>
      </pivotArea>
    </format>
    <format dxfId="61">
      <pivotArea dataOnly="0" labelOnly="1" grandRow="1" outline="0" fieldPosition="0"/>
    </format>
    <format dxfId="60">
      <pivotArea dataOnly="0" labelOnly="1" outline="0" fieldPosition="0">
        <references count="2">
          <reference field="5" count="1" selected="0">
            <x v="0"/>
          </reference>
          <reference field="6" count="1">
            <x v="0"/>
          </reference>
        </references>
      </pivotArea>
    </format>
    <format dxfId="59">
      <pivotArea dataOnly="0" labelOnly="1" outline="0" fieldPosition="0">
        <references count="2">
          <reference field="5" count="1" selected="0">
            <x v="1"/>
          </reference>
          <reference field="6" count="1">
            <x v="1"/>
          </reference>
        </references>
      </pivotArea>
    </format>
    <format dxfId="58">
      <pivotArea dataOnly="0" labelOnly="1" outline="0" fieldPosition="0">
        <references count="2">
          <reference field="5" count="1" selected="0">
            <x v="2"/>
          </reference>
          <reference field="6" count="1">
            <x v="2"/>
          </reference>
        </references>
      </pivotArea>
    </format>
    <format dxfId="57">
      <pivotArea type="topRight" dataOnly="0" labelOnly="1" outline="0" fieldPosition="0"/>
    </format>
    <format dxfId="56">
      <pivotArea type="all" dataOnly="0" outline="0" fieldPosition="0"/>
    </format>
    <format dxfId="55">
      <pivotArea outline="0" collapsedLevelsAreSubtotals="1" fieldPosition="0"/>
    </format>
    <format dxfId="54">
      <pivotArea type="origin" dataOnly="0" labelOnly="1" outline="0" fieldPosition="0"/>
    </format>
    <format dxfId="53">
      <pivotArea field="5" type="button" dataOnly="0" labelOnly="1" outline="0" axis="axisRow" fieldPosition="0"/>
    </format>
    <format dxfId="52">
      <pivotArea field="6" type="button" dataOnly="0" labelOnly="1" outline="0" axis="axisRow" fieldPosition="1"/>
    </format>
    <format dxfId="51">
      <pivotArea dataOnly="0" labelOnly="1" outline="0" fieldPosition="0">
        <references count="1">
          <reference field="5" count="0"/>
        </references>
      </pivotArea>
    </format>
    <format dxfId="50">
      <pivotArea dataOnly="0" labelOnly="1" grandRow="1" outline="0" fieldPosition="0"/>
    </format>
    <format dxfId="49">
      <pivotArea dataOnly="0" labelOnly="1" outline="0" fieldPosition="0">
        <references count="2">
          <reference field="5" count="1" selected="0">
            <x v="0"/>
          </reference>
          <reference field="6" count="1">
            <x v="0"/>
          </reference>
        </references>
      </pivotArea>
    </format>
    <format dxfId="48">
      <pivotArea dataOnly="0" labelOnly="1" outline="0" fieldPosition="0">
        <references count="2">
          <reference field="5" count="1" selected="0">
            <x v="1"/>
          </reference>
          <reference field="6" count="1">
            <x v="1"/>
          </reference>
        </references>
      </pivotArea>
    </format>
    <format dxfId="47">
      <pivotArea dataOnly="0" labelOnly="1" outline="0" fieldPosition="0">
        <references count="2">
          <reference field="5" count="1" selected="0">
            <x v="2"/>
          </reference>
          <reference field="6" count="1">
            <x v="2"/>
          </reference>
        </references>
      </pivotArea>
    </format>
    <format dxfId="46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2EB135-484C-4397-9837-5C41DE016B76}">
  <dimension ref="A2:G33"/>
  <sheetViews>
    <sheetView showGridLines="0" workbookViewId="0"/>
  </sheetViews>
  <sheetFormatPr baseColWidth="10" defaultRowHeight="12.75" x14ac:dyDescent="0.2"/>
  <cols>
    <col min="1" max="1" width="12.5703125" style="1" customWidth="1"/>
    <col min="2" max="2" width="16.5703125" style="1" customWidth="1"/>
    <col min="3" max="3" width="5" style="1" bestFit="1" customWidth="1"/>
    <col min="4" max="16384" width="11.42578125" style="1"/>
  </cols>
  <sheetData>
    <row r="2" spans="1:7" x14ac:dyDescent="0.2">
      <c r="A2" s="1" t="s">
        <v>0</v>
      </c>
      <c r="B2" s="1" t="s">
        <v>1</v>
      </c>
      <c r="D2" s="1" t="s">
        <v>2</v>
      </c>
      <c r="E2" s="1" t="s">
        <v>3</v>
      </c>
      <c r="F2" s="1" t="s">
        <v>4</v>
      </c>
      <c r="G2" s="1" t="s">
        <v>5</v>
      </c>
    </row>
    <row r="3" spans="1:7" x14ac:dyDescent="0.2">
      <c r="A3" s="2" t="str">
        <f>VLOOKUP(D3,B22:E33,4,0)</f>
        <v>202301</v>
      </c>
      <c r="B3" s="3" t="str">
        <f>VLOOKUP(D3,B22:D33,3,0)</f>
        <v>202401</v>
      </c>
      <c r="C3" s="3"/>
      <c r="D3" s="4" t="s">
        <v>6</v>
      </c>
      <c r="E3" s="4" t="s">
        <v>7</v>
      </c>
      <c r="F3" s="5">
        <v>2024</v>
      </c>
      <c r="G3" s="6">
        <v>3874.32</v>
      </c>
    </row>
    <row r="4" spans="1:7" x14ac:dyDescent="0.2">
      <c r="A4" s="2" t="str">
        <f>VLOOKUP(E4,B22:E33,4,0)</f>
        <v>202306</v>
      </c>
      <c r="B4" s="3" t="str">
        <f>VLOOKUP(E3,B22:D33,3,0)</f>
        <v>202406</v>
      </c>
      <c r="C4" s="3"/>
      <c r="D4" s="7" t="str">
        <f>+D3</f>
        <v>ENERO</v>
      </c>
      <c r="E4" s="7" t="str">
        <f>+E3</f>
        <v>JUNIO</v>
      </c>
      <c r="F4" s="5">
        <v>2023</v>
      </c>
      <c r="G4" s="8">
        <v>4669</v>
      </c>
    </row>
    <row r="5" spans="1:7" x14ac:dyDescent="0.2">
      <c r="A5" s="2"/>
      <c r="B5" s="3">
        <f>+B4-1</f>
        <v>202405</v>
      </c>
      <c r="C5" s="3"/>
      <c r="E5" s="1" t="s">
        <v>8</v>
      </c>
      <c r="G5" s="9">
        <v>4408.6499999999996</v>
      </c>
    </row>
    <row r="22" spans="2:5" x14ac:dyDescent="0.2">
      <c r="B22" s="1" t="s">
        <v>6</v>
      </c>
      <c r="C22" s="1">
        <v>1</v>
      </c>
      <c r="D22" s="1" t="str">
        <f t="shared" ref="D22:D30" si="0">$F$3&amp;0&amp;C22</f>
        <v>202401</v>
      </c>
      <c r="E22" s="1" t="str">
        <f t="shared" ref="E22:E30" si="1">$F$4&amp;0&amp;C22</f>
        <v>202301</v>
      </c>
    </row>
    <row r="23" spans="2:5" x14ac:dyDescent="0.2">
      <c r="B23" s="1" t="s">
        <v>9</v>
      </c>
      <c r="C23" s="1">
        <v>2</v>
      </c>
      <c r="D23" s="1" t="str">
        <f t="shared" si="0"/>
        <v>202402</v>
      </c>
      <c r="E23" s="1" t="str">
        <f t="shared" si="1"/>
        <v>202302</v>
      </c>
    </row>
    <row r="24" spans="2:5" x14ac:dyDescent="0.2">
      <c r="B24" s="1" t="s">
        <v>10</v>
      </c>
      <c r="C24" s="1">
        <v>3</v>
      </c>
      <c r="D24" s="1" t="str">
        <f t="shared" si="0"/>
        <v>202403</v>
      </c>
      <c r="E24" s="1" t="str">
        <f t="shared" si="1"/>
        <v>202303</v>
      </c>
    </row>
    <row r="25" spans="2:5" x14ac:dyDescent="0.2">
      <c r="B25" s="1" t="s">
        <v>11</v>
      </c>
      <c r="C25" s="1">
        <v>4</v>
      </c>
      <c r="D25" s="1" t="str">
        <f t="shared" si="0"/>
        <v>202404</v>
      </c>
      <c r="E25" s="1" t="str">
        <f t="shared" si="1"/>
        <v>202304</v>
      </c>
    </row>
    <row r="26" spans="2:5" x14ac:dyDescent="0.2">
      <c r="B26" s="1" t="s">
        <v>12</v>
      </c>
      <c r="C26" s="1">
        <v>5</v>
      </c>
      <c r="D26" s="1" t="str">
        <f t="shared" si="0"/>
        <v>202405</v>
      </c>
      <c r="E26" s="1" t="str">
        <f t="shared" si="1"/>
        <v>202305</v>
      </c>
    </row>
    <row r="27" spans="2:5" x14ac:dyDescent="0.2">
      <c r="B27" s="1" t="s">
        <v>7</v>
      </c>
      <c r="C27" s="1">
        <v>6</v>
      </c>
      <c r="D27" s="1" t="str">
        <f t="shared" si="0"/>
        <v>202406</v>
      </c>
      <c r="E27" s="1" t="str">
        <f t="shared" si="1"/>
        <v>202306</v>
      </c>
    </row>
    <row r="28" spans="2:5" x14ac:dyDescent="0.2">
      <c r="B28" s="1" t="s">
        <v>13</v>
      </c>
      <c r="C28" s="1">
        <v>7</v>
      </c>
      <c r="D28" s="1" t="str">
        <f t="shared" si="0"/>
        <v>202407</v>
      </c>
      <c r="E28" s="1" t="str">
        <f t="shared" si="1"/>
        <v>202307</v>
      </c>
    </row>
    <row r="29" spans="2:5" x14ac:dyDescent="0.2">
      <c r="B29" s="1" t="s">
        <v>14</v>
      </c>
      <c r="C29" s="1">
        <v>8</v>
      </c>
      <c r="D29" s="1" t="str">
        <f t="shared" si="0"/>
        <v>202408</v>
      </c>
      <c r="E29" s="1" t="str">
        <f t="shared" si="1"/>
        <v>202308</v>
      </c>
    </row>
    <row r="30" spans="2:5" x14ac:dyDescent="0.2">
      <c r="B30" s="1" t="s">
        <v>15</v>
      </c>
      <c r="C30" s="1">
        <v>9</v>
      </c>
      <c r="D30" s="1" t="str">
        <f t="shared" si="0"/>
        <v>202409</v>
      </c>
      <c r="E30" s="1" t="str">
        <f t="shared" si="1"/>
        <v>202309</v>
      </c>
    </row>
    <row r="31" spans="2:5" x14ac:dyDescent="0.2">
      <c r="B31" s="1" t="s">
        <v>16</v>
      </c>
      <c r="C31" s="1">
        <v>10</v>
      </c>
      <c r="D31" s="1" t="str">
        <f>$F$3&amp;C31</f>
        <v>202410</v>
      </c>
      <c r="E31" s="1" t="str">
        <f>$F$4&amp;C31</f>
        <v>202310</v>
      </c>
    </row>
    <row r="32" spans="2:5" x14ac:dyDescent="0.2">
      <c r="B32" s="1" t="s">
        <v>17</v>
      </c>
      <c r="C32" s="1">
        <v>11</v>
      </c>
      <c r="D32" s="1" t="str">
        <f>$F$3&amp;C32</f>
        <v>202411</v>
      </c>
      <c r="E32" s="1" t="str">
        <f>$F$4&amp;C32</f>
        <v>202311</v>
      </c>
    </row>
    <row r="33" spans="2:5" x14ac:dyDescent="0.2">
      <c r="B33" s="1" t="s">
        <v>18</v>
      </c>
      <c r="C33" s="1">
        <v>12</v>
      </c>
      <c r="D33" s="1" t="str">
        <f>$F$3&amp;C33</f>
        <v>202412</v>
      </c>
      <c r="E33" s="1" t="str">
        <f>$F$4&amp;C33</f>
        <v>202312</v>
      </c>
    </row>
  </sheetData>
  <dataValidations count="1">
    <dataValidation type="list" allowBlank="1" showInputMessage="1" showErrorMessage="1" sqref="D3:E3" xr:uid="{6A0F5ADF-9C8C-4BE1-82C8-D924DBE72947}">
      <formula1>$B$22:$B$33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5CACD-A66B-4E55-BC37-2DFEF9323277}">
  <dimension ref="A1:AK46"/>
  <sheetViews>
    <sheetView showGridLines="0" topLeftCell="S1" workbookViewId="0">
      <selection activeCell="AM34" sqref="AM34"/>
    </sheetView>
  </sheetViews>
  <sheetFormatPr baseColWidth="10" defaultRowHeight="12.75" x14ac:dyDescent="0.2"/>
  <cols>
    <col min="1" max="1" width="4.5703125" style="2" customWidth="1"/>
    <col min="2" max="2" width="35.7109375" style="2" customWidth="1"/>
    <col min="3" max="3" width="7.85546875" style="2" customWidth="1"/>
    <col min="4" max="4" width="8.5703125" style="2" customWidth="1"/>
    <col min="5" max="5" width="10.42578125" style="2" customWidth="1"/>
    <col min="6" max="6" width="5.85546875" style="2" customWidth="1"/>
    <col min="7" max="7" width="11.140625" style="2" customWidth="1"/>
    <col min="8" max="8" width="13.140625" style="2" customWidth="1"/>
    <col min="9" max="9" width="7.42578125" style="2" customWidth="1"/>
    <col min="10" max="10" width="9.5703125" style="2" customWidth="1"/>
    <col min="11" max="11" width="11.7109375" style="2" customWidth="1"/>
    <col min="12" max="12" width="8.42578125" style="2" customWidth="1"/>
    <col min="13" max="13" width="9.85546875" style="2" customWidth="1"/>
    <col min="14" max="14" width="6.7109375" style="2" customWidth="1"/>
    <col min="15" max="15" width="9.42578125" style="2" customWidth="1"/>
    <col min="16" max="16" width="11.28515625" style="2" customWidth="1"/>
    <col min="17" max="18" width="9.5703125" style="2" customWidth="1"/>
    <col min="19" max="19" width="11.5703125" style="32" bestFit="1" customWidth="1"/>
    <col min="20" max="21" width="11.42578125" style="32" customWidth="1"/>
    <col min="22" max="22" width="34.140625" style="2" customWidth="1"/>
    <col min="23" max="28" width="11.5703125" style="2" bestFit="1" customWidth="1"/>
    <col min="29" max="29" width="11.85546875" style="2" bestFit="1" customWidth="1"/>
    <col min="30" max="30" width="9.85546875" style="2" customWidth="1"/>
    <col min="31" max="31" width="10" style="2" customWidth="1"/>
    <col min="32" max="32" width="11.42578125" style="2"/>
    <col min="33" max="33" width="14.28515625" style="2" customWidth="1"/>
    <col min="34" max="37" width="11.5703125" style="2" bestFit="1" customWidth="1"/>
    <col min="38" max="16384" width="11.42578125" style="2"/>
  </cols>
  <sheetData>
    <row r="1" spans="1:37" s="54" customFormat="1" x14ac:dyDescent="0.2">
      <c r="B1" s="50"/>
      <c r="S1" s="32"/>
      <c r="T1" s="32"/>
      <c r="U1" s="32"/>
    </row>
    <row r="2" spans="1:37" x14ac:dyDescent="0.2">
      <c r="A2" s="54"/>
      <c r="Y2" s="54"/>
      <c r="Z2" s="54"/>
      <c r="AA2" s="54"/>
      <c r="AB2" s="54"/>
    </row>
    <row r="3" spans="1:37" ht="18" x14ac:dyDescent="0.25">
      <c r="B3" s="16" t="s">
        <v>137</v>
      </c>
      <c r="T3" s="118"/>
      <c r="V3" s="2" t="str">
        <f>+B3</f>
        <v>MUSICAR S.A. COLOMBIA CONSOLIDADO USD</v>
      </c>
    </row>
    <row r="4" spans="1:37" x14ac:dyDescent="0.2">
      <c r="B4" s="2" t="s">
        <v>20</v>
      </c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V4" s="54"/>
      <c r="W4" s="54"/>
      <c r="X4" s="54"/>
      <c r="Y4" s="54"/>
      <c r="Z4" s="54"/>
      <c r="AA4" s="54"/>
      <c r="AB4" s="54"/>
      <c r="AC4" s="54"/>
      <c r="AD4" s="54"/>
      <c r="AE4" s="54"/>
    </row>
    <row r="5" spans="1:37" x14ac:dyDescent="0.2">
      <c r="B5" s="3" t="s">
        <v>91</v>
      </c>
      <c r="V5" s="54"/>
      <c r="W5" s="2">
        <f>+'COLOMB$ '!U6:W6</f>
        <v>0</v>
      </c>
      <c r="Z5" s="2">
        <f>+'COLOMB$ '!X6:AB6</f>
        <v>0</v>
      </c>
      <c r="AC5" s="2" t="s">
        <v>26</v>
      </c>
      <c r="AD5" s="2" t="s">
        <v>24</v>
      </c>
      <c r="AE5" s="2" t="s">
        <v>25</v>
      </c>
    </row>
    <row r="6" spans="1:37" ht="15.75" customHeight="1" thickBot="1" x14ac:dyDescent="0.25">
      <c r="B6" s="20" t="str">
        <f>+'COL. CONS.$'!B6</f>
        <v>JUNIO de 2024</v>
      </c>
      <c r="C6" s="91"/>
      <c r="K6" s="21" t="s">
        <v>23</v>
      </c>
      <c r="L6" s="21"/>
      <c r="M6" s="21"/>
      <c r="N6" s="21"/>
      <c r="O6" s="21"/>
      <c r="P6" s="21"/>
      <c r="Q6" s="21"/>
      <c r="R6" s="21"/>
      <c r="V6" s="3" t="s">
        <v>91</v>
      </c>
      <c r="W6" s="54" t="str">
        <f>+C8</f>
        <v>Valor</v>
      </c>
      <c r="X6" s="54" t="str">
        <f>+E8</f>
        <v>Valor</v>
      </c>
      <c r="Y6" s="54" t="str">
        <f>+O8</f>
        <v>%</v>
      </c>
      <c r="Z6" s="54" t="str">
        <f>+W6</f>
        <v>Valor</v>
      </c>
      <c r="AA6" s="54" t="str">
        <f>+X6</f>
        <v>Valor</v>
      </c>
      <c r="AB6" s="54" t="str">
        <f>+G8</f>
        <v>%</v>
      </c>
      <c r="AC6" s="54" t="s">
        <v>26</v>
      </c>
      <c r="AD6" s="54" t="s">
        <v>24</v>
      </c>
      <c r="AE6" s="54" t="s">
        <v>25</v>
      </c>
    </row>
    <row r="7" spans="1:37" x14ac:dyDescent="0.2">
      <c r="B7" s="61"/>
      <c r="C7" s="61"/>
      <c r="D7" s="61" t="s">
        <v>138</v>
      </c>
      <c r="E7" s="61"/>
      <c r="F7" s="61" t="s">
        <v>139</v>
      </c>
      <c r="G7" s="62" t="s">
        <v>24</v>
      </c>
      <c r="H7" s="61"/>
      <c r="I7" s="61" t="s">
        <v>140</v>
      </c>
      <c r="J7" s="62" t="s">
        <v>25</v>
      </c>
      <c r="K7" s="62"/>
      <c r="L7" s="61" t="str">
        <f>+D7</f>
        <v>Ppto 2022</v>
      </c>
      <c r="M7" s="62"/>
      <c r="N7" s="61" t="str">
        <f>+F7</f>
        <v>Real 2022</v>
      </c>
      <c r="O7" s="62" t="s">
        <v>24</v>
      </c>
      <c r="P7" s="62" t="str">
        <f>+I7</f>
        <v>Real 2021</v>
      </c>
      <c r="Q7" s="62"/>
      <c r="R7" s="62" t="s">
        <v>25</v>
      </c>
      <c r="V7" s="3" t="str">
        <f>+'COLOMB$ '!T4</f>
        <v xml:space="preserve">Flujo de Caja </v>
      </c>
      <c r="W7" s="54" t="s">
        <v>28</v>
      </c>
      <c r="X7" s="54" t="s">
        <v>28</v>
      </c>
      <c r="Y7" s="54" t="s">
        <v>28</v>
      </c>
      <c r="Z7" s="2" t="s">
        <v>141</v>
      </c>
      <c r="AC7" s="54" t="s">
        <v>28</v>
      </c>
      <c r="AD7" s="54" t="s">
        <v>30</v>
      </c>
      <c r="AE7" s="54" t="s">
        <v>30</v>
      </c>
    </row>
    <row r="8" spans="1:37" ht="13.5" thickBot="1" x14ac:dyDescent="0.25">
      <c r="B8" s="65" t="s">
        <v>27</v>
      </c>
      <c r="C8" s="66" t="s">
        <v>28</v>
      </c>
      <c r="D8" s="66" t="s">
        <v>29</v>
      </c>
      <c r="E8" s="66" t="s">
        <v>28</v>
      </c>
      <c r="F8" s="66" t="s">
        <v>29</v>
      </c>
      <c r="G8" s="66" t="s">
        <v>30</v>
      </c>
      <c r="H8" s="66" t="s">
        <v>28</v>
      </c>
      <c r="I8" s="66" t="s">
        <v>29</v>
      </c>
      <c r="J8" s="66" t="s">
        <v>30</v>
      </c>
      <c r="K8" s="66" t="s">
        <v>28</v>
      </c>
      <c r="L8" s="66" t="s">
        <v>29</v>
      </c>
      <c r="M8" s="66" t="s">
        <v>28</v>
      </c>
      <c r="N8" s="66" t="s">
        <v>29</v>
      </c>
      <c r="O8" s="66" t="s">
        <v>30</v>
      </c>
      <c r="P8" s="66" t="s">
        <v>28</v>
      </c>
      <c r="Q8" s="66" t="s">
        <v>29</v>
      </c>
      <c r="R8" s="66" t="s">
        <v>30</v>
      </c>
      <c r="V8" s="3" t="s">
        <v>31</v>
      </c>
      <c r="W8" s="32">
        <f>'COLOMBIA USD'!W10+'EL SALVADOR USD'!V10+'VENEZUELA USD'!W9+'PANAMA USD'!U10</f>
        <v>20266.598073331086</v>
      </c>
      <c r="X8" s="32">
        <f>'COLOMBIA USD'!Y10+'EL SALVADOR USD'!X10+'VENEZUELA USD'!X9+'PANAMA USD'!W10</f>
        <v>48429.887451274364</v>
      </c>
      <c r="Y8" s="32">
        <f>'COLOMBIA USD'!X10+'EL SALVADOR USD'!W10+'VENEZUELA USD'!Y9+'PANAMA USD'!V10</f>
        <v>18727.550682442339</v>
      </c>
      <c r="Z8" s="32">
        <f>'COLOMBIA USD'!Z10+'EL SALVADOR USD'!Y10+'VENEZUELA USD'!Z9+'PANAMA USD'!X10</f>
        <v>25545.553219239453</v>
      </c>
      <c r="AA8" s="32">
        <f>'COLOMBIA USD'!AD10+'EL SALVADOR USD'!AC10+'VENEZUELA USD'!AA9+'PANAMA USD'!AB10</f>
        <v>28010.637290640396</v>
      </c>
      <c r="AB8" s="32">
        <f>'COLOMBIA USD'!AA10+'EL SALVADOR USD'!Z10+'VENEZUELA USD'!AB9+'PANAMA USD'!Y10</f>
        <v>26976.781928183525</v>
      </c>
      <c r="AC8" s="63">
        <f>+AB8-Z8</f>
        <v>1431.2287089440724</v>
      </c>
      <c r="AD8" s="68">
        <f>IF(Z8=0,"",(AB8-Z8)/ABS(Z8)+1)</f>
        <v>1.0560265302011997</v>
      </c>
      <c r="AE8" s="68">
        <f>IF(X8=0,"",(AB8-AA8)/ABS(AA8))</f>
        <v>-3.690938380764109E-2</v>
      </c>
      <c r="AF8" s="55"/>
      <c r="AG8" s="55">
        <f>+'COLOMBIA USD'!Y10+'EL SALVADOR USD'!X10+'VENEZUELA USD'!X9+'PANAMA USD'!W10</f>
        <v>48429.887451274364</v>
      </c>
      <c r="AH8" s="55">
        <f>+'COLOMBIA USD'!X10+'EL SALVADOR USD'!W10+'VENEZUELA USD'!Y9+'PANAMA USD'!V10</f>
        <v>18727.550682442339</v>
      </c>
      <c r="AI8" s="55">
        <f>+'COLOMBIA USD'!Z10+'EL SALVADOR USD'!Y10+'VENEZUELA USD'!Z9+'PANAMA USD'!X10</f>
        <v>25545.553219239453</v>
      </c>
      <c r="AJ8" s="55">
        <f>+'COLOMBIA USD'!AD10+'EL SALVADOR USD'!AC10+'VENEZUELA USD'!AA9+'PANAMA USD'!AB10</f>
        <v>28010.637290640396</v>
      </c>
      <c r="AK8" s="55">
        <f>+'COLOMBIA USD'!AA10+'EL SALVADOR USD'!Z10+'VENEZUELA USD'!AB9+'PANAMA USD'!Y10</f>
        <v>26976.781928183525</v>
      </c>
    </row>
    <row r="9" spans="1:37" x14ac:dyDescent="0.2">
      <c r="B9" s="3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V9" s="3" t="s">
        <v>32</v>
      </c>
      <c r="W9" s="32">
        <f>'COLOMBIA USD'!W11+'EL SALVADOR USD'!V11+'VENEZUELA USD'!W10+'PANAMA USD'!U11</f>
        <v>279021.35316662426</v>
      </c>
      <c r="X9" s="32">
        <f>'COLOMBIA USD'!Y11+'EL SALVADOR USD'!X11+'VENEZUELA USD'!X10+'PANAMA USD'!W11</f>
        <v>284317.90653051378</v>
      </c>
      <c r="Y9" s="32">
        <f>'COLOMBIA USD'!X11+'EL SALVADOR USD'!W11+'VENEZUELA USD'!Y10+'PANAMA USD'!V11</f>
        <v>229573.89027796034</v>
      </c>
      <c r="Z9" s="32">
        <f>'COLOMBIA USD'!Z11+'EL SALVADOR USD'!Y11+'VENEZUELA USD'!Z10+'PANAMA USD'!X11</f>
        <v>1633729.1586493601</v>
      </c>
      <c r="AA9" s="32">
        <f>'COLOMBIA USD'!AD11+'EL SALVADOR USD'!AC11+'VENEZUELA USD'!AA10+'PANAMA USD'!AB11</f>
        <v>1530057.4868389738</v>
      </c>
      <c r="AB9" s="32">
        <f>'COLOMBIA USD'!AA11+'EL SALVADOR USD'!Z11+'VENEZUELA USD'!AB10+'PANAMA USD'!Y11</f>
        <v>1741788.1239881227</v>
      </c>
      <c r="AC9" s="63">
        <f>+AB9-Z9</f>
        <v>108058.96533876262</v>
      </c>
      <c r="AD9" s="68">
        <f>IF(Z9=0,"",(AB9-Z9)/ABS(Z9)+1)</f>
        <v>1.0661425210945596</v>
      </c>
      <c r="AE9" s="68">
        <f>IF(AA9=0,"",(AB9-AA9)/ABS(AA9))</f>
        <v>0.13838083795568643</v>
      </c>
      <c r="AF9" s="55"/>
      <c r="AG9" s="55">
        <f>+'COLOMBIA USD'!Y11+'EL SALVADOR USD'!X11+'VENEZUELA USD'!X10+'PANAMA USD'!W11</f>
        <v>284317.90653051378</v>
      </c>
      <c r="AH9" s="55">
        <f>+'COLOMBIA USD'!X11+'EL SALVADOR USD'!W11+'VENEZUELA USD'!Y10+'PANAMA USD'!V11</f>
        <v>229573.89027796034</v>
      </c>
      <c r="AI9" s="55">
        <f>+'COLOMBIA USD'!AB11+'EL SALVADOR USD'!AA11+'VENEZUELA USD'!AC10+'PANAMA USD'!Z11</f>
        <v>107577.94888904548</v>
      </c>
      <c r="AK9" s="55">
        <f>+'COLOMBIA USD'!AA11+'EL SALVADOR USD'!Z11+'VENEZUELA USD'!AB10+'PANAMA USD'!Y11</f>
        <v>1741788.1239881227</v>
      </c>
    </row>
    <row r="10" spans="1:37" x14ac:dyDescent="0.2">
      <c r="B10" s="3" t="s">
        <v>65</v>
      </c>
      <c r="C10" s="32">
        <f>+'COLOMBIA USD'!C10+'EL SALVADOR USD'!C10+'VENEZUELA USD'!C10+'PANAMA USD'!C10</f>
        <v>103165.10562005235</v>
      </c>
      <c r="D10" s="34">
        <f t="shared" ref="D10:D15" si="0">+C10/$C$20</f>
        <v>0.44702911695130526</v>
      </c>
      <c r="E10" s="32">
        <f>+'COLOMBIA USD'!E10+'EL SALVADOR USD'!E10+'VENEZUELA USD'!E10+'PANAMA USD'!E10</f>
        <v>111049.79154941296</v>
      </c>
      <c r="F10" s="34">
        <f t="shared" ref="F10:F20" si="1">+E10/$E$20</f>
        <v>0.41862413764014178</v>
      </c>
      <c r="G10" s="34">
        <f t="shared" ref="G10:G20" si="2">IF(C10=0,"",(E10-C10)/ABS(C10)+1)</f>
        <v>1.0764278375131915</v>
      </c>
      <c r="H10" s="32">
        <f>+'COLOMBIA USD'!H10+'EL SALVADOR USD'!H10+'VENEZUELA USD'!H10+'PANAMA USD'!H10</f>
        <v>95589.211322859905</v>
      </c>
      <c r="I10" s="34">
        <f t="shared" ref="I10:I18" si="3">+H10/$H$20</f>
        <v>0.41710809416533956</v>
      </c>
      <c r="J10" s="34">
        <f t="shared" ref="J10:J20" si="4">IF(H10=0,"",(E10-H10)/ABS(H10))</f>
        <v>0.16173980319111278</v>
      </c>
      <c r="K10" s="32">
        <f>+'COLOMBIA USD'!K10+'EL SALVADOR USD'!K10+'VENEZUELA USD'!K10+'PANAMA USD'!K10</f>
        <v>626644.34010399028</v>
      </c>
      <c r="L10" s="34">
        <f t="shared" ref="L10:L46" si="5">+K10/$K$20</f>
        <v>0.44011780468861139</v>
      </c>
      <c r="M10" s="32">
        <f>+'COLOMBIA USD'!M10+'EL SALVADOR USD'!M10+'VENEZUELA USD'!M10+'PANAMA USD'!M10</f>
        <v>674835.32087173907</v>
      </c>
      <c r="N10" s="34">
        <f t="shared" ref="N10:N20" si="6">+M10/$M$20</f>
        <v>0.42913999559734672</v>
      </c>
      <c r="O10" s="34">
        <f t="shared" ref="O10:O18" si="7">IF(K10=0,"",(M10-K10)/ABS(K10)+1)</f>
        <v>1.0769032410948634</v>
      </c>
      <c r="P10" s="32">
        <f>+'COLOMBIA USD'!P10+'EL SALVADOR USD'!P10+'VENEZUELA USD'!P10+'PANAMA USD'!P10</f>
        <v>557329.40445338737</v>
      </c>
      <c r="Q10" s="34">
        <f t="shared" ref="Q10:Q46" si="8">+P10/$P$20</f>
        <v>0.45275038620462571</v>
      </c>
      <c r="R10" s="34">
        <f t="shared" ref="R10:R18" si="9">IF(P10=0,"",(M10-P10)/ABS(P10))</f>
        <v>0.21083746071786419</v>
      </c>
      <c r="V10" s="3" t="s">
        <v>33</v>
      </c>
      <c r="W10" s="32">
        <f>'COLOMBIA USD'!W13+'EL SALVADOR USD'!V13+'VENEZUELA USD'!W11+'PANAMA USD'!U13</f>
        <v>36813.847729082168</v>
      </c>
      <c r="X10" s="32">
        <f>'COLOMBIA USD'!Y13+'EL SALVADOR USD'!X13+'VENEZUELA USD'!X11+'PANAMA USD'!W13</f>
        <v>34184.944956093379</v>
      </c>
      <c r="Y10" s="32">
        <f>'COLOMBIA USD'!X13+'EL SALVADOR USD'!W13+'VENEZUELA USD'!Y11+'PANAMA USD'!V13</f>
        <v>56441.405601798935</v>
      </c>
      <c r="Z10" s="32">
        <f>'COLOMBIA USD'!Z13+'EL SALVADOR USD'!Y13+'VENEZUELA USD'!Z11+'PANAMA USD'!X13</f>
        <v>256304.85262857765</v>
      </c>
      <c r="AA10" s="32" t="e">
        <f>'COLOMBIA USD'!AD13+'EL SALVADOR USD'!AC13+'VENEZUELA USD'!AA11+'PANAMA USD'!AB13</f>
        <v>#VALUE!</v>
      </c>
      <c r="AB10" s="32">
        <f>'COLOMBIA USD'!AA13+'EL SALVADOR USD'!Z13+'VENEZUELA USD'!AB11+'PANAMA USD'!Y13</f>
        <v>308689.94727158768</v>
      </c>
      <c r="AC10" s="63">
        <f>+Z10-AB10</f>
        <v>-52385.09464301003</v>
      </c>
      <c r="AD10" s="68">
        <f>IF(Z10=0,"",(AB10-Z10)/ABS(Z10)+1)</f>
        <v>1.2043858869848381</v>
      </c>
      <c r="AE10" s="68" t="e">
        <f t="shared" ref="AE10:AE22" si="10">IF(AA10=0,"",(AB10-AA10)/ABS(AA10))</f>
        <v>#VALUE!</v>
      </c>
      <c r="AF10" s="55"/>
      <c r="AG10" s="55">
        <f>+'COLOMBIA USD'!Y13+'EL SALVADOR USD'!X13+'VENEZUELA USD'!X11+'PANAMA USD'!W13</f>
        <v>34184.944956093379</v>
      </c>
      <c r="AH10" s="55">
        <f>+'COLOMBIA USD'!X13+'EL SALVADOR USD'!W13+'VENEZUELA USD'!Y11+'PANAMA USD'!V13</f>
        <v>56441.405601798935</v>
      </c>
      <c r="AI10" s="55">
        <f>+'COLOMBIA USD'!AB13+'EL SALVADOR USD'!AA13+'VENEZUELA USD'!AC11+'PANAMA USD'!Z13</f>
        <v>-61826.090657979759</v>
      </c>
      <c r="AK10" s="55">
        <f>+'COLOMBIA USD'!AA13+'EL SALVADOR USD'!Z13+'VENEZUELA USD'!AB11+'PANAMA USD'!Y13</f>
        <v>308689.94727158768</v>
      </c>
    </row>
    <row r="11" spans="1:37" x14ac:dyDescent="0.2">
      <c r="B11" s="3" t="s">
        <v>67</v>
      </c>
      <c r="C11" s="32">
        <f>+'COLOMBIA USD'!C11+'EL SALVADOR USD'!C11+'VENEZUELA USD'!C11+'PANAMA USD'!C11</f>
        <v>10524.950719745955</v>
      </c>
      <c r="D11" s="34">
        <f t="shared" si="0"/>
        <v>4.5606112628159119E-2</v>
      </c>
      <c r="E11" s="32">
        <f>+'COLOMBIA USD'!E11+'EL SALVADOR USD'!E11+'VENEZUELA USD'!E11+'PANAMA USD'!E11</f>
        <v>17012.64708584149</v>
      </c>
      <c r="F11" s="34">
        <f t="shared" si="1"/>
        <v>6.4132535648367128E-2</v>
      </c>
      <c r="G11" s="34">
        <f t="shared" si="2"/>
        <v>1.6164110919706169</v>
      </c>
      <c r="H11" s="32">
        <f>+'COLOMBIA USD'!H11+'EL SALVADOR USD'!H11+'VENEZUELA USD'!H11+'PANAMA USD'!H11</f>
        <v>9003.8668427023258</v>
      </c>
      <c r="I11" s="34">
        <f t="shared" si="3"/>
        <v>3.9288803484247618E-2</v>
      </c>
      <c r="J11" s="34">
        <f t="shared" si="4"/>
        <v>0.8894823061083269</v>
      </c>
      <c r="K11" s="32">
        <f>+'COLOMBIA USD'!K11+'EL SALVADOR USD'!K11+'VENEZUELA USD'!K11+'PANAMA USD'!K11</f>
        <v>71437.83816458135</v>
      </c>
      <c r="L11" s="34">
        <f t="shared" si="5"/>
        <v>5.0173699006805468E-2</v>
      </c>
      <c r="M11" s="32">
        <f>+'COLOMBIA USD'!M11+'EL SALVADOR USD'!M11+'VENEZUELA USD'!M11+'PANAMA USD'!M11</f>
        <v>99130.681825712265</v>
      </c>
      <c r="N11" s="34">
        <f t="shared" si="6"/>
        <v>6.3038994917003724E-2</v>
      </c>
      <c r="O11" s="34">
        <f t="shared" si="7"/>
        <v>1.3876495198151297</v>
      </c>
      <c r="P11" s="32">
        <f>+'COLOMBIA USD'!P11+'EL SALVADOR USD'!P11+'VENEZUELA USD'!P11+'PANAMA USD'!P11</f>
        <v>65225.282897257348</v>
      </c>
      <c r="Q11" s="34">
        <f t="shared" si="8"/>
        <v>5.2986208490115753E-2</v>
      </c>
      <c r="R11" s="34">
        <f t="shared" si="9"/>
        <v>0.51981988306378968</v>
      </c>
      <c r="V11" s="3" t="s">
        <v>34</v>
      </c>
      <c r="W11" s="32">
        <f>'COLOMBIA USD'!W14+'EL SALVADOR USD'!V14+'VENEZUELA USD'!W12+'PANAMA USD'!U14</f>
        <v>2751.6359883411023</v>
      </c>
      <c r="X11" s="32">
        <f>'COLOMBIA USD'!Y14+'EL SALVADOR USD'!X14+'VENEZUELA USD'!X12+'PANAMA USD'!W14</f>
        <v>2371.8288712786466</v>
      </c>
      <c r="Y11" s="32">
        <f>'COLOMBIA USD'!X14+'EL SALVADOR USD'!W14+'VENEZUELA USD'!Y12+'PANAMA USD'!V14</f>
        <v>3524.2974250965331</v>
      </c>
      <c r="Z11" s="32">
        <f>'COLOMBIA USD'!Z14+'EL SALVADOR USD'!Y14+'VENEZUELA USD'!Z12+'PANAMA USD'!X14</f>
        <v>16414.548671361983</v>
      </c>
      <c r="AA11" s="32">
        <f>'COLOMBIA USD'!AD14+'EL SALVADOR USD'!AC14+'VENEZUELA USD'!AA12+'PANAMA USD'!AB14</f>
        <v>12073.135146712359</v>
      </c>
      <c r="AB11" s="32">
        <f>'COLOMBIA USD'!AA14+'EL SALVADOR USD'!Z14+'VENEZUELA USD'!AB12+'PANAMA USD'!Y14</f>
        <v>20566.199229800324</v>
      </c>
      <c r="AC11" s="63">
        <f>+Z11-AB11</f>
        <v>-4151.6505584383412</v>
      </c>
      <c r="AD11" s="68">
        <f t="shared" ref="AD11:AD22" si="11">IF(Z11=0,"",(AB11-Z11)/ABS(Z11)+1)</f>
        <v>1.2529250509142305</v>
      </c>
      <c r="AE11" s="68">
        <f t="shared" si="10"/>
        <v>0.70346798738525806</v>
      </c>
      <c r="AF11" s="55"/>
      <c r="AG11" s="55">
        <f>+'COLOMBIA USD'!Y14+'EL SALVADOR USD'!X14+'VENEZUELA USD'!X12+'PANAMA USD'!W14</f>
        <v>2371.8288712786466</v>
      </c>
      <c r="AH11" s="55">
        <f>+'COLOMBIA USD'!X14+'EL SALVADOR USD'!W14+'VENEZUELA USD'!Y12+'PANAMA USD'!V14</f>
        <v>3524.2974250965331</v>
      </c>
      <c r="AI11" s="55">
        <f>+'COLOMBIA USD'!AB14+'EL SALVADOR USD'!AA14+'VENEZUELA USD'!AC12+'PANAMA USD'!Z14</f>
        <v>-4151.6505584383412</v>
      </c>
      <c r="AK11" s="55">
        <f>+'COLOMBIA USD'!AA14+'EL SALVADOR USD'!Z14+'VENEZUELA USD'!AB12+'PANAMA USD'!Y14</f>
        <v>20566.199229800324</v>
      </c>
    </row>
    <row r="12" spans="1:37" x14ac:dyDescent="0.2">
      <c r="B12" s="3" t="s">
        <v>69</v>
      </c>
      <c r="C12" s="32">
        <f>+'COLOMBIA USD'!C12+'EL SALVADOR USD'!C12+'VENEZUELA USD'!C12+'PANAMA USD'!C12</f>
        <v>21055.219568047196</v>
      </c>
      <c r="D12" s="34">
        <f t="shared" si="0"/>
        <v>9.1235269465865784E-2</v>
      </c>
      <c r="E12" s="32">
        <f>+'COLOMBIA USD'!E12+'EL SALVADOR USD'!E12+'VENEZUELA USD'!E12+'PANAMA USD'!E12</f>
        <v>17278.34528895545</v>
      </c>
      <c r="F12" s="34">
        <f t="shared" si="1"/>
        <v>6.513413753882745E-2</v>
      </c>
      <c r="G12" s="34">
        <f t="shared" si="2"/>
        <v>0.82062052276940278</v>
      </c>
      <c r="H12" s="32">
        <f>+'COLOMBIA USD'!H12+'EL SALVADOR USD'!H12+'VENEZUELA USD'!H12+'PANAMA USD'!H12</f>
        <v>20592.928697772499</v>
      </c>
      <c r="I12" s="34">
        <f t="shared" si="3"/>
        <v>8.9858229014977392E-2</v>
      </c>
      <c r="J12" s="34">
        <f t="shared" si="4"/>
        <v>-0.16095735858958135</v>
      </c>
      <c r="K12" s="32">
        <f>+'COLOMBIA USD'!K12+'EL SALVADOR USD'!K12+'VENEZUELA USD'!K12+'PANAMA USD'!K12</f>
        <v>118936.57437048176</v>
      </c>
      <c r="L12" s="34">
        <f t="shared" si="5"/>
        <v>8.3533993142638888E-2</v>
      </c>
      <c r="M12" s="32">
        <f>+'COLOMBIA USD'!M12+'EL SALVADOR USD'!M12+'VENEZUELA USD'!M12+'PANAMA USD'!M12</f>
        <v>124788.02784140797</v>
      </c>
      <c r="N12" s="34">
        <f t="shared" si="6"/>
        <v>7.9354965666714905E-2</v>
      </c>
      <c r="O12" s="34">
        <f t="shared" si="7"/>
        <v>1.0491980999276069</v>
      </c>
      <c r="P12" s="32">
        <f>+'COLOMBIA USD'!P12+'EL SALVADOR USD'!P12+'VENEZUELA USD'!P12+'PANAMA USD'!P12</f>
        <v>129797.822810221</v>
      </c>
      <c r="Q12" s="34">
        <f t="shared" si="8"/>
        <v>0.10544215671427411</v>
      </c>
      <c r="R12" s="34">
        <f t="shared" si="9"/>
        <v>-3.8596910644163235E-2</v>
      </c>
      <c r="V12" s="3" t="s">
        <v>35</v>
      </c>
      <c r="W12" s="32">
        <f>'COLOMBIA USD'!W15+'EL SALVADOR USD'!V15+'VENEZUELA USD'!W13+'PANAMA USD'!U15</f>
        <v>125063.37331332595</v>
      </c>
      <c r="X12" s="32">
        <f>'COLOMBIA USD'!Y15+'EL SALVADOR USD'!X15+'VENEZUELA USD'!X13+'PANAMA USD'!W15</f>
        <v>111124.3448275862</v>
      </c>
      <c r="Y12" s="32">
        <f>'COLOMBIA USD'!X15+'EL SALVADOR USD'!W15+'VENEZUELA USD'!Y13+'PANAMA USD'!V15</f>
        <v>146802.97994590018</v>
      </c>
      <c r="Z12" s="32">
        <f>'COLOMBIA USD'!Z15+'EL SALVADOR USD'!Y15+'VENEZUELA USD'!Z13+'PANAMA USD'!X15</f>
        <v>669719.41469624243</v>
      </c>
      <c r="AA12" s="32" t="e">
        <f>'COLOMBIA USD'!AD15+'EL SALVADOR USD'!AC15+'VENEZUELA USD'!AA13+'PANAMA USD'!AB15</f>
        <v>#VALUE!</v>
      </c>
      <c r="AB12" s="32">
        <f>'COLOMBIA USD'!AA15+'EL SALVADOR USD'!Z15+'VENEZUELA USD'!AB13+'PANAMA USD'!Y15</f>
        <v>752195.6750129055</v>
      </c>
      <c r="AC12" s="63">
        <f>+Z12-AB12</f>
        <v>-82476.260316663072</v>
      </c>
      <c r="AD12" s="68">
        <f t="shared" si="11"/>
        <v>1.1231504694455827</v>
      </c>
      <c r="AE12" s="68" t="e">
        <f t="shared" si="10"/>
        <v>#VALUE!</v>
      </c>
      <c r="AF12" s="55"/>
      <c r="AG12" s="55">
        <f>+'COLOMBIA USD'!Y15+'EL SALVADOR USD'!X15+'VENEZUELA USD'!X13+'PANAMA USD'!W15</f>
        <v>111124.3448275862</v>
      </c>
      <c r="AH12" s="55">
        <f>+'COLOMBIA USD'!X15+'EL SALVADOR USD'!W15+'VENEZUELA USD'!Y13+'PANAMA USD'!V15</f>
        <v>146802.97994590018</v>
      </c>
      <c r="AI12" s="55" t="e">
        <f>+'COLOMBIA USD'!AB15+'EL SALVADOR USD'!AA15+'VENEZUELA USD'!AC13+'PANAMA USD'!Z15</f>
        <v>#VALUE!</v>
      </c>
      <c r="AK12" s="55">
        <f>+'COLOMBIA USD'!AA15+'EL SALVADOR USD'!Z15+'VENEZUELA USD'!AB13+'PANAMA USD'!Y15</f>
        <v>752195.6750129055</v>
      </c>
    </row>
    <row r="13" spans="1:37" x14ac:dyDescent="0.2">
      <c r="B13" s="3" t="s">
        <v>71</v>
      </c>
      <c r="C13" s="32">
        <f>+'COLOMBIA USD'!C13+'EL SALVADOR USD'!C13+'VENEZUELA USD'!C13+'PANAMA USD'!C13</f>
        <v>22007.133247277063</v>
      </c>
      <c r="D13" s="34">
        <f t="shared" si="0"/>
        <v>9.5360047208130641E-2</v>
      </c>
      <c r="E13" s="32">
        <f>+'COLOMBIA USD'!E13+'EL SALVADOR USD'!E13+'VENEZUELA USD'!E13+'PANAMA USD'!E13</f>
        <v>26371.138971256922</v>
      </c>
      <c r="F13" s="34">
        <f t="shared" si="1"/>
        <v>9.9411220466078615E-2</v>
      </c>
      <c r="G13" s="34">
        <f t="shared" si="2"/>
        <v>1.1982996001771298</v>
      </c>
      <c r="H13" s="32">
        <f>+'COLOMBIA USD'!H13+'EL SALVADOR USD'!H13+'VENEZUELA USD'!H13+'PANAMA USD'!H13</f>
        <v>26989.32723721163</v>
      </c>
      <c r="I13" s="34">
        <f t="shared" si="3"/>
        <v>0.11776921988293296</v>
      </c>
      <c r="J13" s="34">
        <f t="shared" si="4"/>
        <v>-2.2904915729147147E-2</v>
      </c>
      <c r="K13" s="32">
        <f>+'COLOMBIA USD'!K13+'EL SALVADOR USD'!K13+'VENEZUELA USD'!K13+'PANAMA USD'!K13</f>
        <v>149225.41117664383</v>
      </c>
      <c r="L13" s="34">
        <f t="shared" si="5"/>
        <v>0.10480707503066403</v>
      </c>
      <c r="M13" s="32">
        <f>+'COLOMBIA USD'!M13+'EL SALVADOR USD'!M13+'VENEZUELA USD'!M13+'PANAMA USD'!M13</f>
        <v>177517.31386259332</v>
      </c>
      <c r="N13" s="34">
        <f t="shared" si="6"/>
        <v>0.11288647308952141</v>
      </c>
      <c r="O13" s="34">
        <f t="shared" si="7"/>
        <v>1.1895917220992562</v>
      </c>
      <c r="P13" s="32">
        <f>+'COLOMBIA USD'!P13+'EL SALVADOR USD'!P13+'VENEZUELA USD'!P13+'PANAMA USD'!P13</f>
        <v>113318.26936992425</v>
      </c>
      <c r="Q13" s="34">
        <f t="shared" si="8"/>
        <v>9.2054877799945561E-2</v>
      </c>
      <c r="R13" s="34">
        <f t="shared" si="9"/>
        <v>0.56653745993148841</v>
      </c>
      <c r="V13" s="3" t="s">
        <v>36</v>
      </c>
      <c r="W13" s="32">
        <f>'COLOMBIA USD'!W16+'EL SALVADOR USD'!V16+'VENEZUELA USD'!W14+'PANAMA USD'!U16</f>
        <v>68813.956572035662</v>
      </c>
      <c r="X13" s="32">
        <f>'COLOMBIA USD'!Y16+'EL SALVADOR USD'!X16+'VENEZUELA USD'!X14+'PANAMA USD'!W16</f>
        <v>73189.111629899344</v>
      </c>
      <c r="Y13" s="32">
        <f>'COLOMBIA USD'!X16+'EL SALVADOR USD'!W16+'VENEZUELA USD'!Y14+'PANAMA USD'!V16</f>
        <v>56316.625599847197</v>
      </c>
      <c r="Z13" s="32">
        <f>'COLOMBIA USD'!Z16+'EL SALVADOR USD'!Y16+'VENEZUELA USD'!Z14+'PANAMA USD'!X16</f>
        <v>427929.48833148699</v>
      </c>
      <c r="AA13" s="32" t="e">
        <f>'COLOMBIA USD'!AD16+'EL SALVADOR USD'!AC16+'VENEZUELA USD'!AA14+'PANAMA USD'!AB16</f>
        <v>#VALUE!</v>
      </c>
      <c r="AB13" s="32">
        <f>'COLOMBIA USD'!AA16+'EL SALVADOR USD'!Z16+'VENEZUELA USD'!AB14+'PANAMA USD'!Y16</f>
        <v>413027.28223739908</v>
      </c>
      <c r="AC13" s="63">
        <f>+Z13-AB13</f>
        <v>14902.206094087916</v>
      </c>
      <c r="AD13" s="68">
        <f t="shared" si="11"/>
        <v>0.96517602432075389</v>
      </c>
      <c r="AE13" s="68" t="e">
        <f t="shared" si="10"/>
        <v>#VALUE!</v>
      </c>
      <c r="AF13" s="55"/>
      <c r="AG13" s="55">
        <f>+'COLOMBIA USD'!Y16+'EL SALVADOR USD'!X16+'VENEZUELA USD'!X14+'PANAMA USD'!W16</f>
        <v>73189.111629899344</v>
      </c>
      <c r="AH13" s="55">
        <f>+'COLOMBIA USD'!X16+'EL SALVADOR USD'!W16+'VENEZUELA USD'!Y14+'PANAMA USD'!V16</f>
        <v>56316.625599847197</v>
      </c>
      <c r="AI13" s="55" t="e">
        <f>+'COLOMBIA USD'!AB16+'EL SALVADOR USD'!AA16+'VENEZUELA USD'!AC14+'PANAMA USD'!Z16</f>
        <v>#VALUE!</v>
      </c>
      <c r="AK13" s="55">
        <f>+'COLOMBIA USD'!AA16+'EL SALVADOR USD'!Z16+'VENEZUELA USD'!AB14+'PANAMA USD'!Y16</f>
        <v>413027.28223739908</v>
      </c>
    </row>
    <row r="14" spans="1:37" x14ac:dyDescent="0.2">
      <c r="B14" s="3" t="s">
        <v>72</v>
      </c>
      <c r="C14" s="32">
        <f>+'COLOMBIA USD'!C14+'EL SALVADOR USD'!C14+'VENEZUELA USD'!C14+'PANAMA USD'!C14</f>
        <v>0</v>
      </c>
      <c r="D14" s="34">
        <f t="shared" si="0"/>
        <v>0</v>
      </c>
      <c r="E14" s="32">
        <f>+'COLOMBIA USD'!E14+'EL SALVADOR USD'!E14+'VENEZUELA USD'!E14+'PANAMA USD'!E14</f>
        <v>0</v>
      </c>
      <c r="F14" s="34">
        <f t="shared" si="1"/>
        <v>0</v>
      </c>
      <c r="G14" s="34" t="str">
        <f t="shared" si="2"/>
        <v/>
      </c>
      <c r="H14" s="32">
        <f>+'COLOMBIA USD'!H14+'EL SALVADOR USD'!H14+'VENEZUELA USD'!H14+'PANAMA USD'!H14</f>
        <v>0</v>
      </c>
      <c r="I14" s="34">
        <f t="shared" si="3"/>
        <v>0</v>
      </c>
      <c r="J14" s="34" t="str">
        <f t="shared" si="4"/>
        <v/>
      </c>
      <c r="K14" s="32">
        <f>+'COLOMBIA USD'!K14+'EL SALVADOR USD'!K14+'VENEZUELA USD'!K14+'PANAMA USD'!K14</f>
        <v>0</v>
      </c>
      <c r="L14" s="34">
        <f t="shared" si="5"/>
        <v>0</v>
      </c>
      <c r="M14" s="32">
        <f>+'COLOMBIA USD'!M14+'EL SALVADOR USD'!M14+'VENEZUELA USD'!M14+'PANAMA USD'!M14</f>
        <v>0</v>
      </c>
      <c r="N14" s="34">
        <f t="shared" si="6"/>
        <v>0</v>
      </c>
      <c r="O14" s="34" t="str">
        <f t="shared" si="7"/>
        <v/>
      </c>
      <c r="P14" s="32">
        <f>+'COLOMBIA USD'!P14+'EL SALVADOR USD'!P14+'VENEZUELA USD'!P14+'PANAMA USD'!P14</f>
        <v>0</v>
      </c>
      <c r="Q14" s="34">
        <f t="shared" si="8"/>
        <v>0</v>
      </c>
      <c r="R14" s="34" t="str">
        <f t="shared" si="9"/>
        <v/>
      </c>
      <c r="V14" s="3" t="s">
        <v>37</v>
      </c>
      <c r="W14" s="32">
        <f>SUM(W10:W13)</f>
        <v>233442.81360278488</v>
      </c>
      <c r="X14" s="32">
        <f>SUM(X10:X13)</f>
        <v>220870.23028485756</v>
      </c>
      <c r="Y14" s="32">
        <f>SUM(Y10:Y13)</f>
        <v>263085.30857264285</v>
      </c>
      <c r="Z14" s="32">
        <f>'COLOMBIA USD'!Z17+'EL SALVADOR USD'!Y17+'VENEZUELA USD'!Z15+'PANAMA USD'!X17</f>
        <v>1325492.5999282622</v>
      </c>
      <c r="AA14" s="32" t="e">
        <f>'COLOMBIA USD'!AD17+'EL SALVADOR USD'!AC17+'VENEZUELA USD'!AA15+'PANAMA USD'!AB17</f>
        <v>#VALUE!</v>
      </c>
      <c r="AB14" s="32">
        <f>'COLOMBIA USD'!AA17+'EL SALVADOR USD'!Z17+'VENEZUELA USD'!AB15+'PANAMA USD'!Y17</f>
        <v>1475185.1343992457</v>
      </c>
      <c r="AC14" s="63">
        <f>+AB14-Z14</f>
        <v>149692.53447098355</v>
      </c>
      <c r="AD14" s="68">
        <f t="shared" si="11"/>
        <v>1.1129335120234434</v>
      </c>
      <c r="AE14" s="68" t="e">
        <f t="shared" si="10"/>
        <v>#VALUE!</v>
      </c>
      <c r="AF14" s="55"/>
      <c r="AG14" s="55">
        <f>+'COLOMBIA USD'!Y17+'EL SALVADOR USD'!X17+'VENEZUELA USD'!X15+'PANAMA USD'!W17</f>
        <v>220870.23028485759</v>
      </c>
      <c r="AH14" s="55">
        <f>+'COLOMBIA USD'!X17+'EL SALVADOR USD'!W17+'VENEZUELA USD'!Y15+'PANAMA USD'!V17</f>
        <v>239147.91361465963</v>
      </c>
      <c r="AI14" s="55">
        <f>+'COLOMBIA USD'!AB17+'EL SALVADOR USD'!AA17+'VENEZUELA USD'!AC15+'PANAMA USD'!Z17</f>
        <v>133553.01963984111</v>
      </c>
      <c r="AK14" s="55">
        <f>+'COLOMBIA USD'!AA17+'EL SALVADOR USD'!Z17+'VENEZUELA USD'!AB15+'PANAMA USD'!Y17</f>
        <v>1475185.1343992457</v>
      </c>
    </row>
    <row r="15" spans="1:37" x14ac:dyDescent="0.2">
      <c r="B15" s="3" t="s">
        <v>74</v>
      </c>
      <c r="C15" s="32">
        <f>+'COLOMBIA USD'!C15+'EL SALVADOR USD'!C15+'VENEZUELA USD'!C15+'PANAMA USD'!C15</f>
        <v>32897.607262823316</v>
      </c>
      <c r="D15" s="34">
        <f t="shared" si="0"/>
        <v>0.14255002441108625</v>
      </c>
      <c r="E15" s="32">
        <f>+'COLOMBIA USD'!E15+'EL SALVADOR USD'!E15+'VENEZUELA USD'!E15+'PANAMA USD'!E15</f>
        <v>34412.369300132865</v>
      </c>
      <c r="F15" s="34">
        <f t="shared" si="1"/>
        <v>0.12972422749674548</v>
      </c>
      <c r="G15" s="34">
        <f t="shared" si="2"/>
        <v>1.0460447480331294</v>
      </c>
      <c r="H15" s="32">
        <f>+'COLOMBIA USD'!H15+'EL SALVADOR USD'!H15+'VENEZUELA USD'!H15+'PANAMA USD'!H15</f>
        <v>28091.324852317615</v>
      </c>
      <c r="I15" s="34">
        <f t="shared" si="3"/>
        <v>0.12257783916800161</v>
      </c>
      <c r="J15" s="34">
        <f t="shared" si="4"/>
        <v>0.22501766937110995</v>
      </c>
      <c r="K15" s="32">
        <f>+'COLOMBIA USD'!K15+'EL SALVADOR USD'!K15+'VENEZUELA USD'!K15+'PANAMA USD'!K15</f>
        <v>201204.15849262767</v>
      </c>
      <c r="L15" s="34">
        <f t="shared" si="5"/>
        <v>0.1413138631640708</v>
      </c>
      <c r="M15" s="32">
        <f>+'COLOMBIA USD'!M15+'EL SALVADOR USD'!M15+'VENEZUELA USD'!M15+'PANAMA USD'!M15</f>
        <v>216131.96029094761</v>
      </c>
      <c r="N15" s="34">
        <f t="shared" si="6"/>
        <v>0.13744222570906545</v>
      </c>
      <c r="O15" s="34">
        <f t="shared" si="7"/>
        <v>1.0741923124758224</v>
      </c>
      <c r="P15" s="32">
        <f>+'COLOMBIA USD'!P15+'EL SALVADOR USD'!P15+'VENEZUELA USD'!P15+'PANAMA USD'!P15</f>
        <v>179527.8689787371</v>
      </c>
      <c r="Q15" s="34">
        <f t="shared" si="8"/>
        <v>0.14584070276057842</v>
      </c>
      <c r="R15" s="34">
        <f t="shared" si="9"/>
        <v>0.20389085839673071</v>
      </c>
      <c r="V15" s="3" t="s">
        <v>38</v>
      </c>
      <c r="W15" s="32">
        <f>W9-W14</f>
        <v>45578.539563839382</v>
      </c>
      <c r="X15" s="32">
        <f>X9-X14</f>
        <v>63447.676245656214</v>
      </c>
      <c r="Y15" s="32">
        <f t="shared" ref="Y15:AB15" si="12">Y9-Y14</f>
        <v>-33511.418294682517</v>
      </c>
      <c r="Z15" s="32">
        <f t="shared" si="12"/>
        <v>308236.55872109788</v>
      </c>
      <c r="AA15" s="32" t="e">
        <f>AA9-AA14</f>
        <v>#VALUE!</v>
      </c>
      <c r="AB15" s="32">
        <f t="shared" si="12"/>
        <v>266602.98958887695</v>
      </c>
      <c r="AC15" s="63">
        <f>+AB15-Z15</f>
        <v>-41633.569132220931</v>
      </c>
      <c r="AD15" s="68">
        <f t="shared" si="11"/>
        <v>0.86492981460420371</v>
      </c>
      <c r="AE15" s="68" t="e">
        <f t="shared" si="10"/>
        <v>#VALUE!</v>
      </c>
      <c r="AF15" s="55"/>
      <c r="AG15" s="55">
        <f>+'COLOMBIA USD'!Y19+'EL SALVADOR USD'!X19+'VENEZUELA USD'!X16+'PANAMA USD'!W19</f>
        <v>57598.64016063392</v>
      </c>
      <c r="AH15" s="55">
        <f>+'COLOMBIA USD'!X19+'EL SALVADOR USD'!W19+'VENEZUELA USD'!Y16+'PANAMA USD'!V19</f>
        <v>4706.4017745216688</v>
      </c>
      <c r="AI15" s="55">
        <f>+'COLOMBIA USD'!AB19+'EL SALVADOR USD'!AA19+'VENEZUELA USD'!AC16+'PANAMA USD'!Z19</f>
        <v>-25980.397610017448</v>
      </c>
      <c r="AK15" s="55">
        <f>+'COLOMBIA USD'!AA19+'EL SALVADOR USD'!Z19+'VENEZUELA USD'!AB16+'PANAMA USD'!Y19</f>
        <v>286052.59413657844</v>
      </c>
    </row>
    <row r="16" spans="1:37" x14ac:dyDescent="0.2">
      <c r="B16" s="3" t="s">
        <v>75</v>
      </c>
      <c r="C16" s="32">
        <f>+'COLOMBIA USD'!C16+'EL SALVADOR USD'!C16+'VENEZUELA USD'!C16+'PANAMA USD'!C16</f>
        <v>0</v>
      </c>
      <c r="D16" s="34"/>
      <c r="E16" s="32">
        <f>+'COLOMBIA USD'!E16+'EL SALVADOR USD'!E16+'VENEZUELA USD'!E16+'PANAMA USD'!E16</f>
        <v>0</v>
      </c>
      <c r="F16" s="34">
        <f t="shared" si="1"/>
        <v>0</v>
      </c>
      <c r="G16" s="34" t="str">
        <f t="shared" si="2"/>
        <v/>
      </c>
      <c r="H16" s="32">
        <f>+'COLOMBIA USD'!H16+'EL SALVADOR USD'!H16+'VENEZUELA USD'!H16+'PANAMA USD'!H16</f>
        <v>0</v>
      </c>
      <c r="I16" s="34">
        <f t="shared" si="3"/>
        <v>0</v>
      </c>
      <c r="J16" s="34" t="str">
        <f t="shared" si="4"/>
        <v/>
      </c>
      <c r="K16" s="32">
        <f>+'COLOMBIA USD'!K16+'EL SALVADOR USD'!K16+'VENEZUELA USD'!K16+'PANAMA USD'!K16</f>
        <v>0</v>
      </c>
      <c r="L16" s="34">
        <f t="shared" si="5"/>
        <v>0</v>
      </c>
      <c r="M16" s="32">
        <f>+'COLOMBIA USD'!M16+'EL SALVADOR USD'!M16+'VENEZUELA USD'!M16+'PANAMA USD'!M16</f>
        <v>0</v>
      </c>
      <c r="N16" s="34">
        <f t="shared" si="6"/>
        <v>0</v>
      </c>
      <c r="O16" s="34" t="str">
        <f t="shared" si="7"/>
        <v/>
      </c>
      <c r="P16" s="32">
        <f>+'COLOMBIA USD'!P16+'EL SALVADOR USD'!P16+'VENEZUELA USD'!P16+'PANAMA USD'!P16</f>
        <v>0</v>
      </c>
      <c r="Q16" s="34">
        <f t="shared" si="8"/>
        <v>0</v>
      </c>
      <c r="R16" s="34" t="str">
        <f t="shared" si="9"/>
        <v/>
      </c>
      <c r="V16" s="3"/>
      <c r="W16" s="32"/>
      <c r="X16" s="32"/>
      <c r="Y16" s="32"/>
      <c r="Z16" s="32"/>
      <c r="AA16" s="32"/>
      <c r="AB16" s="32"/>
      <c r="AC16" s="63"/>
      <c r="AD16" s="68"/>
      <c r="AE16" s="68"/>
      <c r="AF16" s="55"/>
      <c r="AG16" s="55"/>
      <c r="AH16" s="55"/>
      <c r="AI16" s="55"/>
      <c r="AK16" s="55"/>
    </row>
    <row r="17" spans="2:37" x14ac:dyDescent="0.2">
      <c r="B17" s="3" t="s">
        <v>76</v>
      </c>
      <c r="C17" s="32">
        <f>+'COLOMBIA USD'!C17+'EL SALVADOR USD'!C17+'VENEZUELA USD'!C17+'PANAMA USD'!C17</f>
        <v>3479.5232100529643</v>
      </c>
      <c r="D17" s="34">
        <f>+C17/$C$20</f>
        <v>1.5077270348853431E-2</v>
      </c>
      <c r="E17" s="32">
        <f>+'COLOMBIA USD'!E17+'EL SALVADOR USD'!E17+'VENEZUELA USD'!E17+'PANAMA USD'!E17</f>
        <v>2232.299345433521</v>
      </c>
      <c r="F17" s="34">
        <f t="shared" si="1"/>
        <v>8.4150935845831477E-3</v>
      </c>
      <c r="G17" s="34">
        <f t="shared" si="2"/>
        <v>0.64155322746059262</v>
      </c>
      <c r="H17" s="32">
        <f>+'COLOMBIA USD'!H17+'EL SALVADOR USD'!H17+'VENEZUELA USD'!H17+'PANAMA USD'!H17</f>
        <v>3270.2450203469689</v>
      </c>
      <c r="I17" s="34">
        <f t="shared" si="3"/>
        <v>1.4269870511677801E-2</v>
      </c>
      <c r="J17" s="34">
        <f t="shared" si="4"/>
        <v>-0.31739079746487103</v>
      </c>
      <c r="K17" s="32">
        <f>+'COLOMBIA USD'!K17+'EL SALVADOR USD'!K17+'VENEZUELA USD'!K17+'PANAMA USD'!K17</f>
        <v>23766.005466526036</v>
      </c>
      <c r="L17" s="34">
        <f t="shared" si="5"/>
        <v>1.6691832164971263E-2</v>
      </c>
      <c r="M17" s="32">
        <f>+'COLOMBIA USD'!M17+'EL SALVADOR USD'!M17+'VENEZUELA USD'!M17+'PANAMA USD'!M17</f>
        <v>24191.074046542362</v>
      </c>
      <c r="N17" s="34">
        <f t="shared" si="6"/>
        <v>1.5383541863839971E-2</v>
      </c>
      <c r="O17" s="34">
        <f t="shared" si="7"/>
        <v>1.0178855710781951</v>
      </c>
      <c r="P17" s="32">
        <f>+'COLOMBIA USD'!P17+'EL SALVADOR USD'!P17+'VENEZUELA USD'!P17+'PANAMA USD'!P17</f>
        <v>16326.563075605054</v>
      </c>
      <c r="Q17" s="34">
        <f t="shared" si="8"/>
        <v>1.3262996136233097E-2</v>
      </c>
      <c r="R17" s="34">
        <f t="shared" si="9"/>
        <v>0.48170033916619975</v>
      </c>
      <c r="V17" s="3"/>
      <c r="W17" s="32"/>
      <c r="X17" s="32"/>
      <c r="Y17" s="32"/>
      <c r="Z17" s="32"/>
      <c r="AA17" s="32"/>
      <c r="AB17" s="32"/>
      <c r="AC17" s="63"/>
      <c r="AD17" s="68"/>
      <c r="AE17" s="68" t="str">
        <f t="shared" si="10"/>
        <v/>
      </c>
      <c r="AF17" s="55"/>
      <c r="AG17" s="55"/>
      <c r="AH17" s="55"/>
      <c r="AI17" s="55"/>
      <c r="AK17" s="55" t="e">
        <f>+'COLOMBIA USD'!AA20+'EL SALVADOR USD'!#REF!+'VENEZUELA USD'!AB18+'PANAMA USD'!Y20</f>
        <v>#REF!</v>
      </c>
    </row>
    <row r="18" spans="2:37" x14ac:dyDescent="0.2">
      <c r="B18" s="3" t="s">
        <v>78</v>
      </c>
      <c r="C18" s="32">
        <f>+'COLOMBIA USD'!C18+'EL SALVADOR USD'!C18+'VENEZUELA USD'!C18+'PANAMA USD'!C18</f>
        <v>37649.847458972697</v>
      </c>
      <c r="D18" s="41">
        <f t="shared" ref="D18:D46" si="13">+C18/$C$20</f>
        <v>0.16314215898659948</v>
      </c>
      <c r="E18" s="32">
        <f>+'COLOMBIA USD'!E18+'EL SALVADOR USD'!E18+'VENEZUELA USD'!E18+'PANAMA USD'!E18</f>
        <v>56916.672861302111</v>
      </c>
      <c r="F18" s="34">
        <f t="shared" si="1"/>
        <v>0.21455864762525628</v>
      </c>
      <c r="G18" s="41">
        <f t="shared" si="2"/>
        <v>1.5117371437779292</v>
      </c>
      <c r="H18" s="32">
        <f>+'COLOMBIA USD'!H18+'EL SALVADOR USD'!H18+'VENEZUELA USD'!H18+'PANAMA USD'!H18</f>
        <v>33323.379310344826</v>
      </c>
      <c r="I18" s="34">
        <f t="shared" si="3"/>
        <v>0.14540815896409245</v>
      </c>
      <c r="J18" s="41">
        <f t="shared" si="4"/>
        <v>0.70801023303278976</v>
      </c>
      <c r="K18" s="32">
        <f>+'COLOMBIA USD'!K18+'EL SALVADOR USD'!K18+'VENEZUELA USD'!K18+'PANAMA USD'!K18</f>
        <v>232596.14621255943</v>
      </c>
      <c r="L18" s="34">
        <f t="shared" si="5"/>
        <v>0.16336173280223817</v>
      </c>
      <c r="M18" s="32">
        <f>+'COLOMBIA USD'!M18+'EL SALVADOR USD'!M18+'VENEZUELA USD'!M18+'PANAMA USD'!M18</f>
        <v>255935.16358999774</v>
      </c>
      <c r="N18" s="34">
        <f t="shared" si="6"/>
        <v>0.16275380315650786</v>
      </c>
      <c r="O18" s="34">
        <f t="shared" si="7"/>
        <v>1.1003413760609335</v>
      </c>
      <c r="P18" s="32">
        <f>+'COLOMBIA USD'!P18+'EL SALVADOR USD'!P18+'VENEZUELA USD'!P18+'PANAMA USD'!P18</f>
        <v>169460.82715784965</v>
      </c>
      <c r="Q18" s="34">
        <f t="shared" si="8"/>
        <v>0.13766267189422726</v>
      </c>
      <c r="R18" s="41">
        <f t="shared" si="9"/>
        <v>0.51029100873913968</v>
      </c>
      <c r="V18" s="3" t="s">
        <v>40</v>
      </c>
      <c r="W18" s="32">
        <f>W8+W15</f>
        <v>65845.137637170468</v>
      </c>
      <c r="X18" s="32">
        <f>'COLOMBIA USD'!Y21+'EL SALVADOR USD'!X21+'VENEZUELA USD'!X19+'PANAMA USD'!W21</f>
        <v>106028.5276119083</v>
      </c>
      <c r="Y18" s="32">
        <f t="shared" ref="Y18" si="14">Y8+Y15</f>
        <v>-14783.867612240178</v>
      </c>
      <c r="Z18" s="32">
        <f>Z8+Z15</f>
        <v>333782.11194033735</v>
      </c>
      <c r="AA18" s="32" t="e">
        <f>AA8+AA15</f>
        <v>#VALUE!</v>
      </c>
      <c r="AB18" s="32">
        <f>AB8+AB15</f>
        <v>293579.77151706046</v>
      </c>
      <c r="AC18" s="63">
        <f>+AB18-Z18</f>
        <v>-40202.340423276881</v>
      </c>
      <c r="AD18" s="68">
        <f t="shared" si="11"/>
        <v>0.87955513796238749</v>
      </c>
      <c r="AE18" s="68" t="e">
        <f t="shared" si="10"/>
        <v>#VALUE!</v>
      </c>
      <c r="AF18" s="55"/>
      <c r="AG18" s="55">
        <f>+'COLOMBIA USD'!Y21+'EL SALVADOR USD'!X21+'VENEZUELA USD'!X19+'PANAMA USD'!W21</f>
        <v>106028.5276119083</v>
      </c>
      <c r="AH18" s="55">
        <f>+'COLOMBIA USD'!X21+'EL SALVADOR USD'!W21+'VENEZUELA USD'!Y19+'PANAMA USD'!V21</f>
        <v>27194.234216726738</v>
      </c>
      <c r="AI18" s="55">
        <f>+'COLOMBIA USD'!AB21+'EL SALVADOR USD'!AA21+'VENEZUELA USD'!AC19+'PANAMA USD'!Z21</f>
        <v>-24546.845174001573</v>
      </c>
      <c r="AK18" s="55">
        <f>+'COLOMBIA USD'!AA21+'EL SALVADOR USD'!Z21+'VENEZUELA USD'!AB19+'PANAMA USD'!Y21</f>
        <v>302936.29647998698</v>
      </c>
    </row>
    <row r="19" spans="2:37" x14ac:dyDescent="0.2">
      <c r="B19" s="3" t="s">
        <v>80</v>
      </c>
      <c r="C19" s="32">
        <f>+'COLOMBIA USD'!C19+'EL SALVADOR USD'!C19+'VENEZUELA USD'!C19+'PANAMA USD'!C19</f>
        <v>0</v>
      </c>
      <c r="D19" s="34">
        <f t="shared" si="13"/>
        <v>0</v>
      </c>
      <c r="E19" s="32">
        <f>+'COLOMBIA USD'!E19+'EL SALVADOR USD'!E19+'VENEZUELA USD'!E19+'PANAMA USD'!E19</f>
        <v>0</v>
      </c>
      <c r="F19" s="34">
        <f t="shared" si="1"/>
        <v>0</v>
      </c>
      <c r="G19" s="34" t="str">
        <f t="shared" si="2"/>
        <v/>
      </c>
      <c r="H19" s="32">
        <f>+'COLOMBIA USD'!H19+'EL SALVADOR USD'!H19+'VENEZUELA USD'!H19+'PANAMA USD'!H19</f>
        <v>12311.033840222744</v>
      </c>
      <c r="I19" s="34"/>
      <c r="J19" s="34">
        <f t="shared" si="4"/>
        <v>-1</v>
      </c>
      <c r="K19" s="32">
        <f>+'COLOMBIA USD'!K19+'EL SALVADOR USD'!K19+'VENEZUELA USD'!K19+'PANAMA USD'!K19</f>
        <v>0</v>
      </c>
      <c r="L19" s="34">
        <f t="shared" si="5"/>
        <v>0</v>
      </c>
      <c r="M19" s="32">
        <f>+'COLOMBIA USD'!M19+'EL SALVADOR USD'!M19+'VENEZUELA USD'!M19+'PANAMA USD'!M19</f>
        <v>0</v>
      </c>
      <c r="N19" s="34">
        <f t="shared" si="6"/>
        <v>0</v>
      </c>
      <c r="O19" s="34"/>
      <c r="P19" s="32">
        <f>+'COLOMBIA USD'!P19+'EL SALVADOR USD'!P19+'VENEZUELA USD'!P19+'PANAMA USD'!P19</f>
        <v>0</v>
      </c>
      <c r="Q19" s="34">
        <f t="shared" si="8"/>
        <v>0</v>
      </c>
      <c r="R19" s="34"/>
      <c r="V19" s="3" t="s">
        <v>42</v>
      </c>
      <c r="W19" s="32">
        <f>'COLOMBIA USD'!W23+'EL SALVADOR USD'!V23+'VENEZUELA USD'!W20+'PANAMA USD'!U23</f>
        <v>0</v>
      </c>
      <c r="X19" s="32">
        <f>'COLOMBIA USD'!Y23+'EL SALVADOR USD'!X23+'VENEZUELA USD'!X20+'PANAMA USD'!W23</f>
        <v>57.754122938530735</v>
      </c>
      <c r="Y19" s="32">
        <f>'COLOMBIA USD'!X23+'EL SALVADOR USD'!W23+'VENEZUELA USD'!Y20+'PANAMA USD'!V23</f>
        <v>0</v>
      </c>
      <c r="Z19" s="32">
        <f>'COLOMBIA USD'!Z23+'EL SALVADOR USD'!Y23+'VENEZUELA USD'!Z20+'PANAMA USD'!X23</f>
        <v>18410.170913998616</v>
      </c>
      <c r="AA19" s="32">
        <f>'COLOMBIA USD'!AD23+'EL SALVADOR USD'!AC23+'VENEZUELA USD'!AA20+'PANAMA USD'!AB23</f>
        <v>8128.7300428357266</v>
      </c>
      <c r="AB19" s="32">
        <f>'COLOMBIA USD'!AA23+'EL SALVADOR USD'!Z23+'VENEZUELA USD'!AB20+'PANAMA USD'!Y23</f>
        <v>56854.043638625611</v>
      </c>
      <c r="AC19" s="63">
        <f t="shared" ref="AC19:AC22" si="15">+AB19-Z19</f>
        <v>38443.872724626999</v>
      </c>
      <c r="AD19" s="68">
        <f t="shared" si="11"/>
        <v>3.0881866281532062</v>
      </c>
      <c r="AE19" s="68">
        <f t="shared" si="10"/>
        <v>5.9942098383171238</v>
      </c>
      <c r="AF19" s="55"/>
      <c r="AG19" s="55">
        <f>+'COLOMBIA USD'!Y23+'EL SALVADOR USD'!X23+'VENEZUELA USD'!X20+'PANAMA USD'!W23</f>
        <v>57.754122938530735</v>
      </c>
      <c r="AH19" s="55">
        <f>+'COLOMBIA USD'!X23+'EL SALVADOR USD'!W23+'VENEZUELA USD'!Y20+'PANAMA USD'!V23</f>
        <v>0</v>
      </c>
      <c r="AI19" s="55" t="e">
        <f>+'COLOMBIA USD'!AB23+'EL SALVADOR USD'!AA23+'VENEZUELA USD'!AC20+'PANAMA USD'!Z23</f>
        <v>#VALUE!</v>
      </c>
      <c r="AK19" s="55">
        <f>+'COLOMBIA USD'!AA23+'EL SALVADOR USD'!Z23+'VENEZUELA USD'!AB20+'PANAMA USD'!Y23</f>
        <v>56854.043638625611</v>
      </c>
    </row>
    <row r="20" spans="2:37" x14ac:dyDescent="0.2">
      <c r="B20" s="20" t="s">
        <v>39</v>
      </c>
      <c r="C20" s="69">
        <f>SUM(C10:C19)</f>
        <v>230779.38708697155</v>
      </c>
      <c r="D20" s="45">
        <f t="shared" si="13"/>
        <v>1</v>
      </c>
      <c r="E20" s="69">
        <f>SUM(E10:E19)</f>
        <v>265273.26440233534</v>
      </c>
      <c r="F20" s="45">
        <f t="shared" si="1"/>
        <v>1</v>
      </c>
      <c r="G20" s="45">
        <f t="shared" si="2"/>
        <v>1.1494668902225849</v>
      </c>
      <c r="H20" s="69">
        <f>SUM(H10:H19)</f>
        <v>229171.31712377851</v>
      </c>
      <c r="I20" s="45">
        <f>+H22/$H$22</f>
        <v>1</v>
      </c>
      <c r="J20" s="45">
        <f t="shared" si="4"/>
        <v>0.1575325731494473</v>
      </c>
      <c r="K20" s="69">
        <f>SUM(K10:K19)</f>
        <v>1423810.4739874103</v>
      </c>
      <c r="L20" s="45">
        <f t="shared" si="5"/>
        <v>1</v>
      </c>
      <c r="M20" s="69">
        <f>SUM(M10:M19)</f>
        <v>1572529.5423289402</v>
      </c>
      <c r="N20" s="45">
        <f t="shared" si="6"/>
        <v>1</v>
      </c>
      <c r="O20" s="45">
        <f>IF(K20=0,"",(M20-K20)/ABS(K20)+1)</f>
        <v>1.1044514498654019</v>
      </c>
      <c r="P20" s="69">
        <f>SUM(P10:P19)</f>
        <v>1230986.0387429819</v>
      </c>
      <c r="Q20" s="45">
        <f t="shared" si="8"/>
        <v>1</v>
      </c>
      <c r="R20" s="45">
        <f>IF(P20=0,"",(M20-P20)/ABS(P20))</f>
        <v>0.27745522112884774</v>
      </c>
      <c r="V20" s="3" t="s">
        <v>44</v>
      </c>
      <c r="W20" s="32">
        <f>'COLOMBIA USD'!W25+'EL SALVADOR USD'!V25+'VENEZUELA USD'!W21+'PANAMA USD'!U25</f>
        <v>15706.109600583337</v>
      </c>
      <c r="X20" s="32">
        <f>'COLOMBIA USD'!Y25+'EL SALVADOR USD'!X25+'VENEZUELA USD'!X21+'PANAMA USD'!W25</f>
        <v>17481.344405861826</v>
      </c>
      <c r="Y20" s="32">
        <f>'COLOMBIA USD'!X25+'EL SALVADOR USD'!W25+'VENEZUELA USD'!Y21+'PANAMA USD'!V25</f>
        <v>35177.48814043653</v>
      </c>
      <c r="Z20" s="32">
        <f>'COLOMBIA USD'!Z25+'EL SALVADOR USD'!Y25+'VENEZUELA USD'!Z21+'PANAMA USD'!X25</f>
        <v>286146.74084004224</v>
      </c>
      <c r="AA20" s="32">
        <f>'COLOMBIA USD'!AD25+'EL SALVADOR USD'!AC25+'VENEZUELA USD'!AA21+'PANAMA USD'!AB25</f>
        <v>247009.14507878208</v>
      </c>
      <c r="AB20" s="32">
        <f>'COLOMBIA USD'!AA25+'EL SALVADOR USD'!Z25+'VENEZUELA USD'!AB21+'PANAMA USD'!Y25</f>
        <v>301643.54711433413</v>
      </c>
      <c r="AC20" s="63">
        <f t="shared" si="15"/>
        <v>15496.806274291885</v>
      </c>
      <c r="AD20" s="68">
        <f t="shared" si="11"/>
        <v>1.0541568505333936</v>
      </c>
      <c r="AE20" s="68">
        <f t="shared" si="10"/>
        <v>0.22118372183396989</v>
      </c>
      <c r="AF20" s="55"/>
      <c r="AG20" s="55">
        <f>+'COLOMBIA USD'!Y25+'EL SALVADOR USD'!X25+'VENEZUELA USD'!X21+'PANAMA USD'!W25</f>
        <v>17481.344405861826</v>
      </c>
      <c r="AH20" s="55">
        <f>+'COLOMBIA USD'!X25+'EL SALVADOR USD'!W25+'VENEZUELA USD'!Y21+'PANAMA USD'!V25</f>
        <v>35177.48814043653</v>
      </c>
      <c r="AI20" s="55">
        <f>+'COLOMBIA USD'!AB25+'EL SALVADOR USD'!AA25+'VENEZUELA USD'!AC21+'PANAMA USD'!Z25</f>
        <v>24260.972787355859</v>
      </c>
      <c r="AK20" s="55">
        <f>+'COLOMBIA USD'!AA25+'EL SALVADOR USD'!Z25+'VENEZUELA USD'!AB21+'PANAMA USD'!Y25</f>
        <v>301643.54711433413</v>
      </c>
    </row>
    <row r="21" spans="2:37" x14ac:dyDescent="0.2">
      <c r="B21" s="3"/>
      <c r="C21" s="32"/>
      <c r="D21" s="34"/>
      <c r="E21" s="32"/>
      <c r="F21" s="34"/>
      <c r="G21" s="34"/>
      <c r="H21" s="32"/>
      <c r="I21" s="34"/>
      <c r="J21" s="34"/>
      <c r="K21" s="32"/>
      <c r="L21" s="34"/>
      <c r="M21" s="32"/>
      <c r="N21" s="34"/>
      <c r="O21" s="34"/>
      <c r="P21" s="32"/>
      <c r="Q21" s="34"/>
      <c r="R21" s="34"/>
      <c r="V21" s="3" t="s">
        <v>47</v>
      </c>
      <c r="W21" s="32">
        <f>'COLOMBIA USD'!W27+'EL SALVADOR USD'!V27+'VENEZUELA USD'!W22+'PANAMA USD'!U27</f>
        <v>-24234.629648531863</v>
      </c>
      <c r="X21" s="32">
        <f>'COLOMBIA USD'!Y27+'EL SALVADOR USD'!X27+'VENEZUELA USD'!X22+'PANAMA USD'!W27</f>
        <v>41402.441636324693</v>
      </c>
      <c r="Y21" s="32">
        <f>'COLOMBIA USD'!X27+'EL SALVADOR USD'!W27+'VENEZUELA USD'!Y22+'PANAMA USD'!V27</f>
        <v>-23425.241683701912</v>
      </c>
      <c r="Z21" s="32">
        <f>'COLOMBIA USD'!Z27+'EL SALVADOR USD'!Y27+'VENEZUELA USD'!Z22+'PANAMA USD'!X27</f>
        <v>-54995.066516960986</v>
      </c>
      <c r="AA21" s="32">
        <f>'COLOMBIA USD'!AD27+'EL SALVADOR USD'!AC27+'VENEZUELA USD'!AA22+'PANAMA USD'!AB27</f>
        <v>103521.09659455986</v>
      </c>
      <c r="AB21" s="32">
        <f>'COLOMBIA USD'!AA27+'EL SALVADOR USD'!Z27+'VENEZUELA USD'!AB22+'PANAMA USD'!Y27</f>
        <v>-113411.12763013896</v>
      </c>
      <c r="AC21" s="63">
        <f t="shared" si="15"/>
        <v>-58416.061113177973</v>
      </c>
      <c r="AD21" s="68">
        <f t="shared" si="11"/>
        <v>-6.2205481561912856E-2</v>
      </c>
      <c r="AE21" s="68">
        <f t="shared" si="10"/>
        <v>-2.0955363820604931</v>
      </c>
      <c r="AF21" s="55"/>
      <c r="AG21" s="55">
        <f>+'COLOMBIA USD'!Y27+'EL SALVADOR USD'!X27+'VENEZUELA USD'!X22+'PANAMA USD'!W27</f>
        <v>41402.441636324693</v>
      </c>
      <c r="AH21" s="55">
        <f>+'COLOMBIA USD'!X27+'EL SALVADOR USD'!W27+'VENEZUELA USD'!Y22+'PANAMA USD'!V27</f>
        <v>-23425.241683701912</v>
      </c>
      <c r="AI21" s="55">
        <f>+'COLOMBIA USD'!AB27+'EL SALVADOR USD'!AA27+'VENEZUELA USD'!AC22+'PANAMA USD'!Z27</f>
        <v>-58416.061113177973</v>
      </c>
      <c r="AK21" s="55">
        <f>+'COLOMBIA USD'!AA27+'EL SALVADOR USD'!Z27+'VENEZUELA USD'!AB22+'PANAMA USD'!Y27</f>
        <v>-113411.12763013896</v>
      </c>
    </row>
    <row r="22" spans="2:37" x14ac:dyDescent="0.2">
      <c r="B22" s="3" t="s">
        <v>41</v>
      </c>
      <c r="C22" s="32">
        <f>+'COLOMBIA USD'!C22+'EL SALVADOR USD'!C22+'VENEZUELA USD'!C22+'PANAMA USD'!C22</f>
        <v>22662.564934844002</v>
      </c>
      <c r="D22" s="34">
        <f t="shared" si="13"/>
        <v>9.8200126193694171E-2</v>
      </c>
      <c r="E22" s="32">
        <f>+'COLOMBIA USD'!E22+'EL SALVADOR USD'!E22+'VENEZUELA USD'!E22+'PANAMA USD'!E22</f>
        <v>36312.046181007245</v>
      </c>
      <c r="F22" s="34">
        <f>+E22/$E$20</f>
        <v>0.13688543496013</v>
      </c>
      <c r="G22" s="34">
        <f>IF(C22=0,"",(E22-C22)/ABS(C22)+1)</f>
        <v>1.6022919861633569</v>
      </c>
      <c r="H22" s="32">
        <f>+'COLOMBIA USD'!H22+'EL SALVADOR USD'!H22+'VENEZUELA USD'!H22+'PANAMA USD'!H22</f>
        <v>27093.133191261513</v>
      </c>
      <c r="I22" s="34">
        <f t="shared" ref="I22:I46" si="16">+H22/$H$20</f>
        <v>0.11822218212686776</v>
      </c>
      <c r="J22" s="34">
        <f>IF(H22=0,"",(E22-H22)/ABS(H22))</f>
        <v>0.34026751076243755</v>
      </c>
      <c r="K22" s="32">
        <f>+'COLOMBIA USD'!K22+'EL SALVADOR USD'!K22+'VENEZUELA USD'!K22+'PANAMA USD'!K22</f>
        <v>141130.00696358297</v>
      </c>
      <c r="L22" s="34">
        <f t="shared" si="5"/>
        <v>9.9121343424553907E-2</v>
      </c>
      <c r="M22" s="32">
        <f>+'COLOMBIA USD'!M22+'EL SALVADOR USD'!M22+'VENEZUELA USD'!M22+'PANAMA USD'!M22</f>
        <v>187136.41233238348</v>
      </c>
      <c r="N22" s="34">
        <f>+M22/$M$20</f>
        <v>0.11900343191977913</v>
      </c>
      <c r="O22" s="34">
        <f>IF(K22=0,"",(M22-K22)/ABS(K22)+1)</f>
        <v>1.3259859923387656</v>
      </c>
      <c r="P22" s="32">
        <f>+'COLOMBIA USD'!P22+'EL SALVADOR USD'!P22+'VENEZUELA USD'!P22+'PANAMA USD'!P22</f>
        <v>105291.39021203683</v>
      </c>
      <c r="Q22" s="34">
        <f t="shared" si="8"/>
        <v>8.5534187146066143E-2</v>
      </c>
      <c r="R22" s="34">
        <f>IF(P22=0,"",(M22-P22)/ABS(P22))</f>
        <v>0.77731922767404193</v>
      </c>
      <c r="V22" s="3" t="s">
        <v>49</v>
      </c>
      <c r="W22" s="32">
        <f>'COLOMBIA USD'!W28+'EL SALVADOR USD'!V28+'VENEZUELA USD'!W23+'PANAMA USD'!U28</f>
        <v>18429.678019348328</v>
      </c>
      <c r="X22" s="32">
        <f>'COLOMBIA USD'!Y28+'EL SALVADOR USD'!X28+'VENEZUELA USD'!X23+'PANAMA USD'!W28</f>
        <v>18448.310008567147</v>
      </c>
      <c r="Y22" s="32">
        <f>'COLOMBIA USD'!X28+'EL SALVADOR USD'!W28+'VENEZUELA USD'!Y23+'PANAMA USD'!V28</f>
        <v>20980.892750211649</v>
      </c>
      <c r="Z22" s="32">
        <f>'COLOMBIA USD'!Z28+'EL SALVADOR USD'!Y28+'VENEZUELA USD'!Z23+'PANAMA USD'!X28</f>
        <v>55289.034058044985</v>
      </c>
      <c r="AA22" s="32" t="e">
        <f>'COLOMBIA USD'!AD28+'EL SALVADOR USD'!AC28+'VENEZUELA USD'!AA23+'PANAMA USD'!AB28</f>
        <v>#VALUE!</v>
      </c>
      <c r="AB22" s="32">
        <f>'COLOMBIA USD'!AA28+'EL SALVADOR USD'!Z28+'VENEZUELA USD'!AB23+'PANAMA USD'!Y28</f>
        <v>60184.201459869088</v>
      </c>
      <c r="AC22" s="63">
        <f t="shared" si="15"/>
        <v>4895.1674018241029</v>
      </c>
      <c r="AD22" s="68">
        <f t="shared" si="11"/>
        <v>1.0885377631427768</v>
      </c>
      <c r="AE22" s="68" t="e">
        <f t="shared" si="10"/>
        <v>#VALUE!</v>
      </c>
      <c r="AF22" s="55"/>
      <c r="AG22" s="55">
        <f>+'COLOMBIA USD'!Y28+'EL SALVADOR USD'!X28+'VENEZUELA USD'!X23+'PANAMA USD'!W28</f>
        <v>18448.310008567147</v>
      </c>
      <c r="AH22" s="55">
        <f>+'COLOMBIA USD'!X28+'EL SALVADOR USD'!W28+'VENEZUELA USD'!Y23+'PANAMA USD'!V28</f>
        <v>20980.892750211649</v>
      </c>
      <c r="AI22" s="55" t="e">
        <f>+'COLOMBIA USD'!AB28+'EL SALVADOR USD'!AA28+'VENEZUELA USD'!AC23+'PANAMA USD'!Z28</f>
        <v>#VALUE!</v>
      </c>
      <c r="AK22" s="55">
        <f>+'COLOMBIA USD'!AA28+'EL SALVADOR USD'!Z28+'VENEZUELA USD'!AB23+'PANAMA USD'!Y28</f>
        <v>60184.201459869088</v>
      </c>
    </row>
    <row r="23" spans="2:37" x14ac:dyDescent="0.2">
      <c r="B23" s="3"/>
      <c r="C23" s="32"/>
      <c r="D23" s="34"/>
      <c r="E23" s="32"/>
      <c r="F23" s="34"/>
      <c r="G23" s="34"/>
      <c r="H23" s="32"/>
      <c r="I23" s="34"/>
      <c r="J23" s="34"/>
      <c r="K23" s="32"/>
      <c r="L23" s="34"/>
      <c r="M23" s="32"/>
      <c r="N23" s="34"/>
      <c r="O23" s="34"/>
      <c r="P23" s="32"/>
      <c r="Q23" s="34"/>
      <c r="R23" s="34"/>
      <c r="V23" s="3" t="s">
        <v>51</v>
      </c>
      <c r="W23" s="32">
        <f>W18-W19-W20-W21-W22</f>
        <v>55943.979665770661</v>
      </c>
      <c r="X23" s="32">
        <f t="shared" ref="X23:AB23" si="17">X18-X19-X20-X21-X22</f>
        <v>28638.677438216102</v>
      </c>
      <c r="Y23" s="32">
        <f t="shared" si="17"/>
        <v>-47517.006819186448</v>
      </c>
      <c r="Z23" s="32">
        <f t="shared" si="17"/>
        <v>28931.232645212483</v>
      </c>
      <c r="AA23" s="32" t="e">
        <f t="shared" si="17"/>
        <v>#VALUE!</v>
      </c>
      <c r="AB23" s="32">
        <f t="shared" si="17"/>
        <v>-11690.893065629411</v>
      </c>
      <c r="AC23" s="63">
        <f t="shared" ref="AC23" si="18">Y23-W23</f>
        <v>-103460.9864849571</v>
      </c>
      <c r="AD23" s="68">
        <f t="shared" ref="AD23" si="19">IF(W23=0,"",(Y23-W23)/ABS(W23)+1)</f>
        <v>-0.84936765498396838</v>
      </c>
      <c r="AE23" s="68">
        <f t="shared" ref="AE23" si="20">IF(X23=0,"",(Y23-X23)/ABS(X23))</f>
        <v>-2.6591899860493795</v>
      </c>
      <c r="AF23" s="55"/>
      <c r="AG23" s="55">
        <f>+'COLOMBIA USD'!Y30+'EL SALVADOR USD'!X30+'VENEZUELA USD'!X24+'PANAMA USD'!W30</f>
        <v>34487.713523238359</v>
      </c>
      <c r="AH23" s="55">
        <f>+'COLOMBIA USD'!X30+'EL SALVADOR USD'!W30+'VENEZUELA USD'!Y24+'PANAMA USD'!V30</f>
        <v>738.38121838155348</v>
      </c>
      <c r="AI23" s="55">
        <f>+'COLOMBIA USD'!AB30+'EL SALVADOR USD'!AA30+'VENEZUELA USD'!AC24+'PANAMA USD'!Z30</f>
        <v>-33730.158335656481</v>
      </c>
      <c r="AK23" s="55">
        <f>+'COLOMBIA USD'!AA30+'EL SALVADOR USD'!Z30+'VENEZUELA USD'!AB24+'PANAMA USD'!Y30</f>
        <v>-1419.2420522826869</v>
      </c>
    </row>
    <row r="24" spans="2:37" x14ac:dyDescent="0.2">
      <c r="B24" s="3" t="s">
        <v>43</v>
      </c>
      <c r="C24" s="32">
        <f>+C20-C22</f>
        <v>208116.82215212754</v>
      </c>
      <c r="D24" s="34">
        <f t="shared" si="13"/>
        <v>0.90179987380630577</v>
      </c>
      <c r="E24" s="32">
        <f>+E20-E22</f>
        <v>228961.2182213281</v>
      </c>
      <c r="F24" s="34">
        <f>+E24/$E$20</f>
        <v>0.86311456503987005</v>
      </c>
      <c r="G24" s="34">
        <f>IF(C24=0,"",(E24-C24)/ABS(C24)+1)</f>
        <v>1.1001571898592797</v>
      </c>
      <c r="H24" s="32">
        <f>+H20-H22</f>
        <v>202078.18393251701</v>
      </c>
      <c r="I24" s="34">
        <f t="shared" si="16"/>
        <v>0.88177781787313225</v>
      </c>
      <c r="J24" s="34">
        <f>IF(H24=0,"",(E24-H24)/ABS(H24))</f>
        <v>0.13303283791281767</v>
      </c>
      <c r="K24" s="32">
        <f>+K20-K22</f>
        <v>1282680.4670238274</v>
      </c>
      <c r="L24" s="34">
        <f t="shared" si="5"/>
        <v>0.90087865657544608</v>
      </c>
      <c r="M24" s="32">
        <f>+M20-M22</f>
        <v>1385393.1299965568</v>
      </c>
      <c r="N24" s="34">
        <f>+M24/$M$20</f>
        <v>0.88099656808022087</v>
      </c>
      <c r="O24" s="34">
        <f>IF(K24=0,"",(M24-K24)/ABS(K24)+1)</f>
        <v>1.0800765783945017</v>
      </c>
      <c r="P24" s="32">
        <f>+P20-P22</f>
        <v>1125694.6485309449</v>
      </c>
      <c r="Q24" s="34">
        <f t="shared" si="8"/>
        <v>0.9144658128539338</v>
      </c>
      <c r="R24" s="34">
        <f>IF(P24=0,"",(M24-P24)/ABS(P24))</f>
        <v>0.23070064497910139</v>
      </c>
      <c r="W24" s="55">
        <f>+'COLOMBIA USD'!W30+'EL SALVADOR USD'!V30+'VENEZUELA USD'!W24+'PANAMA USD'!U30</f>
        <v>60162.464341994113</v>
      </c>
      <c r="X24" s="55">
        <f>+'COLOMBIA USD'!Y30+'EL SALVADOR USD'!X30+'VENEZUELA USD'!X24+'PANAMA USD'!W30</f>
        <v>34487.713523238359</v>
      </c>
      <c r="Y24" s="55">
        <f>+'COLOMBIA USD'!X30+'EL SALVADOR USD'!W30+'VENEZUELA USD'!Y24+'PANAMA USD'!V30</f>
        <v>738.38121838155348</v>
      </c>
      <c r="Z24" s="55">
        <f>+'COLOMBIA USD'!Z30+'EL SALVADOR USD'!Y30+'VENEZUELA USD'!Z24+'PANAMA USD'!X30</f>
        <v>32310.916283373794</v>
      </c>
      <c r="AA24" s="55">
        <f>+'COLOMBIA USD'!AD30+'EL SALVADOR USD'!AC30+'VENEZUELA USD'!AA24+'PANAMA USD'!AB30</f>
        <v>34477.840237738186</v>
      </c>
      <c r="AB24" s="55">
        <f>+'COLOMBIA USD'!AA30+'EL SALVADOR USD'!Z30+'VENEZUELA USD'!AB24+'PANAMA USD'!Y30</f>
        <v>-1419.2420522826869</v>
      </c>
      <c r="AC24" s="55">
        <f>+'COLOMBIA USD'!AB30+'EL SALVADOR USD'!AA30+'VENEZUELA USD'!AC24+'PANAMA USD'!Z30</f>
        <v>-33730.158335656481</v>
      </c>
      <c r="AE24" s="55"/>
      <c r="AF24" s="55"/>
      <c r="AK24" s="55" t="e">
        <f>+'COLOMBIA USD'!#REF!+'EL SALVADOR USD'!Z31+'VENEZUELA USD'!AB25+'PANAMA USD'!#REF!</f>
        <v>#REF!</v>
      </c>
    </row>
    <row r="25" spans="2:37" x14ac:dyDescent="0.2">
      <c r="B25" s="3"/>
      <c r="C25" s="32"/>
      <c r="D25" s="34"/>
      <c r="E25" s="32"/>
      <c r="F25" s="34"/>
      <c r="G25" s="34"/>
      <c r="H25" s="32"/>
      <c r="I25" s="34"/>
      <c r="J25" s="34"/>
      <c r="K25" s="32"/>
      <c r="L25" s="34"/>
      <c r="M25" s="32"/>
      <c r="N25" s="34"/>
      <c r="O25" s="34"/>
      <c r="P25" s="32"/>
      <c r="Q25" s="34"/>
      <c r="R25" s="34"/>
      <c r="AB25" s="55"/>
      <c r="AE25" s="55"/>
      <c r="AF25" s="55"/>
      <c r="AK25" s="55" t="e">
        <f>+'COLOMBIA USD'!#REF!+'EL SALVADOR USD'!AA32+'VENEZUELA USD'!AB26+'PANAMA USD'!#REF!</f>
        <v>#REF!</v>
      </c>
    </row>
    <row r="26" spans="2:37" x14ac:dyDescent="0.2">
      <c r="B26" s="3" t="s">
        <v>45</v>
      </c>
      <c r="C26" s="32">
        <f>+'COLOMBIA USD'!C26+'EL SALVADOR USD'!C26+'VENEZUELA USD'!C26+'PANAMA USD'!C26</f>
        <v>49115.320358840014</v>
      </c>
      <c r="D26" s="34">
        <f t="shared" si="13"/>
        <v>0.21282368836663218</v>
      </c>
      <c r="E26" s="32">
        <f>+'COLOMBIA USD'!E26+'EL SALVADOR USD'!E26+'VENEZUELA USD'!E26+'PANAMA USD'!E26</f>
        <v>54374.626133600323</v>
      </c>
      <c r="F26" s="34">
        <f>+E26/$E$20</f>
        <v>0.20497590006330707</v>
      </c>
      <c r="G26" s="34">
        <f>IF(C26=0,"",(E26-C26)/ABS(C26)+1)</f>
        <v>1.1070807588413443</v>
      </c>
      <c r="H26" s="32">
        <f>+'COLOMBIA USD'!H26+'EL SALVADOR USD'!H26+'VENEZUELA USD'!H26+'PANAMA USD'!H26</f>
        <v>42479.698730191158</v>
      </c>
      <c r="I26" s="34">
        <f t="shared" si="16"/>
        <v>0.18536219655816397</v>
      </c>
      <c r="J26" s="34">
        <f>IF(H26=0,"",(E26-H26)/ABS(H26))</f>
        <v>0.28001440120749271</v>
      </c>
      <c r="K26" s="32">
        <f>+'COLOMBIA USD'!K26+'EL SALVADOR USD'!K26+'VENEZUELA USD'!K26+'PANAMA USD'!K26</f>
        <v>314652.98743379494</v>
      </c>
      <c r="L26" s="34">
        <f t="shared" si="5"/>
        <v>0.22099358951378045</v>
      </c>
      <c r="M26" s="32">
        <f>+'COLOMBIA USD'!M26+'EL SALVADOR USD'!M26+'VENEZUELA USD'!M26+'PANAMA USD'!M26</f>
        <v>340134.67957411963</v>
      </c>
      <c r="N26" s="34">
        <f>+M26/$M$20</f>
        <v>0.21629779944888983</v>
      </c>
      <c r="O26" s="34">
        <f>IF(K26=0,"",(M26-K26)/ABS(K26)+1)</f>
        <v>1.0809834743605802</v>
      </c>
      <c r="P26" s="32">
        <f>+'COLOMBIA USD'!P26+'EL SALVADOR USD'!P26+'VENEZUELA USD'!P26+'PANAMA USD'!P26</f>
        <v>262259.99357745261</v>
      </c>
      <c r="Q26" s="34">
        <f t="shared" si="8"/>
        <v>0.21304871487028293</v>
      </c>
      <c r="R26" s="34">
        <f>IF(P26=0,"",(M26-P26)/ABS(P26))</f>
        <v>0.29693696295187499</v>
      </c>
      <c r="W26" s="55"/>
      <c r="X26" s="55"/>
      <c r="Y26" s="55"/>
      <c r="Z26" s="55"/>
      <c r="AA26" s="55"/>
      <c r="AB26" s="55"/>
      <c r="AC26" s="55"/>
      <c r="AF26" s="55"/>
      <c r="AK26" s="55" t="e">
        <f>+'COLOMBIA USD'!#REF!+'EL SALVADOR USD'!AB33+'VENEZUELA USD'!AB27+'PANAMA USD'!#REF!</f>
        <v>#REF!</v>
      </c>
    </row>
    <row r="27" spans="2:37" x14ac:dyDescent="0.2">
      <c r="B27" s="3" t="s">
        <v>46</v>
      </c>
      <c r="C27" s="32">
        <f>+'COLOMBIA USD'!C27+'EL SALVADOR USD'!C27+'VENEZUELA USD'!C27+'PANAMA USD'!C27</f>
        <v>88015.589303069442</v>
      </c>
      <c r="D27" s="34">
        <f t="shared" si="13"/>
        <v>0.38138410199477596</v>
      </c>
      <c r="E27" s="32">
        <f>+'COLOMBIA USD'!E27+'EL SALVADOR USD'!E27+'VENEZUELA USD'!E27+'PANAMA USD'!E27</f>
        <v>88727.76895358703</v>
      </c>
      <c r="F27" s="34">
        <f>+E27/$E$20</f>
        <v>0.33447686163734602</v>
      </c>
      <c r="G27" s="34">
        <f>IF(C27=0,"",(E27-C27)/ABS(C27)+1)</f>
        <v>1.0080915171523228</v>
      </c>
      <c r="H27" s="32">
        <f>+'COLOMBIA USD'!H27+'EL SALVADOR USD'!H27+'VENEZUELA USD'!H27+'PANAMA USD'!H27</f>
        <v>69942.047212853635</v>
      </c>
      <c r="I27" s="34">
        <f t="shared" si="16"/>
        <v>0.30519546726293412</v>
      </c>
      <c r="J27" s="34">
        <f>IF(H27=0,"",(E27-H27)/ABS(H27))</f>
        <v>0.26858981813276178</v>
      </c>
      <c r="K27" s="32">
        <f>+'COLOMBIA USD'!K27+'EL SALVADOR USD'!K27+'VENEZUELA USD'!K27+'PANAMA USD'!K27</f>
        <v>513971.54821648262</v>
      </c>
      <c r="L27" s="34">
        <f t="shared" si="5"/>
        <v>0.36098312072188571</v>
      </c>
      <c r="M27" s="32">
        <f>+'COLOMBIA USD'!M27+'EL SALVADOR USD'!M27+'VENEZUELA USD'!M27+'PANAMA USD'!M27</f>
        <v>549225.76473922911</v>
      </c>
      <c r="N27" s="34">
        <f>+M27/$M$20</f>
        <v>0.34926260522000585</v>
      </c>
      <c r="O27" s="34">
        <f>IF(K27=0,"",(M27-K27)/ABS(K27)+1)</f>
        <v>1.0685917666942482</v>
      </c>
      <c r="P27" s="32">
        <f>+'COLOMBIA USD'!P27+'EL SALVADOR USD'!P27+'VENEZUELA USD'!P27+'PANAMA USD'!P27</f>
        <v>396424.87488971523</v>
      </c>
      <c r="Q27" s="34">
        <f t="shared" si="8"/>
        <v>0.32203848168296323</v>
      </c>
      <c r="R27" s="34">
        <f>IF(P27=0,"",(M27-P27)/ABS(P27))</f>
        <v>0.38544728024956265</v>
      </c>
      <c r="W27" s="55"/>
      <c r="X27" s="55"/>
      <c r="Y27" s="55"/>
      <c r="Z27" s="55"/>
      <c r="AA27" s="55"/>
      <c r="AB27" s="55"/>
      <c r="AC27" s="55"/>
      <c r="AF27" s="55"/>
    </row>
    <row r="28" spans="2:37" x14ac:dyDescent="0.2">
      <c r="B28" s="3" t="s">
        <v>48</v>
      </c>
      <c r="C28" s="32">
        <f>SUM(C26:C27)</f>
        <v>137130.90966190945</v>
      </c>
      <c r="D28" s="34">
        <f t="shared" si="13"/>
        <v>0.59420779036140814</v>
      </c>
      <c r="E28" s="32">
        <f>SUM(E26:E27)</f>
        <v>143102.39508718735</v>
      </c>
      <c r="F28" s="34">
        <f>+E28/$E$20</f>
        <v>0.53945276170065315</v>
      </c>
      <c r="G28" s="34">
        <f>IF(C28=0,"",(E28-C28)/ABS(C28)+1)</f>
        <v>1.0435458748140762</v>
      </c>
      <c r="H28" s="32">
        <f>SUM(H26:H27)</f>
        <v>112421.74594304479</v>
      </c>
      <c r="I28" s="34">
        <f t="shared" si="16"/>
        <v>0.49055766382109806</v>
      </c>
      <c r="J28" s="34">
        <f>IF(H28=0,"",(E28-H28)/ABS(H28))</f>
        <v>0.27290671290308921</v>
      </c>
      <c r="K28" s="32">
        <f>SUM(K26:K27)</f>
        <v>828624.53565027751</v>
      </c>
      <c r="L28" s="34">
        <f t="shared" si="5"/>
        <v>0.58197671023566611</v>
      </c>
      <c r="M28" s="32">
        <f>SUM(M26:M27)</f>
        <v>889360.44431334874</v>
      </c>
      <c r="N28" s="34">
        <f>+M28/$M$20</f>
        <v>0.56556040466889568</v>
      </c>
      <c r="O28" s="34">
        <f>IF(K28=0,"",(M28-K28)/ABS(K28)+1)</f>
        <v>1.0732972607616642</v>
      </c>
      <c r="P28" s="32">
        <f>SUM(P26:P27)</f>
        <v>658684.86846716783</v>
      </c>
      <c r="Q28" s="34">
        <f t="shared" si="8"/>
        <v>0.53508719655324621</v>
      </c>
      <c r="R28" s="34">
        <f>IF(P28=0,"",(M28-P28)/ABS(P28))</f>
        <v>0.3502062775223429</v>
      </c>
      <c r="W28" s="55"/>
      <c r="X28" s="55"/>
      <c r="Y28" s="55"/>
      <c r="Z28" s="55"/>
      <c r="AA28" s="55"/>
      <c r="AB28" s="55"/>
      <c r="AC28" s="55"/>
      <c r="AD28" s="55"/>
      <c r="AE28" s="55"/>
    </row>
    <row r="29" spans="2:37" x14ac:dyDescent="0.2">
      <c r="B29" s="3"/>
      <c r="C29" s="32"/>
      <c r="D29" s="34"/>
      <c r="E29" s="32"/>
      <c r="F29" s="34"/>
      <c r="G29" s="34"/>
      <c r="H29" s="32"/>
      <c r="I29" s="34"/>
      <c r="J29" s="34"/>
      <c r="K29" s="32"/>
      <c r="L29" s="34"/>
      <c r="M29" s="32"/>
      <c r="N29" s="34"/>
      <c r="O29" s="34"/>
      <c r="P29" s="32"/>
      <c r="Q29" s="34"/>
      <c r="R29" s="34"/>
      <c r="W29" s="55"/>
      <c r="X29" s="55"/>
      <c r="Y29" s="55"/>
      <c r="Z29" s="55"/>
      <c r="AA29" s="55"/>
      <c r="AB29" s="55"/>
      <c r="AC29" s="55"/>
    </row>
    <row r="30" spans="2:37" x14ac:dyDescent="0.2">
      <c r="B30" s="3" t="s">
        <v>50</v>
      </c>
      <c r="C30" s="32">
        <f>+'COLOMBIA USD'!C30+'EL SALVADOR USD'!C30+'VENEZUELA USD'!C30+'PANAMA USD'!C30</f>
        <v>20553.069047423593</v>
      </c>
      <c r="D30" s="34">
        <f t="shared" si="13"/>
        <v>8.9059379638953454E-2</v>
      </c>
      <c r="E30" s="32">
        <f>+'COLOMBIA USD'!E30+'EL SALVADOR USD'!E30+'VENEZUELA USD'!E30+'PANAMA USD'!E30</f>
        <v>22606.784837819359</v>
      </c>
      <c r="F30" s="34">
        <f>+E30/$E$20</f>
        <v>8.5220743555717113E-2</v>
      </c>
      <c r="G30" s="34">
        <f>IF(C30=0,"",(E30-C30)/ABS(C30)+1)</f>
        <v>1.0999225850726759</v>
      </c>
      <c r="H30" s="32">
        <f>+'COLOMBIA USD'!H30+'EL SALVADOR USD'!H30+'VENEZUELA USD'!H30+'PANAMA USD'!H30</f>
        <v>20913.436442042366</v>
      </c>
      <c r="I30" s="34">
        <f t="shared" si="16"/>
        <v>9.1256779882042297E-2</v>
      </c>
      <c r="J30" s="34">
        <f>IF(H30=0,"",(E30-H30)/ABS(H30))</f>
        <v>8.0969399766976979E-2</v>
      </c>
      <c r="K30" s="32">
        <f>+'COLOMBIA USD'!K30+'EL SALVADOR USD'!K30+'VENEZUELA USD'!K30+'PANAMA USD'!K30</f>
        <v>121155.48990902054</v>
      </c>
      <c r="L30" s="34">
        <f t="shared" si="5"/>
        <v>8.5092427765137951E-2</v>
      </c>
      <c r="M30" s="32">
        <f>+'COLOMBIA USD'!M30+'EL SALVADOR USD'!M30+'VENEZUELA USD'!M30+'PANAMA USD'!M30</f>
        <v>139566.79351195373</v>
      </c>
      <c r="N30" s="34">
        <f>+M30/$M$20</f>
        <v>8.8753050264005331E-2</v>
      </c>
      <c r="O30" s="34">
        <f>IF(K30=0,"",(M30-K30)/ABS(K30)+1)</f>
        <v>1.15196425367731</v>
      </c>
      <c r="P30" s="32">
        <f>+'COLOMBIA USD'!P30+'EL SALVADOR USD'!P30+'VENEZUELA USD'!P30+'PANAMA USD'!P30</f>
        <v>123593.23863489242</v>
      </c>
      <c r="Q30" s="34">
        <f t="shared" si="8"/>
        <v>0.10040181995979364</v>
      </c>
      <c r="R30" s="34">
        <f>IF(P30=0,"",(M30-P30)/ABS(P30))</f>
        <v>0.12924295093721827</v>
      </c>
      <c r="W30" s="55"/>
      <c r="X30" s="55"/>
      <c r="Y30" s="55"/>
      <c r="Z30" s="55"/>
      <c r="AA30" s="55"/>
      <c r="AB30" s="55"/>
      <c r="AC30" s="55"/>
    </row>
    <row r="31" spans="2:37" x14ac:dyDescent="0.2">
      <c r="B31" s="3" t="s">
        <v>52</v>
      </c>
      <c r="C31" s="32">
        <f>+'COLOMBIA USD'!C31+'EL SALVADOR USD'!C31+'VENEZUELA USD'!C31+'PANAMA USD'!C31</f>
        <v>643.90386390883828</v>
      </c>
      <c r="D31" s="34">
        <f t="shared" si="13"/>
        <v>2.7901272814550662E-3</v>
      </c>
      <c r="E31" s="32">
        <f>+'COLOMBIA USD'!E31+'EL SALVADOR USD'!E31+'VENEZUELA USD'!E31+'PANAMA USD'!E31</f>
        <v>1039.4340088976767</v>
      </c>
      <c r="F31" s="34">
        <f>+E31/$E$20</f>
        <v>3.9183519350867758E-3</v>
      </c>
      <c r="G31" s="34">
        <f>IF(C31=0,"",(E31-C31)/ABS(C31)+1)</f>
        <v>1.6142689416208196</v>
      </c>
      <c r="H31" s="32">
        <f>+'COLOMBIA USD'!H31+'EL SALVADOR USD'!H31+'VENEZUELA USD'!H31+'PANAMA USD'!H31</f>
        <v>877.70741482965934</v>
      </c>
      <c r="I31" s="34">
        <f t="shared" si="16"/>
        <v>3.8299182718210664E-3</v>
      </c>
      <c r="J31" s="34">
        <f>IF(H31=0,"",(E31-H31)/ABS(H31))</f>
        <v>0.18426025727423567</v>
      </c>
      <c r="K31" s="32">
        <f>+'COLOMBIA USD'!K31+'EL SALVADOR USD'!K31+'VENEZUELA USD'!K31+'PANAMA USD'!K31</f>
        <v>4478.4854363697223</v>
      </c>
      <c r="L31" s="34">
        <f t="shared" si="5"/>
        <v>3.1454224548774614E-3</v>
      </c>
      <c r="M31" s="32">
        <f>+'COLOMBIA USD'!M31+'EL SALVADOR USD'!M31+'VENEZUELA USD'!M31+'PANAMA USD'!M31</f>
        <v>6052.5247157686599</v>
      </c>
      <c r="N31" s="34">
        <f>+M31/$M$20</f>
        <v>3.8489100222592822E-3</v>
      </c>
      <c r="O31" s="34">
        <f>IF(K31=0,"",(M31-K31)/ABS(K31)+1)</f>
        <v>1.3514668746304688</v>
      </c>
      <c r="P31" s="32">
        <f>+'COLOMBIA USD'!P31+'EL SALVADOR USD'!P31+'VENEZUELA USD'!P31+'PANAMA USD'!P31</f>
        <v>4733.234468937876</v>
      </c>
      <c r="Q31" s="34">
        <f t="shared" si="8"/>
        <v>3.8450756710215867E-3</v>
      </c>
      <c r="R31" s="34">
        <f>IF(P31=0,"",(M31-P31)/ABS(P31))</f>
        <v>0.27872911335550821</v>
      </c>
      <c r="W31" s="55"/>
      <c r="X31" s="55"/>
      <c r="Y31" s="55"/>
      <c r="Z31" s="55"/>
      <c r="AA31" s="55"/>
      <c r="AB31" s="55"/>
      <c r="AC31" s="55"/>
    </row>
    <row r="32" spans="2:37" x14ac:dyDescent="0.2">
      <c r="B32" s="3" t="s">
        <v>53</v>
      </c>
      <c r="C32" s="32">
        <f>SUM(C30:C31)</f>
        <v>21196.972911332432</v>
      </c>
      <c r="D32" s="34">
        <f t="shared" si="13"/>
        <v>9.1849506920408525E-2</v>
      </c>
      <c r="E32" s="32">
        <f>SUM(E30:E31)</f>
        <v>23646.218846717034</v>
      </c>
      <c r="F32" s="34">
        <f>+E32/$E$20</f>
        <v>8.9139095490803871E-2</v>
      </c>
      <c r="G32" s="34">
        <f>IF(C32=0,"",(E32-C32)/ABS(C32)+1)</f>
        <v>1.1155469672782936</v>
      </c>
      <c r="H32" s="32">
        <f>SUM(H30:H31)</f>
        <v>21791.143856872026</v>
      </c>
      <c r="I32" s="34">
        <f t="shared" si="16"/>
        <v>9.5086698153863364E-2</v>
      </c>
      <c r="J32" s="34">
        <f>IF(H32=0,"",(E32-H32)/ABS(H32))</f>
        <v>8.5129766570743587E-2</v>
      </c>
      <c r="K32" s="32">
        <f>SUM(K30:K31)</f>
        <v>125633.97534539027</v>
      </c>
      <c r="L32" s="34">
        <f t="shared" si="5"/>
        <v>8.8237850220015415E-2</v>
      </c>
      <c r="M32" s="32">
        <f>SUM(M30:M31)</f>
        <v>145619.3182277224</v>
      </c>
      <c r="N32" s="34">
        <f>+M32/$M$20</f>
        <v>9.260196028626462E-2</v>
      </c>
      <c r="O32" s="34">
        <f>IF(K32=0,"",(M32-K32)/ABS(K32)+1)</f>
        <v>1.1590759412602272</v>
      </c>
      <c r="P32" s="32">
        <f>SUM(P30:P31)</f>
        <v>128326.4731038303</v>
      </c>
      <c r="Q32" s="34">
        <f t="shared" si="8"/>
        <v>0.10424689563081523</v>
      </c>
      <c r="R32" s="34">
        <f>IF(P32=0,"",(M32-P32)/ABS(P32))</f>
        <v>0.13475664612008992</v>
      </c>
      <c r="W32" s="55"/>
      <c r="X32" s="55"/>
      <c r="Y32" s="55"/>
      <c r="Z32" s="55"/>
      <c r="AA32" s="55"/>
      <c r="AB32" s="55"/>
      <c r="AC32" s="55"/>
    </row>
    <row r="33" spans="2:29" x14ac:dyDescent="0.2">
      <c r="B33" s="3"/>
      <c r="C33" s="32"/>
      <c r="D33" s="34"/>
      <c r="E33" s="32"/>
      <c r="F33" s="34"/>
      <c r="G33" s="34"/>
      <c r="H33" s="32"/>
      <c r="I33" s="34"/>
      <c r="J33" s="34"/>
      <c r="K33" s="32"/>
      <c r="L33" s="34"/>
      <c r="M33" s="32"/>
      <c r="N33" s="34"/>
      <c r="O33" s="34"/>
      <c r="P33" s="32"/>
      <c r="Q33" s="34"/>
      <c r="R33" s="34"/>
      <c r="W33" s="55"/>
      <c r="X33" s="55"/>
      <c r="Y33" s="55"/>
      <c r="Z33" s="55"/>
      <c r="AA33" s="55"/>
      <c r="AB33" s="55"/>
      <c r="AC33" s="55"/>
    </row>
    <row r="34" spans="2:29" x14ac:dyDescent="0.2">
      <c r="B34" s="3" t="s">
        <v>54</v>
      </c>
      <c r="C34" s="32">
        <f>C28+C32</f>
        <v>158327.88257324189</v>
      </c>
      <c r="D34" s="34">
        <f t="shared" si="13"/>
        <v>0.68605729728181675</v>
      </c>
      <c r="E34" s="32">
        <f>E28+E32</f>
        <v>166748.61393390439</v>
      </c>
      <c r="F34" s="34">
        <f>+E34/$E$20</f>
        <v>0.62859185719145705</v>
      </c>
      <c r="G34" s="34">
        <f>IF(C34=0,"",(E34-C34)/ABS(C34)+1)</f>
        <v>1.0531853974410799</v>
      </c>
      <c r="H34" s="32">
        <f>H28+H32</f>
        <v>134212.88979991683</v>
      </c>
      <c r="I34" s="34">
        <f t="shared" si="16"/>
        <v>0.5856443619749615</v>
      </c>
      <c r="J34" s="34">
        <f>IF(H34=0,"",(E34-H34)/ABS(H34))</f>
        <v>0.2424187735059686</v>
      </c>
      <c r="K34" s="32">
        <f>K28+K32</f>
        <v>954258.51099566778</v>
      </c>
      <c r="L34" s="34">
        <f t="shared" si="5"/>
        <v>0.67021456045568151</v>
      </c>
      <c r="M34" s="32">
        <f>M28+M32</f>
        <v>1034979.7625410712</v>
      </c>
      <c r="N34" s="34">
        <f>+M34/$M$20</f>
        <v>0.65816236495516034</v>
      </c>
      <c r="O34" s="34">
        <f>IF(K34=0,"",(M34-K34)/ABS(K34)+1)</f>
        <v>1.0845905492225365</v>
      </c>
      <c r="P34" s="32">
        <f>P28+P32</f>
        <v>787011.34157099808</v>
      </c>
      <c r="Q34" s="34">
        <f t="shared" si="8"/>
        <v>0.63933409218406134</v>
      </c>
      <c r="R34" s="34">
        <f>IF(P34=0,"",(M34-P34)/ABS(P34))</f>
        <v>0.31507604512418996</v>
      </c>
      <c r="W34" s="55"/>
      <c r="X34" s="55"/>
      <c r="Y34" s="55"/>
      <c r="Z34" s="55"/>
      <c r="AA34" s="55"/>
      <c r="AB34" s="55"/>
      <c r="AC34" s="55"/>
    </row>
    <row r="35" spans="2:29" x14ac:dyDescent="0.2">
      <c r="B35" s="3"/>
      <c r="C35" s="32"/>
      <c r="D35" s="34"/>
      <c r="E35" s="32"/>
      <c r="F35" s="34"/>
      <c r="G35" s="34"/>
      <c r="H35" s="32"/>
      <c r="I35" s="34"/>
      <c r="J35" s="34"/>
      <c r="K35" s="32"/>
      <c r="L35" s="34"/>
      <c r="M35" s="32"/>
      <c r="N35" s="34"/>
      <c r="O35" s="34"/>
      <c r="P35" s="32"/>
      <c r="Q35" s="34"/>
      <c r="R35" s="34"/>
      <c r="W35" s="55"/>
      <c r="X35" s="55"/>
      <c r="Y35" s="55"/>
      <c r="Z35" s="55"/>
      <c r="AA35" s="55"/>
      <c r="AB35" s="55"/>
      <c r="AC35" s="55"/>
    </row>
    <row r="36" spans="2:29" x14ac:dyDescent="0.2">
      <c r="B36" s="20" t="s">
        <v>55</v>
      </c>
      <c r="C36" s="69">
        <f>C24-C34</f>
        <v>49788.939578885649</v>
      </c>
      <c r="D36" s="45">
        <f t="shared" si="13"/>
        <v>0.21574257652448908</v>
      </c>
      <c r="E36" s="69">
        <f>E24-E34</f>
        <v>62212.604287423717</v>
      </c>
      <c r="F36" s="45">
        <f>+E36/$E$20</f>
        <v>0.23452270784841303</v>
      </c>
      <c r="G36" s="45">
        <f>IF(C36=0,"",(E36-C36)/ABS(C36)+1)</f>
        <v>1.2495265979476025</v>
      </c>
      <c r="H36" s="69">
        <f>H24-H34</f>
        <v>67865.294132600189</v>
      </c>
      <c r="I36" s="45">
        <f t="shared" si="16"/>
        <v>0.29613345589817086</v>
      </c>
      <c r="J36" s="45">
        <f>IF(H36=0,"",(E36-H36)/ABS(H36))</f>
        <v>-8.3292792250068665E-2</v>
      </c>
      <c r="K36" s="69">
        <f>K24-K34</f>
        <v>328421.95602815959</v>
      </c>
      <c r="L36" s="45">
        <f t="shared" si="5"/>
        <v>0.2306640961197646</v>
      </c>
      <c r="M36" s="69">
        <f>+M24-M34</f>
        <v>350413.36745548563</v>
      </c>
      <c r="N36" s="45">
        <f>+M36/$M$20</f>
        <v>0.22283420312506058</v>
      </c>
      <c r="O36" s="45">
        <f>IF(K36=0,"",(M36-K36)/ABS(K36)+1)</f>
        <v>1.0669608441934999</v>
      </c>
      <c r="P36" s="69">
        <f>P24-P34</f>
        <v>338683.30695994687</v>
      </c>
      <c r="Q36" s="45">
        <f t="shared" si="8"/>
        <v>0.27513172066987246</v>
      </c>
      <c r="R36" s="45">
        <f>IF(P36=0,"",(M36-P36)/ABS(P36))</f>
        <v>3.4634303653253172E-2</v>
      </c>
      <c r="W36" s="55"/>
      <c r="X36" s="55"/>
      <c r="Y36" s="55"/>
      <c r="Z36" s="55"/>
      <c r="AA36" s="55"/>
      <c r="AB36" s="55"/>
      <c r="AC36" s="55"/>
    </row>
    <row r="37" spans="2:29" x14ac:dyDescent="0.2">
      <c r="B37" s="3"/>
      <c r="C37" s="32"/>
      <c r="D37" s="34"/>
      <c r="E37" s="32"/>
      <c r="F37" s="34"/>
      <c r="G37" s="34"/>
      <c r="H37" s="32"/>
      <c r="I37" s="34"/>
      <c r="J37" s="34"/>
      <c r="K37" s="32"/>
      <c r="L37" s="34"/>
      <c r="M37" s="32"/>
      <c r="N37" s="34"/>
      <c r="O37" s="34"/>
      <c r="P37" s="32"/>
      <c r="Q37" s="34"/>
      <c r="R37" s="34"/>
      <c r="W37" s="55"/>
      <c r="X37" s="55"/>
      <c r="Y37" s="55"/>
      <c r="Z37" s="55"/>
      <c r="AA37" s="55"/>
      <c r="AB37" s="55"/>
      <c r="AC37" s="55"/>
    </row>
    <row r="38" spans="2:29" x14ac:dyDescent="0.2">
      <c r="B38" s="3" t="s">
        <v>56</v>
      </c>
      <c r="C38" s="32">
        <f>+'COLOMBIA USD'!C38+'EL SALVADOR USD'!C38+'VENEZUELA USD'!C38+'PANAMA USD'!C38</f>
        <v>1108.5504063347717</v>
      </c>
      <c r="D38" s="34">
        <f t="shared" si="13"/>
        <v>4.8035070216951537E-3</v>
      </c>
      <c r="E38" s="32">
        <f>+'COLOMBIA USD'!E38+'EL SALVADOR USD'!E38+'VENEZUELA USD'!E38+'PANAMA USD'!E38</f>
        <v>272.30655834036526</v>
      </c>
      <c r="F38" s="34">
        <f>+E38/$E$20</f>
        <v>1.0265133915921608E-3</v>
      </c>
      <c r="G38" s="34">
        <f>IF(C38=0,"",(E38-C38)/ABS(C38)+1)</f>
        <v>0.24564201752512027</v>
      </c>
      <c r="H38" s="32">
        <f>+'COLOMBIA USD'!H38+'EL SALVADOR USD'!H38+'VENEZUELA USD'!H38+'PANAMA USD'!H38</f>
        <v>1347.4486967337973</v>
      </c>
      <c r="I38" s="34">
        <f t="shared" si="16"/>
        <v>5.879656815892113E-3</v>
      </c>
      <c r="J38" s="34">
        <f>IF(H38=0,"",(E38-H38)/ABS(H38))</f>
        <v>-0.79790951670335675</v>
      </c>
      <c r="K38" s="32">
        <f>+'COLOMBIA USD'!K38+'EL SALVADOR USD'!K38+'VENEZUELA USD'!K38+'PANAMA USD'!K38</f>
        <v>6636.8066396893009</v>
      </c>
      <c r="L38" s="34">
        <f t="shared" si="5"/>
        <v>4.6612992114763623E-3</v>
      </c>
      <c r="M38" s="32">
        <f>+'COLOMBIA USD'!M38+'EL SALVADOR USD'!M38+'VENEZUELA USD'!M38+'PANAMA USD'!M38</f>
        <v>1176.3678612129031</v>
      </c>
      <c r="N38" s="34">
        <f>+M38/$M$20</f>
        <v>7.4807361613740133E-4</v>
      </c>
      <c r="O38" s="34">
        <f>IF(K38=0,"",(M38-K38)/ABS(K38)+1)</f>
        <v>0.17724907852189209</v>
      </c>
      <c r="P38" s="32">
        <f>+'COLOMBIA USD'!P38+'EL SALVADOR USD'!P38+'VENEZUELA USD'!P38+'PANAMA USD'!P38</f>
        <v>6922.1226862635094</v>
      </c>
      <c r="Q38" s="34">
        <f t="shared" si="8"/>
        <v>5.6232341134689204E-3</v>
      </c>
      <c r="R38" s="34">
        <f>IF(P38=0,"",(M38-P38)/ABS(P38))</f>
        <v>-0.83005677383509446</v>
      </c>
      <c r="W38" s="55"/>
      <c r="X38" s="55"/>
      <c r="Y38" s="55"/>
      <c r="Z38" s="55"/>
      <c r="AA38" s="55"/>
      <c r="AB38" s="55"/>
      <c r="AC38" s="55"/>
    </row>
    <row r="39" spans="2:29" x14ac:dyDescent="0.2">
      <c r="B39" s="3" t="s">
        <v>57</v>
      </c>
      <c r="C39" s="32">
        <f>+'COLOMBIA USD'!C39+'EL SALVADOR USD'!C39+'VENEZUELA USD'!C39+'PANAMA USD'!C39</f>
        <v>16292.224616434414</v>
      </c>
      <c r="D39" s="34">
        <f t="shared" si="13"/>
        <v>7.0596533000993389E-2</v>
      </c>
      <c r="E39" s="32">
        <f>+'COLOMBIA USD'!E39+'EL SALVADOR USD'!E39+'VENEZUELA USD'!E39+'PANAMA USD'!E39</f>
        <v>6903.686156540989</v>
      </c>
      <c r="F39" s="34">
        <f>+E39/$E$20</f>
        <v>2.6024809443556621E-2</v>
      </c>
      <c r="G39" s="34">
        <f>IF(C39=0,"",(E39-C39)/ABS(C39)+1)</f>
        <v>0.42374115991361005</v>
      </c>
      <c r="H39" s="32">
        <f>+'COLOMBIA USD'!H39+'EL SALVADOR USD'!H39+'VENEZUELA USD'!H39+'PANAMA USD'!H39</f>
        <v>7766.155392335324</v>
      </c>
      <c r="I39" s="34">
        <f t="shared" si="16"/>
        <v>3.3887990389917425E-2</v>
      </c>
      <c r="J39" s="34">
        <f>IF(H39=0,"",(E39-H39)/ABS(H39))</f>
        <v>-0.11105485175400101</v>
      </c>
      <c r="K39" s="32">
        <f>+'COLOMBIA USD'!K39+'EL SALVADOR USD'!K39+'VENEZUELA USD'!K39+'PANAMA USD'!K39</f>
        <v>79729.470656673482</v>
      </c>
      <c r="L39" s="34">
        <f t="shared" si="5"/>
        <v>5.5997249713572811E-2</v>
      </c>
      <c r="M39" s="32">
        <f>+'COLOMBIA USD'!M39+'EL SALVADOR USD'!M39+'VENEZUELA USD'!M39+'PANAMA USD'!M39</f>
        <v>48147.874302313998</v>
      </c>
      <c r="N39" s="34">
        <f>+M39/$M$20</f>
        <v>3.0618104783587251E-2</v>
      </c>
      <c r="O39" s="34">
        <f>IF(K39=0,"",(M39-K39)/ABS(K39)+1)</f>
        <v>0.60389055522073687</v>
      </c>
      <c r="P39" s="32">
        <f>+'COLOMBIA USD'!P39+'EL SALVADOR USD'!P39+'VENEZUELA USD'!P39+'PANAMA USD'!P39</f>
        <v>38697.846747343472</v>
      </c>
      <c r="Q39" s="34">
        <f t="shared" si="8"/>
        <v>3.143646274563737E-2</v>
      </c>
      <c r="R39" s="34">
        <f>IF(P39=0,"",(M39-P39)/ABS(P39))</f>
        <v>0.24420034573678834</v>
      </c>
      <c r="W39" s="55"/>
      <c r="X39" s="55"/>
      <c r="Y39" s="55"/>
      <c r="Z39" s="55"/>
      <c r="AA39" s="55"/>
      <c r="AB39" s="55"/>
      <c r="AC39" s="55"/>
    </row>
    <row r="40" spans="2:29" x14ac:dyDescent="0.2">
      <c r="B40" s="3"/>
      <c r="C40" s="32"/>
      <c r="D40" s="34"/>
      <c r="E40" s="32"/>
      <c r="F40" s="34"/>
      <c r="G40" s="34"/>
      <c r="H40" s="32"/>
      <c r="I40" s="34"/>
      <c r="J40" s="34"/>
      <c r="K40" s="32"/>
      <c r="L40" s="34"/>
      <c r="M40" s="32"/>
      <c r="N40" s="34"/>
      <c r="O40" s="34"/>
      <c r="P40" s="32"/>
      <c r="Q40" s="34"/>
      <c r="R40" s="34"/>
    </row>
    <row r="41" spans="2:29" x14ac:dyDescent="0.2">
      <c r="B41" s="3" t="s">
        <v>58</v>
      </c>
      <c r="C41" s="32">
        <f>C36+C38-C39</f>
        <v>34605.265368786</v>
      </c>
      <c r="D41" s="34">
        <f t="shared" si="13"/>
        <v>0.14994955054519082</v>
      </c>
      <c r="E41" s="32">
        <f>E36+E38-E39</f>
        <v>55581.224689223091</v>
      </c>
      <c r="F41" s="34">
        <f>+E41/$E$20</f>
        <v>0.20952441179644857</v>
      </c>
      <c r="G41" s="34">
        <f>IF(C41=0,"",(E41-C41)/ABS(C41)+1)</f>
        <v>1.6061493560849107</v>
      </c>
      <c r="H41" s="32">
        <f>H36+H38-H39</f>
        <v>61446.58743699867</v>
      </c>
      <c r="I41" s="34">
        <f t="shared" si="16"/>
        <v>0.26812512232414559</v>
      </c>
      <c r="J41" s="34">
        <f>IF(H41=0,"",(E41-H41)/ABS(H41))</f>
        <v>-9.5454654073171274E-2</v>
      </c>
      <c r="K41" s="32">
        <f>K36+K38-K39</f>
        <v>255329.29201117542</v>
      </c>
      <c r="L41" s="34">
        <f t="shared" si="5"/>
        <v>0.17932814561766813</v>
      </c>
      <c r="M41" s="32">
        <f>+'COLOMBIA USD'!M41+'EL SALVADOR USD'!M41+'VENEZUELA USD'!M41+'PANAMA USD'!M41</f>
        <v>5332.3368811172277</v>
      </c>
      <c r="N41" s="34">
        <f>+M41/$M$20</f>
        <v>3.390929542232927E-3</v>
      </c>
      <c r="O41" s="34">
        <f>IF(K41=0,"",(M41-K41)/ABS(K41)+1)</f>
        <v>2.0884156451911662E-2</v>
      </c>
      <c r="P41" s="32">
        <f>+'COLOMBIA USD'!P41+'EL SALVADOR USD'!P41+'VENEZUELA USD'!P41+'PANAMA USD'!P41</f>
        <v>-90732.157413833862</v>
      </c>
      <c r="Q41" s="34">
        <f t="shared" si="8"/>
        <v>-7.3706893951847555E-2</v>
      </c>
      <c r="R41" s="34">
        <f>IF(P41=0,"",(M41-P41)/ABS(P41))</f>
        <v>1.0587700880603574</v>
      </c>
    </row>
    <row r="42" spans="2:29" x14ac:dyDescent="0.2">
      <c r="B42" s="3" t="s">
        <v>44</v>
      </c>
      <c r="C42" s="32">
        <f>+'COLOMBIA USD'!C42+'EL SALVADOR USD'!C42+'VENEZUELA USD'!C42+'PANAMA USD'!C42</f>
        <v>14065.937754366823</v>
      </c>
      <c r="D42" s="34">
        <f t="shared" si="13"/>
        <v>6.0949714495367527E-2</v>
      </c>
      <c r="E42" s="32">
        <f>+'COLOMBIA USD'!E42+'EL SALVADOR USD'!E42+'VENEZUELA USD'!E42+'PANAMA USD'!E42</f>
        <v>5360.57759813335</v>
      </c>
      <c r="F42" s="34">
        <f>+E42/$E$20</f>
        <v>2.0207756745523574E-2</v>
      </c>
      <c r="G42" s="34">
        <f>IF(C42=0,"",(E42-C42)/ABS(C42)+1)</f>
        <v>0.38110346368262138</v>
      </c>
      <c r="H42" s="32">
        <f>+'COLOMBIA USD'!H42+'EL SALVADOR USD'!H42+'VENEZUELA USD'!H42+'PANAMA USD'!H42</f>
        <v>5985.718997644035</v>
      </c>
      <c r="I42" s="34">
        <f t="shared" si="16"/>
        <v>2.6118971050862649E-2</v>
      </c>
      <c r="J42" s="34">
        <f>IF(H42=0,"",(E42-H42)/ABS(H42))</f>
        <v>-0.10443881507914742</v>
      </c>
      <c r="K42" s="32">
        <f>+'COLOMBIA USD'!K42+'EL SALVADOR USD'!K42+'VENEZUELA USD'!K42+'PANAMA USD'!K42</f>
        <v>83655.648104748223</v>
      </c>
      <c r="L42" s="34">
        <f t="shared" si="5"/>
        <v>5.8754763806778909E-2</v>
      </c>
      <c r="M42" s="32">
        <f>+'COLOMBIA USD'!M42+'EL SALVADOR USD'!M42+'VENEZUELA USD'!M42+'PANAMA USD'!M42</f>
        <v>31579.922341985173</v>
      </c>
      <c r="N42" s="34">
        <f>+M42/$M$20</f>
        <v>2.0082244238931644E-2</v>
      </c>
      <c r="O42" s="34">
        <f>IF(K42=0,"",(M42-K42)/ABS(K42)+1)</f>
        <v>0.37749898611081023</v>
      </c>
      <c r="P42" s="32">
        <f>+'COLOMBIA USD'!P42+'EL SALVADOR USD'!P42+'VENEZUELA USD'!P42+'PANAMA USD'!P42</f>
        <v>48815.1484579139</v>
      </c>
      <c r="Q42" s="34">
        <f t="shared" si="8"/>
        <v>3.9655322580068708E-2</v>
      </c>
      <c r="R42" s="34">
        <f>IF(P42=0,"",(M42-P42)/ABS(P42))</f>
        <v>-0.35307126292544455</v>
      </c>
    </row>
    <row r="43" spans="2:29" x14ac:dyDescent="0.2">
      <c r="B43" s="20" t="s">
        <v>59</v>
      </c>
      <c r="C43" s="69">
        <f>+C41-C42</f>
        <v>20539.327614419177</v>
      </c>
      <c r="D43" s="45">
        <f t="shared" si="13"/>
        <v>8.8999836049823297E-2</v>
      </c>
      <c r="E43" s="69">
        <f>E41-E42</f>
        <v>50220.647091089741</v>
      </c>
      <c r="F43" s="45">
        <f>+E43/$E$20</f>
        <v>0.18931665505092499</v>
      </c>
      <c r="G43" s="45">
        <f>IF(C43=0,"",(E43-C43)/ABS(C43)+1)</f>
        <v>2.4450969395820659</v>
      </c>
      <c r="H43" s="69">
        <f>+H41-H42</f>
        <v>55460.868439354635</v>
      </c>
      <c r="I43" s="45">
        <f t="shared" si="16"/>
        <v>0.24200615127328293</v>
      </c>
      <c r="J43" s="45">
        <f>IF(H43=0,"",(E43-H43)/ABS(H43))</f>
        <v>-9.4485021524590318E-2</v>
      </c>
      <c r="K43" s="69">
        <f>+K41-K42</f>
        <v>171673.6439064272</v>
      </c>
      <c r="L43" s="45">
        <f t="shared" si="5"/>
        <v>0.12057338181088924</v>
      </c>
      <c r="M43" s="69">
        <f>+M41-M42</f>
        <v>-26247.585460867944</v>
      </c>
      <c r="N43" s="45">
        <f>+M43/$M$20</f>
        <v>-1.6691314696698715E-2</v>
      </c>
      <c r="O43" s="45">
        <f>IF(K43=0,"",(M43-K43)/ABS(K43)+1)</f>
        <v>-0.15289234190878198</v>
      </c>
      <c r="P43" s="69">
        <f>P41-P42</f>
        <v>-139547.30587174775</v>
      </c>
      <c r="Q43" s="45">
        <f t="shared" si="8"/>
        <v>-0.11336221653191625</v>
      </c>
      <c r="R43" s="45">
        <f>IF(P43=0,"",(M43-P43)/ABS(P43))</f>
        <v>0.81190904907192529</v>
      </c>
    </row>
    <row r="44" spans="2:29" x14ac:dyDescent="0.2">
      <c r="B44" s="3"/>
      <c r="C44" s="32"/>
      <c r="D44" s="34"/>
      <c r="E44" s="32"/>
      <c r="F44" s="34"/>
      <c r="G44" s="34"/>
      <c r="H44" s="32"/>
      <c r="I44" s="34"/>
      <c r="J44" s="34"/>
      <c r="K44" s="32"/>
      <c r="L44" s="34"/>
      <c r="M44" s="32"/>
      <c r="N44" s="34"/>
      <c r="O44" s="34"/>
      <c r="P44" s="32"/>
      <c r="Q44" s="34"/>
      <c r="R44" s="34"/>
    </row>
    <row r="45" spans="2:29" x14ac:dyDescent="0.2">
      <c r="B45" s="3" t="s">
        <v>84</v>
      </c>
      <c r="C45" s="32">
        <f>+'COLOMBIA USD'!C45+'EL SALVADOR USD'!C45+'VENEZUELA USD'!C45+'PANAMA USD'!C45</f>
        <v>30255.492588476696</v>
      </c>
      <c r="D45" s="34">
        <f t="shared" si="13"/>
        <v>0.13110136468589637</v>
      </c>
      <c r="E45" s="32">
        <f>+'COLOMBIA USD'!E45+'EL SALVADOR USD'!E45+'VENEZUELA USD'!E45+'PANAMA USD'!E45</f>
        <v>39638.293237983118</v>
      </c>
      <c r="F45" s="34">
        <f>+E45/$E$20</f>
        <v>0.14942438065625946</v>
      </c>
      <c r="G45" s="34">
        <f>IF(C45=0,"",(E45-C45)/ABS(C45)+1)</f>
        <v>1.310118918806829</v>
      </c>
      <c r="H45" s="32">
        <f>+'COLOMBIA USD'!H45+'EL SALVADOR USD'!H45+'VENEZUELA USD'!H45+'PANAMA USD'!H45</f>
        <v>35427.556710933066</v>
      </c>
      <c r="I45" s="34">
        <f t="shared" si="16"/>
        <v>0.15458983766191894</v>
      </c>
      <c r="J45" s="34">
        <f>IF(H45=0,"",(E45-H45)/ABS(H45))</f>
        <v>0.11885483837926097</v>
      </c>
      <c r="K45" s="32">
        <f>+'COLOMBIA USD'!K45+'EL SALVADOR USD'!K45+'VENEZUELA USD'!K45+'PANAMA USD'!K45</f>
        <v>216457.5868185494</v>
      </c>
      <c r="L45" s="34">
        <f t="shared" si="5"/>
        <v>0.15202696621015543</v>
      </c>
      <c r="M45" s="32">
        <f>+'COLOMBIA USD'!M45+'EL SALVADOR USD'!M45+'VENEZUELA USD'!M45+'PANAMA USD'!M45</f>
        <v>214831.90995060565</v>
      </c>
      <c r="N45" s="34">
        <f>+M45/$M$20</f>
        <v>0.13661550016569884</v>
      </c>
      <c r="O45" s="34">
        <f>IF(K45=0,"",(M45-K45)/ABS(K45)+1)</f>
        <v>0.99248962860652001</v>
      </c>
      <c r="P45" s="32">
        <f>+'COLOMBIA USD'!P45+'EL SALVADOR USD'!P45+'VENEZUELA USD'!P45+'PANAMA USD'!P45</f>
        <v>249641.43081919244</v>
      </c>
      <c r="Q45" s="34">
        <f t="shared" si="8"/>
        <v>0.20279793836988852</v>
      </c>
      <c r="R45" s="34">
        <f>IF(P45=0,"",(M45-P45)/ABS(P45))</f>
        <v>-0.13943807626146096</v>
      </c>
    </row>
    <row r="46" spans="2:29" x14ac:dyDescent="0.2">
      <c r="B46" s="3" t="s">
        <v>35</v>
      </c>
      <c r="C46" s="32">
        <f>+'COLOMBIA USD'!C46+'EL SALVADOR USD'!C46+'VENEZUELA USD'!C46+'PANAMA USD'!C46</f>
        <v>103258.89733818744</v>
      </c>
      <c r="D46" s="34">
        <f t="shared" si="13"/>
        <v>0.44743552984337065</v>
      </c>
      <c r="E46" s="32">
        <f>+'COLOMBIA USD'!E46+'EL SALVADOR USD'!E46+'VENEZUELA USD'!E46+'PANAMA USD'!E46</f>
        <v>114237.9832765203</v>
      </c>
      <c r="F46" s="34">
        <f>+E46/$E$20</f>
        <v>0.43064265648443767</v>
      </c>
      <c r="G46" s="34">
        <f>IF(C46=0,"",(E46-C46)/ABS(C46)+1)</f>
        <v>1.1063258103790785</v>
      </c>
      <c r="H46" s="32">
        <f>+'COLOMBIA USD'!H46+'EL SALVADOR USD'!H46+'VENEZUELA USD'!H46+'PANAMA USD'!H46</f>
        <v>91590.313454726973</v>
      </c>
      <c r="I46" s="34">
        <f t="shared" si="16"/>
        <v>0.39965871211211745</v>
      </c>
      <c r="J46" s="34">
        <f>IF(H46=0,"",(E46-H46)/ABS(H46))</f>
        <v>0.24727145226976494</v>
      </c>
      <c r="K46" s="32">
        <f>+'COLOMBIA USD'!K46+'EL SALVADOR USD'!K46+'VENEZUELA USD'!K46+'PANAMA USD'!K46</f>
        <v>623677.09536933084</v>
      </c>
      <c r="L46" s="34">
        <f t="shared" si="5"/>
        <v>0.43803378803831272</v>
      </c>
      <c r="M46" s="32">
        <f>+'COLOMBIA USD'!M46+'EL SALVADOR USD'!M46+'VENEZUELA USD'!M46+'PANAMA USD'!M46</f>
        <v>716769.3280116237</v>
      </c>
      <c r="N46" s="34">
        <f>+M46/$M$20</f>
        <v>0.4558065897764168</v>
      </c>
      <c r="O46" s="34">
        <f>IF(K46=0,"",(M46-K46)/ABS(K46)+1)</f>
        <v>1.1492635104503321</v>
      </c>
      <c r="P46" s="32">
        <f>+'COLOMBIA USD'!P46+'EL SALVADOR USD'!P46+'VENEZUELA USD'!P46+'PANAMA USD'!P46</f>
        <v>526629.34545602673</v>
      </c>
      <c r="Q46" s="34">
        <f t="shared" si="8"/>
        <v>0.42781098150698194</v>
      </c>
      <c r="R46" s="34">
        <f>IF(P46=0,"",(M46-P46)/ABS(P46))</f>
        <v>0.36105086850211154</v>
      </c>
    </row>
  </sheetData>
  <conditionalFormatting sqref="D9:D46 G10:G46 J10:J46">
    <cfRule type="cellIs" dxfId="1" priority="2" operator="lessThan">
      <formula>0</formula>
    </cfRule>
  </conditionalFormatting>
  <conditionalFormatting sqref="R10:R46">
    <cfRule type="cellIs" dxfId="0" priority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180672-E055-4A62-B06E-02730DC143A3}">
  <dimension ref="A6:V594"/>
  <sheetViews>
    <sheetView topLeftCell="A39" workbookViewId="0">
      <selection activeCell="A60" sqref="A60:A87"/>
    </sheetView>
  </sheetViews>
  <sheetFormatPr baseColWidth="10" defaultRowHeight="12" x14ac:dyDescent="0.2"/>
  <cols>
    <col min="1" max="1" width="40.85546875" style="121" customWidth="1"/>
    <col min="2" max="2" width="44.42578125" style="121" customWidth="1"/>
    <col min="3" max="3" width="29.140625" style="121" customWidth="1"/>
    <col min="4" max="4" width="8" style="121" customWidth="1"/>
    <col min="5" max="5" width="22.85546875" style="121" bestFit="1" customWidth="1"/>
    <col min="6" max="6" width="36.42578125" style="121" bestFit="1" customWidth="1"/>
    <col min="7" max="7" width="13.42578125" style="123" bestFit="1" customWidth="1"/>
    <col min="8" max="18" width="30.5703125" style="123" bestFit="1" customWidth="1"/>
    <col min="19" max="19" width="14.140625" style="123" bestFit="1" customWidth="1"/>
    <col min="20" max="22" width="11.42578125" style="123"/>
    <col min="23" max="16384" width="11.42578125" style="121"/>
  </cols>
  <sheetData>
    <row r="6" spans="1:2" x14ac:dyDescent="0.2">
      <c r="A6" s="119" t="s">
        <v>64</v>
      </c>
      <c r="B6" s="120" t="s">
        <v>142</v>
      </c>
    </row>
    <row r="7" spans="1:2" x14ac:dyDescent="0.2">
      <c r="A7" s="119" t="s">
        <v>66</v>
      </c>
      <c r="B7" s="120" t="s">
        <v>143</v>
      </c>
    </row>
    <row r="8" spans="1:2" x14ac:dyDescent="0.2">
      <c r="A8" s="119" t="s">
        <v>68</v>
      </c>
      <c r="B8" s="120" t="s">
        <v>144</v>
      </c>
    </row>
    <row r="9" spans="1:2" x14ac:dyDescent="0.2">
      <c r="A9" s="119" t="s">
        <v>77</v>
      </c>
      <c r="B9" s="120" t="s">
        <v>145</v>
      </c>
    </row>
    <row r="10" spans="1:2" x14ac:dyDescent="0.2">
      <c r="A10" s="119" t="s">
        <v>146</v>
      </c>
      <c r="B10" s="120" t="s">
        <v>147</v>
      </c>
    </row>
    <row r="11" spans="1:2" x14ac:dyDescent="0.2">
      <c r="A11" s="119">
        <v>4170250500</v>
      </c>
      <c r="B11" s="120" t="s">
        <v>148</v>
      </c>
    </row>
    <row r="12" spans="1:2" x14ac:dyDescent="0.2">
      <c r="A12" s="119" t="s">
        <v>79</v>
      </c>
      <c r="B12" s="120" t="s">
        <v>149</v>
      </c>
    </row>
    <row r="13" spans="1:2" x14ac:dyDescent="0.2">
      <c r="A13" s="119" t="s">
        <v>150</v>
      </c>
      <c r="B13" s="120" t="s">
        <v>151</v>
      </c>
    </row>
    <row r="14" spans="1:2" x14ac:dyDescent="0.2">
      <c r="A14" s="119" t="s">
        <v>73</v>
      </c>
      <c r="B14" s="120" t="s">
        <v>152</v>
      </c>
    </row>
    <row r="15" spans="1:2" x14ac:dyDescent="0.2">
      <c r="A15" s="119">
        <v>4155951000</v>
      </c>
      <c r="B15" s="120" t="s">
        <v>153</v>
      </c>
    </row>
    <row r="16" spans="1:2" x14ac:dyDescent="0.2">
      <c r="A16" s="119">
        <v>4155951500</v>
      </c>
      <c r="B16" s="120" t="s">
        <v>154</v>
      </c>
    </row>
    <row r="33" spans="1:19" x14ac:dyDescent="0.2">
      <c r="B33" s="122" t="s">
        <v>155</v>
      </c>
      <c r="D33" s="121" t="s">
        <v>156</v>
      </c>
    </row>
    <row r="34" spans="1:19" x14ac:dyDescent="0.2">
      <c r="A34" s="121" t="s">
        <v>157</v>
      </c>
      <c r="B34" s="122" t="s">
        <v>158</v>
      </c>
    </row>
    <row r="35" spans="1:19" x14ac:dyDescent="0.2">
      <c r="A35" s="121" t="s">
        <v>159</v>
      </c>
      <c r="B35" s="122" t="s">
        <v>160</v>
      </c>
    </row>
    <row r="36" spans="1:19" x14ac:dyDescent="0.2">
      <c r="A36" s="121" t="s">
        <v>161</v>
      </c>
      <c r="B36" s="122" t="s">
        <v>162</v>
      </c>
    </row>
    <row r="37" spans="1:19" x14ac:dyDescent="0.2">
      <c r="A37" s="121" t="s">
        <v>163</v>
      </c>
      <c r="B37" s="122" t="s">
        <v>164</v>
      </c>
    </row>
    <row r="38" spans="1:19" x14ac:dyDescent="0.2">
      <c r="B38" s="122"/>
    </row>
    <row r="39" spans="1:19" x14ac:dyDescent="0.2">
      <c r="B39" s="122"/>
    </row>
    <row r="40" spans="1:19" x14ac:dyDescent="0.2">
      <c r="B40" s="122"/>
    </row>
    <row r="41" spans="1:19" x14ac:dyDescent="0.2">
      <c r="B41" s="122" t="s">
        <v>165</v>
      </c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</row>
    <row r="42" spans="1:19" x14ac:dyDescent="0.2">
      <c r="A42" s="124"/>
      <c r="B42" s="121" t="s">
        <v>166</v>
      </c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</row>
    <row r="43" spans="1:19" x14ac:dyDescent="0.2">
      <c r="A43" s="124" t="s">
        <v>167</v>
      </c>
      <c r="B43" s="120" t="s">
        <v>168</v>
      </c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</row>
    <row r="44" spans="1:19" x14ac:dyDescent="0.2">
      <c r="A44" s="121" t="s">
        <v>169</v>
      </c>
      <c r="B44" s="120" t="s">
        <v>170</v>
      </c>
      <c r="G44" s="121"/>
    </row>
    <row r="45" spans="1:19" x14ac:dyDescent="0.2">
      <c r="A45" s="124" t="s">
        <v>171</v>
      </c>
      <c r="B45" s="120" t="s">
        <v>172</v>
      </c>
      <c r="G45" s="121"/>
    </row>
    <row r="46" spans="1:19" x14ac:dyDescent="0.2">
      <c r="A46" s="119">
        <v>5295400000</v>
      </c>
      <c r="B46" s="120" t="s">
        <v>173</v>
      </c>
      <c r="G46" s="121"/>
    </row>
    <row r="47" spans="1:19" x14ac:dyDescent="0.2">
      <c r="A47" s="119">
        <v>5235500000</v>
      </c>
      <c r="B47" s="120" t="s">
        <v>174</v>
      </c>
    </row>
    <row r="48" spans="1:19" x14ac:dyDescent="0.2">
      <c r="A48" s="124" t="s">
        <v>175</v>
      </c>
      <c r="B48" s="120" t="s">
        <v>176</v>
      </c>
    </row>
    <row r="49" spans="1:5" x14ac:dyDescent="0.2">
      <c r="A49" s="124" t="s">
        <v>177</v>
      </c>
      <c r="B49" s="120" t="s">
        <v>178</v>
      </c>
    </row>
    <row r="50" spans="1:5" x14ac:dyDescent="0.2">
      <c r="A50" s="124" t="s">
        <v>179</v>
      </c>
      <c r="B50" s="120" t="s">
        <v>180</v>
      </c>
    </row>
    <row r="51" spans="1:5" x14ac:dyDescent="0.2">
      <c r="A51" s="125">
        <v>5295950300</v>
      </c>
      <c r="B51" s="120" t="s">
        <v>181</v>
      </c>
    </row>
    <row r="52" spans="1:5" x14ac:dyDescent="0.2">
      <c r="A52" s="124" t="s">
        <v>182</v>
      </c>
      <c r="B52" s="120" t="s">
        <v>183</v>
      </c>
    </row>
    <row r="53" spans="1:5" x14ac:dyDescent="0.2">
      <c r="A53" s="119">
        <v>5240200100</v>
      </c>
      <c r="B53" s="120" t="s">
        <v>184</v>
      </c>
    </row>
    <row r="54" spans="1:5" x14ac:dyDescent="0.2">
      <c r="A54" s="119">
        <v>5235150000</v>
      </c>
      <c r="B54" s="120" t="s">
        <v>185</v>
      </c>
    </row>
    <row r="55" spans="1:5" x14ac:dyDescent="0.2">
      <c r="A55" s="119">
        <v>5235100000</v>
      </c>
      <c r="B55" s="120" t="s">
        <v>186</v>
      </c>
    </row>
    <row r="56" spans="1:5" x14ac:dyDescent="0.2">
      <c r="A56" s="124" t="s">
        <v>187</v>
      </c>
      <c r="B56" s="120" t="s">
        <v>188</v>
      </c>
    </row>
    <row r="57" spans="1:5" x14ac:dyDescent="0.2">
      <c r="A57" s="119">
        <v>5299100000</v>
      </c>
      <c r="B57" s="120" t="s">
        <v>189</v>
      </c>
    </row>
    <row r="58" spans="1:5" x14ac:dyDescent="0.2">
      <c r="A58" s="125" t="s">
        <v>190</v>
      </c>
      <c r="B58" s="126" t="s">
        <v>191</v>
      </c>
    </row>
    <row r="59" spans="1:5" x14ac:dyDescent="0.2">
      <c r="A59" s="124"/>
      <c r="B59" s="126" t="s">
        <v>192</v>
      </c>
      <c r="C59" s="121" t="str">
        <f>+Paramet!B4</f>
        <v>202406</v>
      </c>
    </row>
    <row r="60" spans="1:5" x14ac:dyDescent="0.2">
      <c r="A60" s="124" t="s">
        <v>193</v>
      </c>
      <c r="B60" s="120" t="s">
        <v>194</v>
      </c>
      <c r="C60" s="127"/>
      <c r="D60" s="127"/>
      <c r="E60" s="128"/>
    </row>
    <row r="61" spans="1:5" x14ac:dyDescent="0.2">
      <c r="A61" s="121" t="s">
        <v>195</v>
      </c>
      <c r="B61" s="120" t="s">
        <v>196</v>
      </c>
      <c r="C61" s="127"/>
      <c r="D61" s="127"/>
      <c r="E61" s="128"/>
    </row>
    <row r="62" spans="1:5" x14ac:dyDescent="0.2">
      <c r="A62" s="124" t="s">
        <v>197</v>
      </c>
      <c r="B62" s="120" t="s">
        <v>198</v>
      </c>
      <c r="C62" s="127"/>
      <c r="D62" s="127"/>
      <c r="E62" s="128"/>
    </row>
    <row r="63" spans="1:5" x14ac:dyDescent="0.2">
      <c r="A63" s="124" t="s">
        <v>199</v>
      </c>
      <c r="B63" s="120" t="s">
        <v>200</v>
      </c>
      <c r="C63" s="127"/>
      <c r="D63" s="127"/>
      <c r="E63" s="128"/>
    </row>
    <row r="64" spans="1:5" x14ac:dyDescent="0.2">
      <c r="A64" s="124" t="s">
        <v>201</v>
      </c>
      <c r="B64" s="120" t="s">
        <v>202</v>
      </c>
      <c r="C64" s="127"/>
      <c r="D64" s="127"/>
      <c r="E64" s="128"/>
    </row>
    <row r="65" spans="1:5" x14ac:dyDescent="0.2">
      <c r="A65" s="124" t="s">
        <v>203</v>
      </c>
      <c r="B65" s="120" t="s">
        <v>204</v>
      </c>
      <c r="C65" s="127"/>
      <c r="D65" s="127"/>
      <c r="E65" s="128"/>
    </row>
    <row r="66" spans="1:5" x14ac:dyDescent="0.2">
      <c r="A66" s="124" t="s">
        <v>205</v>
      </c>
      <c r="B66" s="120" t="s">
        <v>206</v>
      </c>
      <c r="C66" s="127"/>
      <c r="D66" s="127"/>
      <c r="E66" s="128"/>
    </row>
    <row r="67" spans="1:5" x14ac:dyDescent="0.2">
      <c r="A67" s="124" t="s">
        <v>207</v>
      </c>
      <c r="B67" s="120" t="s">
        <v>208</v>
      </c>
      <c r="C67" s="127"/>
      <c r="D67" s="127"/>
      <c r="E67" s="128"/>
    </row>
    <row r="68" spans="1:5" x14ac:dyDescent="0.2">
      <c r="A68" s="119">
        <v>5265100000</v>
      </c>
      <c r="B68" s="120" t="s">
        <v>209</v>
      </c>
      <c r="C68" s="127"/>
      <c r="D68" s="127"/>
      <c r="E68" s="128"/>
    </row>
    <row r="69" spans="1:5" x14ac:dyDescent="0.2">
      <c r="A69" s="124" t="s">
        <v>210</v>
      </c>
      <c r="B69" s="120" t="s">
        <v>211</v>
      </c>
      <c r="C69" s="127"/>
      <c r="D69" s="127"/>
      <c r="E69" s="128"/>
    </row>
    <row r="70" spans="1:5" x14ac:dyDescent="0.2">
      <c r="A70" s="124" t="s">
        <v>212</v>
      </c>
      <c r="B70" s="120" t="s">
        <v>213</v>
      </c>
      <c r="C70" s="127"/>
      <c r="D70" s="127"/>
      <c r="E70" s="128"/>
    </row>
    <row r="71" spans="1:5" x14ac:dyDescent="0.2">
      <c r="A71" s="124" t="s">
        <v>214</v>
      </c>
      <c r="B71" s="120" t="s">
        <v>215</v>
      </c>
      <c r="C71" s="127"/>
      <c r="D71" s="127"/>
      <c r="E71" s="128"/>
    </row>
    <row r="72" spans="1:5" x14ac:dyDescent="0.2">
      <c r="A72" s="124" t="s">
        <v>216</v>
      </c>
      <c r="B72" s="120" t="s">
        <v>217</v>
      </c>
      <c r="C72" s="127"/>
      <c r="D72" s="127"/>
      <c r="E72" s="128"/>
    </row>
    <row r="73" spans="1:5" x14ac:dyDescent="0.2">
      <c r="A73" s="119" t="s">
        <v>218</v>
      </c>
      <c r="B73" s="120" t="s">
        <v>219</v>
      </c>
      <c r="C73" s="127"/>
      <c r="D73" s="127"/>
      <c r="E73" s="128"/>
    </row>
    <row r="74" spans="1:5" x14ac:dyDescent="0.2">
      <c r="A74" s="124" t="s">
        <v>220</v>
      </c>
      <c r="B74" s="120" t="s">
        <v>221</v>
      </c>
      <c r="C74" s="127"/>
      <c r="D74" s="127"/>
      <c r="E74" s="128"/>
    </row>
    <row r="75" spans="1:5" x14ac:dyDescent="0.2">
      <c r="A75" s="119">
        <v>5265150000</v>
      </c>
      <c r="B75" s="120" t="s">
        <v>222</v>
      </c>
      <c r="C75" s="127"/>
      <c r="D75" s="127"/>
      <c r="E75" s="128"/>
    </row>
    <row r="76" spans="1:5" x14ac:dyDescent="0.2">
      <c r="A76" s="124" t="s">
        <v>223</v>
      </c>
      <c r="B76" s="120" t="s">
        <v>224</v>
      </c>
      <c r="C76" s="127"/>
      <c r="D76" s="127"/>
      <c r="E76" s="128"/>
    </row>
    <row r="77" spans="1:5" x14ac:dyDescent="0.2">
      <c r="A77" s="124" t="s">
        <v>225</v>
      </c>
      <c r="B77" s="120" t="s">
        <v>226</v>
      </c>
      <c r="C77" s="127"/>
      <c r="D77" s="127"/>
      <c r="E77" s="128"/>
    </row>
    <row r="78" spans="1:5" x14ac:dyDescent="0.2">
      <c r="A78" s="124" t="s">
        <v>227</v>
      </c>
      <c r="B78" s="120" t="s">
        <v>228</v>
      </c>
      <c r="C78" s="127"/>
      <c r="D78" s="127"/>
      <c r="E78" s="128"/>
    </row>
    <row r="79" spans="1:5" x14ac:dyDescent="0.2">
      <c r="A79" s="124" t="s">
        <v>229</v>
      </c>
      <c r="B79" s="120" t="s">
        <v>230</v>
      </c>
      <c r="C79" s="127"/>
      <c r="D79" s="127"/>
      <c r="E79" s="128"/>
    </row>
    <row r="80" spans="1:5" x14ac:dyDescent="0.2">
      <c r="A80" s="124" t="s">
        <v>231</v>
      </c>
      <c r="B80" s="120" t="s">
        <v>232</v>
      </c>
      <c r="C80" s="127"/>
      <c r="D80" s="127"/>
      <c r="E80" s="128"/>
    </row>
    <row r="81" spans="1:5" x14ac:dyDescent="0.2">
      <c r="A81" s="124" t="s">
        <v>233</v>
      </c>
      <c r="B81" s="120" t="s">
        <v>234</v>
      </c>
      <c r="C81" s="127"/>
      <c r="D81" s="127"/>
      <c r="E81" s="128"/>
    </row>
    <row r="82" spans="1:5" x14ac:dyDescent="0.2">
      <c r="A82" s="119" t="s">
        <v>235</v>
      </c>
      <c r="B82" s="120" t="s">
        <v>236</v>
      </c>
      <c r="C82" s="127"/>
      <c r="D82" s="127"/>
      <c r="E82" s="128"/>
    </row>
    <row r="83" spans="1:5" x14ac:dyDescent="0.2">
      <c r="A83" s="124" t="s">
        <v>237</v>
      </c>
      <c r="B83" s="120" t="s">
        <v>238</v>
      </c>
      <c r="C83" s="127"/>
      <c r="D83" s="127"/>
      <c r="E83" s="128"/>
    </row>
    <row r="84" spans="1:5" x14ac:dyDescent="0.2">
      <c r="A84" s="124" t="s">
        <v>239</v>
      </c>
      <c r="B84" s="120" t="s">
        <v>240</v>
      </c>
      <c r="C84" s="127"/>
      <c r="D84" s="127"/>
      <c r="E84" s="128"/>
    </row>
    <row r="85" spans="1:5" x14ac:dyDescent="0.2">
      <c r="A85" s="124" t="s">
        <v>241</v>
      </c>
      <c r="B85" s="120" t="s">
        <v>242</v>
      </c>
      <c r="C85" s="127"/>
      <c r="D85" s="127"/>
      <c r="E85" s="128"/>
    </row>
    <row r="86" spans="1:5" x14ac:dyDescent="0.2">
      <c r="A86" s="129" t="s">
        <v>243</v>
      </c>
      <c r="B86" s="120" t="s">
        <v>244</v>
      </c>
      <c r="C86" s="127"/>
      <c r="D86" s="127"/>
      <c r="E86" s="128"/>
    </row>
    <row r="87" spans="1:5" x14ac:dyDescent="0.2">
      <c r="A87" s="124" t="s">
        <v>245</v>
      </c>
      <c r="B87" s="120" t="s">
        <v>246</v>
      </c>
      <c r="C87" s="127"/>
      <c r="D87" s="127"/>
      <c r="E87" s="128"/>
    </row>
    <row r="88" spans="1:5" x14ac:dyDescent="0.2">
      <c r="A88" s="124"/>
      <c r="B88" s="126" t="s">
        <v>247</v>
      </c>
      <c r="C88" s="128"/>
      <c r="D88" s="130"/>
      <c r="E88" s="131"/>
    </row>
    <row r="89" spans="1:5" x14ac:dyDescent="0.2">
      <c r="A89" s="124" t="s">
        <v>248</v>
      </c>
      <c r="B89" s="120" t="s">
        <v>249</v>
      </c>
    </row>
    <row r="90" spans="1:5" x14ac:dyDescent="0.2">
      <c r="A90" s="119">
        <v>5105180100</v>
      </c>
      <c r="B90" s="120" t="s">
        <v>250</v>
      </c>
    </row>
    <row r="91" spans="1:5" x14ac:dyDescent="0.2">
      <c r="A91" s="121" t="s">
        <v>251</v>
      </c>
      <c r="B91" s="120" t="s">
        <v>252</v>
      </c>
    </row>
    <row r="92" spans="1:5" x14ac:dyDescent="0.2">
      <c r="A92" s="119">
        <v>5105480100</v>
      </c>
      <c r="B92" s="120" t="s">
        <v>253</v>
      </c>
    </row>
    <row r="93" spans="1:5" x14ac:dyDescent="0.2">
      <c r="A93" s="124" t="s">
        <v>254</v>
      </c>
      <c r="B93" s="120" t="s">
        <v>255</v>
      </c>
    </row>
    <row r="94" spans="1:5" x14ac:dyDescent="0.2">
      <c r="A94" s="124" t="s">
        <v>256</v>
      </c>
      <c r="B94" s="120" t="s">
        <v>257</v>
      </c>
    </row>
    <row r="95" spans="1:5" x14ac:dyDescent="0.2">
      <c r="A95" s="124"/>
      <c r="B95" s="126" t="s">
        <v>258</v>
      </c>
    </row>
    <row r="96" spans="1:5" x14ac:dyDescent="0.2">
      <c r="A96" s="119">
        <v>5105180000</v>
      </c>
      <c r="B96" s="120" t="s">
        <v>259</v>
      </c>
      <c r="C96" s="127"/>
      <c r="E96" s="128"/>
    </row>
    <row r="97" spans="1:5" x14ac:dyDescent="0.2">
      <c r="A97" s="124" t="s">
        <v>260</v>
      </c>
      <c r="B97" s="120" t="s">
        <v>261</v>
      </c>
      <c r="C97" s="127"/>
      <c r="E97" s="128"/>
    </row>
    <row r="98" spans="1:5" x14ac:dyDescent="0.2">
      <c r="A98" s="124" t="s">
        <v>262</v>
      </c>
      <c r="B98" s="120" t="s">
        <v>263</v>
      </c>
      <c r="C98" s="127"/>
      <c r="E98" s="128"/>
    </row>
    <row r="99" spans="1:5" x14ac:dyDescent="0.2">
      <c r="A99" s="124" t="s">
        <v>264</v>
      </c>
      <c r="B99" s="120" t="s">
        <v>265</v>
      </c>
      <c r="C99" s="127"/>
      <c r="E99" s="128"/>
    </row>
    <row r="100" spans="1:5" x14ac:dyDescent="0.2">
      <c r="A100" s="119" t="s">
        <v>266</v>
      </c>
      <c r="B100" s="120" t="s">
        <v>267</v>
      </c>
      <c r="C100" s="127"/>
      <c r="E100" s="128"/>
    </row>
    <row r="101" spans="1:5" x14ac:dyDescent="0.2">
      <c r="A101" s="124" t="s">
        <v>268</v>
      </c>
      <c r="B101" s="120" t="s">
        <v>269</v>
      </c>
      <c r="C101" s="127"/>
      <c r="E101" s="128"/>
    </row>
    <row r="102" spans="1:5" x14ac:dyDescent="0.2">
      <c r="A102" s="124" t="s">
        <v>270</v>
      </c>
      <c r="B102" s="120" t="s">
        <v>271</v>
      </c>
      <c r="C102" s="127"/>
      <c r="E102" s="128"/>
    </row>
    <row r="103" spans="1:5" x14ac:dyDescent="0.2">
      <c r="A103" s="119" t="s">
        <v>272</v>
      </c>
      <c r="B103" s="120" t="s">
        <v>273</v>
      </c>
      <c r="C103" s="127"/>
      <c r="E103" s="128"/>
    </row>
    <row r="104" spans="1:5" x14ac:dyDescent="0.2">
      <c r="A104" s="119" t="s">
        <v>274</v>
      </c>
      <c r="B104" s="120" t="s">
        <v>275</v>
      </c>
      <c r="C104" s="127"/>
      <c r="E104" s="128"/>
    </row>
    <row r="105" spans="1:5" x14ac:dyDescent="0.2">
      <c r="A105" s="119">
        <v>5120100000</v>
      </c>
      <c r="B105" s="120" t="s">
        <v>276</v>
      </c>
      <c r="C105" s="127"/>
      <c r="E105" s="128"/>
    </row>
    <row r="106" spans="1:5" x14ac:dyDescent="0.2">
      <c r="A106" s="124" t="s">
        <v>277</v>
      </c>
      <c r="B106" s="120" t="s">
        <v>278</v>
      </c>
      <c r="C106" s="127"/>
      <c r="E106" s="128"/>
    </row>
    <row r="107" spans="1:5" x14ac:dyDescent="0.2">
      <c r="A107" s="124" t="s">
        <v>279</v>
      </c>
      <c r="B107" s="120" t="s">
        <v>280</v>
      </c>
      <c r="C107" s="127"/>
      <c r="E107" s="128"/>
    </row>
    <row r="108" spans="1:5" x14ac:dyDescent="0.2">
      <c r="A108" s="124" t="s">
        <v>281</v>
      </c>
      <c r="B108" s="120" t="s">
        <v>282</v>
      </c>
      <c r="C108" s="127"/>
      <c r="E108" s="128"/>
    </row>
    <row r="109" spans="1:5" x14ac:dyDescent="0.2">
      <c r="A109" s="124" t="s">
        <v>283</v>
      </c>
      <c r="B109" s="120" t="s">
        <v>284</v>
      </c>
      <c r="C109" s="127"/>
      <c r="E109" s="128"/>
    </row>
    <row r="110" spans="1:5" x14ac:dyDescent="0.2">
      <c r="A110" s="124" t="s">
        <v>285</v>
      </c>
      <c r="B110" s="120" t="s">
        <v>286</v>
      </c>
      <c r="C110" s="127"/>
      <c r="E110" s="128"/>
    </row>
    <row r="111" spans="1:5" x14ac:dyDescent="0.2">
      <c r="A111" s="124" t="s">
        <v>287</v>
      </c>
      <c r="B111" s="120" t="s">
        <v>288</v>
      </c>
      <c r="C111" s="127"/>
      <c r="E111" s="128"/>
    </row>
    <row r="112" spans="1:5" x14ac:dyDescent="0.2">
      <c r="A112" s="124" t="s">
        <v>289</v>
      </c>
      <c r="B112" s="120" t="s">
        <v>290</v>
      </c>
      <c r="C112" s="127"/>
      <c r="E112" s="128"/>
    </row>
    <row r="113" spans="1:11" x14ac:dyDescent="0.2">
      <c r="A113" s="124" t="s">
        <v>291</v>
      </c>
      <c r="B113" s="120" t="s">
        <v>292</v>
      </c>
      <c r="C113" s="127"/>
      <c r="E113" s="128"/>
    </row>
    <row r="114" spans="1:11" x14ac:dyDescent="0.2">
      <c r="A114" s="124" t="s">
        <v>293</v>
      </c>
      <c r="B114" s="120" t="s">
        <v>294</v>
      </c>
      <c r="C114" s="127"/>
      <c r="E114" s="128"/>
    </row>
    <row r="115" spans="1:11" x14ac:dyDescent="0.2">
      <c r="A115" s="124" t="s">
        <v>295</v>
      </c>
      <c r="B115" s="120" t="s">
        <v>296</v>
      </c>
      <c r="C115" s="127"/>
      <c r="E115" s="128"/>
    </row>
    <row r="116" spans="1:11" x14ac:dyDescent="0.2">
      <c r="A116" s="119" t="s">
        <v>297</v>
      </c>
      <c r="B116" s="120" t="s">
        <v>298</v>
      </c>
      <c r="C116" s="127"/>
      <c r="E116" s="128"/>
    </row>
    <row r="117" spans="1:11" x14ac:dyDescent="0.2">
      <c r="A117" s="124" t="s">
        <v>299</v>
      </c>
      <c r="B117" s="120" t="s">
        <v>300</v>
      </c>
      <c r="C117" s="127"/>
      <c r="E117" s="128"/>
    </row>
    <row r="118" spans="1:11" x14ac:dyDescent="0.2">
      <c r="A118" s="124" t="s">
        <v>301</v>
      </c>
      <c r="B118" s="120" t="s">
        <v>302</v>
      </c>
      <c r="C118" s="127"/>
      <c r="E118" s="128"/>
    </row>
    <row r="119" spans="1:11" x14ac:dyDescent="0.2">
      <c r="A119" s="124" t="s">
        <v>303</v>
      </c>
      <c r="B119" s="120" t="s">
        <v>304</v>
      </c>
      <c r="C119" s="127"/>
      <c r="E119" s="128"/>
    </row>
    <row r="120" spans="1:11" x14ac:dyDescent="0.2">
      <c r="A120" s="124" t="s">
        <v>305</v>
      </c>
      <c r="B120" s="120" t="s">
        <v>306</v>
      </c>
      <c r="C120" s="127"/>
      <c r="E120" s="128"/>
    </row>
    <row r="121" spans="1:11" x14ac:dyDescent="0.2">
      <c r="A121" s="119" t="s">
        <v>307</v>
      </c>
      <c r="B121" s="120" t="s">
        <v>308</v>
      </c>
      <c r="C121" s="127"/>
      <c r="E121" s="128"/>
    </row>
    <row r="122" spans="1:11" x14ac:dyDescent="0.2">
      <c r="A122" s="124" t="s">
        <v>309</v>
      </c>
      <c r="B122" s="120" t="s">
        <v>310</v>
      </c>
      <c r="C122" s="127"/>
      <c r="E122" s="128"/>
    </row>
    <row r="123" spans="1:11" x14ac:dyDescent="0.2">
      <c r="A123" s="124" t="s">
        <v>311</v>
      </c>
      <c r="B123" s="120" t="s">
        <v>312</v>
      </c>
      <c r="C123" s="127"/>
      <c r="E123" s="128"/>
    </row>
    <row r="124" spans="1:11" x14ac:dyDescent="0.2">
      <c r="A124" s="124" t="s">
        <v>313</v>
      </c>
      <c r="B124" s="120" t="s">
        <v>314</v>
      </c>
      <c r="C124" s="127"/>
      <c r="E124" s="128"/>
    </row>
    <row r="125" spans="1:11" x14ac:dyDescent="0.2">
      <c r="A125" s="124" t="s">
        <v>315</v>
      </c>
      <c r="B125" s="120" t="s">
        <v>316</v>
      </c>
      <c r="C125" s="127"/>
      <c r="E125" s="128"/>
    </row>
    <row r="126" spans="1:11" x14ac:dyDescent="0.2">
      <c r="A126" s="124" t="s">
        <v>317</v>
      </c>
      <c r="B126" s="120" t="s">
        <v>318</v>
      </c>
      <c r="C126" s="127"/>
      <c r="E126" s="121" t="s">
        <v>319</v>
      </c>
      <c r="G126" s="121"/>
      <c r="H126" s="121"/>
      <c r="I126" s="121"/>
      <c r="J126" s="121"/>
      <c r="K126" s="121"/>
    </row>
    <row r="127" spans="1:11" x14ac:dyDescent="0.2">
      <c r="A127" s="124"/>
      <c r="B127" s="126" t="s">
        <v>320</v>
      </c>
      <c r="C127" s="128"/>
      <c r="D127" s="128"/>
      <c r="E127" s="121" t="s">
        <v>321</v>
      </c>
      <c r="F127" s="121" t="s">
        <v>322</v>
      </c>
      <c r="G127" s="121" t="s">
        <v>113</v>
      </c>
      <c r="H127" s="121"/>
      <c r="I127" s="121"/>
      <c r="J127" s="121"/>
      <c r="K127" s="121"/>
    </row>
    <row r="128" spans="1:11" x14ac:dyDescent="0.2">
      <c r="A128" s="124" t="s">
        <v>323</v>
      </c>
      <c r="B128" s="120" t="s">
        <v>324</v>
      </c>
      <c r="E128" s="121" t="s">
        <v>325</v>
      </c>
      <c r="F128" s="121" t="s">
        <v>326</v>
      </c>
      <c r="G128" s="132">
        <v>-2083333</v>
      </c>
      <c r="H128" s="121"/>
      <c r="I128" s="121"/>
      <c r="J128" s="121"/>
      <c r="K128" s="121"/>
    </row>
    <row r="129" spans="1:11" x14ac:dyDescent="0.2">
      <c r="A129" s="124" t="s">
        <v>327</v>
      </c>
      <c r="B129" s="120" t="s">
        <v>328</v>
      </c>
      <c r="E129" s="121" t="s">
        <v>329</v>
      </c>
      <c r="G129" s="132">
        <v>-2083333</v>
      </c>
      <c r="H129" s="121"/>
      <c r="I129" s="121"/>
      <c r="J129" s="121"/>
      <c r="K129" s="121"/>
    </row>
    <row r="130" spans="1:11" x14ac:dyDescent="0.2">
      <c r="A130" s="119">
        <v>5110358000</v>
      </c>
      <c r="B130" s="120" t="s">
        <v>330</v>
      </c>
      <c r="G130" s="121"/>
      <c r="H130" s="121"/>
      <c r="I130" s="121"/>
      <c r="J130" s="121"/>
      <c r="K130" s="121"/>
    </row>
    <row r="131" spans="1:11" x14ac:dyDescent="0.2">
      <c r="A131" s="124"/>
      <c r="B131" s="126" t="s">
        <v>331</v>
      </c>
      <c r="G131" s="121"/>
      <c r="H131" s="121"/>
      <c r="I131" s="121"/>
      <c r="J131" s="121"/>
      <c r="K131" s="121"/>
    </row>
    <row r="132" spans="1:11" x14ac:dyDescent="0.2">
      <c r="A132" s="124" t="s">
        <v>332</v>
      </c>
      <c r="B132" s="120" t="s">
        <v>333</v>
      </c>
      <c r="G132" s="121"/>
      <c r="H132" s="121"/>
      <c r="I132" s="121"/>
      <c r="J132" s="121"/>
      <c r="K132" s="121"/>
    </row>
    <row r="133" spans="1:11" x14ac:dyDescent="0.2">
      <c r="A133" s="124" t="s">
        <v>334</v>
      </c>
      <c r="B133" s="120" t="s">
        <v>335</v>
      </c>
      <c r="G133" s="121"/>
      <c r="H133" s="121"/>
      <c r="I133" s="121"/>
      <c r="J133" s="121"/>
      <c r="K133" s="121"/>
    </row>
    <row r="134" spans="1:11" x14ac:dyDescent="0.2">
      <c r="A134" s="124" t="s">
        <v>336</v>
      </c>
      <c r="B134" s="120" t="s">
        <v>337</v>
      </c>
      <c r="G134" s="121"/>
      <c r="H134" s="121"/>
      <c r="I134" s="121"/>
      <c r="J134" s="121"/>
      <c r="K134" s="121"/>
    </row>
    <row r="135" spans="1:11" x14ac:dyDescent="0.2">
      <c r="A135" s="124" t="s">
        <v>338</v>
      </c>
      <c r="B135" s="120" t="s">
        <v>339</v>
      </c>
      <c r="G135" s="121"/>
      <c r="H135" s="121"/>
      <c r="I135" s="121"/>
      <c r="J135" s="121"/>
      <c r="K135" s="121"/>
    </row>
    <row r="136" spans="1:11" x14ac:dyDescent="0.2">
      <c r="G136" s="121"/>
      <c r="H136" s="121"/>
      <c r="I136" s="121"/>
      <c r="J136" s="121"/>
      <c r="K136" s="121"/>
    </row>
    <row r="137" spans="1:11" x14ac:dyDescent="0.2">
      <c r="A137" s="124"/>
      <c r="B137" s="126" t="s">
        <v>340</v>
      </c>
      <c r="G137" s="121"/>
      <c r="H137" s="121"/>
      <c r="I137" s="121"/>
      <c r="J137" s="121"/>
      <c r="K137" s="121"/>
    </row>
    <row r="138" spans="1:11" x14ac:dyDescent="0.2">
      <c r="A138" s="124" t="s">
        <v>341</v>
      </c>
      <c r="B138" s="120" t="s">
        <v>342</v>
      </c>
      <c r="G138" s="121"/>
      <c r="H138" s="121"/>
      <c r="I138" s="121"/>
      <c r="J138" s="121"/>
      <c r="K138" s="121"/>
    </row>
    <row r="139" spans="1:11" x14ac:dyDescent="0.2">
      <c r="A139" s="124" t="s">
        <v>343</v>
      </c>
      <c r="B139" s="120" t="s">
        <v>344</v>
      </c>
      <c r="G139" s="121"/>
      <c r="H139" s="121"/>
      <c r="I139" s="121"/>
      <c r="J139" s="121"/>
      <c r="K139" s="121"/>
    </row>
    <row r="140" spans="1:11" x14ac:dyDescent="0.2">
      <c r="A140" s="124" t="s">
        <v>345</v>
      </c>
      <c r="B140" s="120" t="s">
        <v>346</v>
      </c>
      <c r="G140" s="121"/>
      <c r="H140" s="121"/>
      <c r="I140" s="121"/>
      <c r="J140" s="121"/>
      <c r="K140" s="121"/>
    </row>
    <row r="141" spans="1:11" x14ac:dyDescent="0.2">
      <c r="A141" s="133" t="s">
        <v>347</v>
      </c>
      <c r="B141" s="120" t="s">
        <v>348</v>
      </c>
      <c r="G141" s="121"/>
    </row>
    <row r="142" spans="1:11" x14ac:dyDescent="0.2">
      <c r="A142" s="133"/>
      <c r="B142" s="126" t="s">
        <v>349</v>
      </c>
      <c r="G142" s="121"/>
    </row>
    <row r="143" spans="1:11" x14ac:dyDescent="0.2">
      <c r="A143" s="124" t="s">
        <v>350</v>
      </c>
      <c r="B143" s="120" t="s">
        <v>351</v>
      </c>
      <c r="G143" s="121"/>
    </row>
    <row r="144" spans="1:11" x14ac:dyDescent="0.2">
      <c r="A144" s="124"/>
      <c r="B144" s="126" t="s">
        <v>352</v>
      </c>
      <c r="G144" s="121"/>
    </row>
    <row r="145" spans="1:7" x14ac:dyDescent="0.2">
      <c r="A145" s="124"/>
      <c r="B145" s="126" t="s">
        <v>353</v>
      </c>
      <c r="G145" s="121"/>
    </row>
    <row r="146" spans="1:7" x14ac:dyDescent="0.2">
      <c r="A146" s="124"/>
      <c r="B146" s="126" t="s">
        <v>354</v>
      </c>
      <c r="G146" s="121"/>
    </row>
    <row r="147" spans="1:7" x14ac:dyDescent="0.2">
      <c r="A147" s="124" t="s">
        <v>355</v>
      </c>
      <c r="B147" s="120" t="s">
        <v>356</v>
      </c>
      <c r="G147" s="121"/>
    </row>
    <row r="148" spans="1:7" x14ac:dyDescent="0.2">
      <c r="G148" s="121"/>
    </row>
    <row r="149" spans="1:7" x14ac:dyDescent="0.2">
      <c r="G149" s="121"/>
    </row>
    <row r="150" spans="1:7" x14ac:dyDescent="0.2">
      <c r="B150" s="121" t="s">
        <v>357</v>
      </c>
    </row>
    <row r="151" spans="1:7" x14ac:dyDescent="0.2">
      <c r="A151" s="124" t="s">
        <v>167</v>
      </c>
      <c r="B151" s="120" t="s">
        <v>168</v>
      </c>
    </row>
    <row r="152" spans="1:7" x14ac:dyDescent="0.2">
      <c r="A152" s="121" t="s">
        <v>169</v>
      </c>
      <c r="B152" s="120" t="s">
        <v>170</v>
      </c>
    </row>
    <row r="153" spans="1:7" x14ac:dyDescent="0.2">
      <c r="A153" s="124" t="s">
        <v>193</v>
      </c>
      <c r="B153" s="120" t="s">
        <v>194</v>
      </c>
    </row>
    <row r="154" spans="1:7" x14ac:dyDescent="0.2">
      <c r="A154" s="121" t="s">
        <v>195</v>
      </c>
      <c r="B154" s="120" t="s">
        <v>196</v>
      </c>
    </row>
    <row r="155" spans="1:7" x14ac:dyDescent="0.2">
      <c r="A155" s="124" t="s">
        <v>248</v>
      </c>
      <c r="B155" s="120" t="s">
        <v>249</v>
      </c>
    </row>
    <row r="156" spans="1:7" x14ac:dyDescent="0.2">
      <c r="A156" s="119">
        <v>5105180100</v>
      </c>
      <c r="B156" s="120" t="s">
        <v>250</v>
      </c>
    </row>
    <row r="157" spans="1:7" x14ac:dyDescent="0.2">
      <c r="A157" s="121" t="s">
        <v>251</v>
      </c>
      <c r="B157" s="120" t="s">
        <v>252</v>
      </c>
    </row>
    <row r="158" spans="1:7" x14ac:dyDescent="0.2">
      <c r="A158" s="119">
        <v>5105180000</v>
      </c>
      <c r="B158" s="120" t="s">
        <v>259</v>
      </c>
    </row>
    <row r="159" spans="1:7" x14ac:dyDescent="0.2">
      <c r="A159" s="124" t="s">
        <v>260</v>
      </c>
      <c r="B159" s="120" t="s">
        <v>261</v>
      </c>
    </row>
    <row r="160" spans="1:7" x14ac:dyDescent="0.2">
      <c r="A160" s="124" t="s">
        <v>262</v>
      </c>
      <c r="B160" s="120" t="s">
        <v>263</v>
      </c>
    </row>
    <row r="161" spans="1:5" x14ac:dyDescent="0.2">
      <c r="A161" s="124" t="s">
        <v>264</v>
      </c>
      <c r="B161" s="120" t="s">
        <v>265</v>
      </c>
    </row>
    <row r="164" spans="1:5" x14ac:dyDescent="0.2">
      <c r="B164" s="121" t="s">
        <v>358</v>
      </c>
    </row>
    <row r="165" spans="1:5" x14ac:dyDescent="0.2">
      <c r="A165" s="121" t="s">
        <v>175</v>
      </c>
      <c r="B165" s="121" t="s">
        <v>176</v>
      </c>
    </row>
    <row r="166" spans="1:5" x14ac:dyDescent="0.2">
      <c r="A166" s="121" t="s">
        <v>254</v>
      </c>
      <c r="B166" s="121" t="s">
        <v>255</v>
      </c>
    </row>
    <row r="167" spans="1:5" x14ac:dyDescent="0.2">
      <c r="A167" s="121" t="s">
        <v>256</v>
      </c>
      <c r="B167" s="121" t="s">
        <v>257</v>
      </c>
    </row>
    <row r="173" spans="1:5" x14ac:dyDescent="0.2">
      <c r="A173" s="134" t="s">
        <v>359</v>
      </c>
    </row>
    <row r="174" spans="1:5" x14ac:dyDescent="0.2">
      <c r="A174" s="122" t="s">
        <v>360</v>
      </c>
      <c r="E174" s="121" t="s">
        <v>361</v>
      </c>
    </row>
    <row r="175" spans="1:5" x14ac:dyDescent="0.2">
      <c r="A175" s="121" t="s">
        <v>362</v>
      </c>
      <c r="B175" s="121" t="s">
        <v>363</v>
      </c>
    </row>
    <row r="176" spans="1:5" x14ac:dyDescent="0.2">
      <c r="A176" s="121">
        <v>4155950000</v>
      </c>
      <c r="B176" s="121" t="s">
        <v>364</v>
      </c>
    </row>
    <row r="177" spans="1:5" x14ac:dyDescent="0.2">
      <c r="A177" s="121">
        <v>4155950100</v>
      </c>
      <c r="B177" s="121" t="s">
        <v>365</v>
      </c>
    </row>
    <row r="178" spans="1:5" x14ac:dyDescent="0.2">
      <c r="A178" s="121">
        <v>4155951500</v>
      </c>
      <c r="B178" s="121" t="s">
        <v>366</v>
      </c>
    </row>
    <row r="179" spans="1:5" x14ac:dyDescent="0.2">
      <c r="A179" s="121">
        <v>4135950900</v>
      </c>
      <c r="B179" s="121" t="s">
        <v>367</v>
      </c>
    </row>
    <row r="180" spans="1:5" x14ac:dyDescent="0.2">
      <c r="A180" s="121">
        <v>4135950000</v>
      </c>
      <c r="B180" s="121" t="s">
        <v>368</v>
      </c>
      <c r="E180" s="121">
        <v>4135950000</v>
      </c>
    </row>
    <row r="181" spans="1:5" x14ac:dyDescent="0.2">
      <c r="A181" s="121">
        <v>4155950500</v>
      </c>
      <c r="B181" s="121" t="s">
        <v>368</v>
      </c>
    </row>
    <row r="182" spans="1:5" x14ac:dyDescent="0.2">
      <c r="A182" s="121">
        <v>4170250300</v>
      </c>
      <c r="B182" s="121" t="s">
        <v>368</v>
      </c>
    </row>
    <row r="183" spans="1:5" x14ac:dyDescent="0.2">
      <c r="A183" s="121" t="s">
        <v>369</v>
      </c>
      <c r="B183" s="121" t="s">
        <v>370</v>
      </c>
    </row>
    <row r="184" spans="1:5" x14ac:dyDescent="0.2">
      <c r="A184" s="121">
        <v>6135950000</v>
      </c>
      <c r="B184" s="121" t="s">
        <v>371</v>
      </c>
    </row>
    <row r="186" spans="1:5" x14ac:dyDescent="0.2">
      <c r="B186" s="121" t="s">
        <v>372</v>
      </c>
    </row>
    <row r="187" spans="1:5" x14ac:dyDescent="0.2">
      <c r="A187" s="121">
        <v>5205180100</v>
      </c>
      <c r="B187" s="121" t="s">
        <v>373</v>
      </c>
      <c r="C187" s="121" t="s">
        <v>374</v>
      </c>
    </row>
    <row r="188" spans="1:5" x14ac:dyDescent="0.2">
      <c r="A188" s="121">
        <v>5205361000</v>
      </c>
      <c r="B188" s="121" t="s">
        <v>375</v>
      </c>
      <c r="C188" s="121" t="s">
        <v>376</v>
      </c>
      <c r="D188" s="121" t="s">
        <v>113</v>
      </c>
    </row>
    <row r="189" spans="1:5" x14ac:dyDescent="0.2">
      <c r="A189" s="121">
        <v>5205391000</v>
      </c>
      <c r="B189" s="121" t="s">
        <v>375</v>
      </c>
      <c r="C189" s="121" t="s">
        <v>377</v>
      </c>
      <c r="D189" s="121">
        <v>4638.9799999999996</v>
      </c>
    </row>
    <row r="190" spans="1:5" x14ac:dyDescent="0.2">
      <c r="A190" s="121">
        <v>5205422000</v>
      </c>
      <c r="B190" s="121" t="s">
        <v>375</v>
      </c>
      <c r="C190" s="121" t="s">
        <v>378</v>
      </c>
      <c r="D190" s="121">
        <v>1230.26</v>
      </c>
    </row>
    <row r="191" spans="1:5" x14ac:dyDescent="0.2">
      <c r="A191" s="121">
        <v>5205691000</v>
      </c>
      <c r="B191" s="121" t="s">
        <v>375</v>
      </c>
      <c r="C191" s="121" t="s">
        <v>379</v>
      </c>
      <c r="D191" s="121">
        <v>307.56</v>
      </c>
    </row>
    <row r="192" spans="1:5" x14ac:dyDescent="0.2">
      <c r="A192" s="121">
        <v>5205701000</v>
      </c>
      <c r="B192" s="121" t="s">
        <v>375</v>
      </c>
      <c r="C192" s="121" t="s">
        <v>380</v>
      </c>
      <c r="D192" s="121">
        <v>896.8</v>
      </c>
    </row>
    <row r="193" spans="1:4" x14ac:dyDescent="0.2">
      <c r="A193" s="121">
        <v>5160200000</v>
      </c>
      <c r="B193" s="121" t="s">
        <v>381</v>
      </c>
      <c r="C193" s="121" t="s">
        <v>382</v>
      </c>
      <c r="D193" s="121">
        <v>604.20000000000005</v>
      </c>
    </row>
    <row r="194" spans="1:4" x14ac:dyDescent="0.2">
      <c r="A194" s="121">
        <v>5260100000</v>
      </c>
      <c r="B194" s="121" t="s">
        <v>381</v>
      </c>
      <c r="C194" s="121" t="s">
        <v>383</v>
      </c>
      <c r="D194" s="121">
        <v>27.16</v>
      </c>
    </row>
    <row r="195" spans="1:4" x14ac:dyDescent="0.2">
      <c r="A195" s="121">
        <v>5260200000</v>
      </c>
      <c r="B195" s="121" t="s">
        <v>381</v>
      </c>
      <c r="C195" s="121" t="s">
        <v>329</v>
      </c>
      <c r="D195" s="121">
        <v>7704.96</v>
      </c>
    </row>
    <row r="196" spans="1:4" x14ac:dyDescent="0.2">
      <c r="A196" s="121">
        <v>5260150000</v>
      </c>
      <c r="B196" s="121" t="s">
        <v>381</v>
      </c>
    </row>
    <row r="197" spans="1:4" x14ac:dyDescent="0.2">
      <c r="A197" s="121">
        <v>5260350000</v>
      </c>
      <c r="B197" s="121" t="s">
        <v>381</v>
      </c>
    </row>
    <row r="198" spans="1:4" x14ac:dyDescent="0.2">
      <c r="A198" s="121">
        <v>5160150000</v>
      </c>
      <c r="B198" s="121" t="s">
        <v>384</v>
      </c>
    </row>
    <row r="199" spans="1:4" x14ac:dyDescent="0.2">
      <c r="A199" s="121">
        <v>5145150100</v>
      </c>
      <c r="B199" s="121" t="s">
        <v>385</v>
      </c>
    </row>
    <row r="200" spans="1:4" x14ac:dyDescent="0.2">
      <c r="A200" s="121">
        <v>5235300000</v>
      </c>
      <c r="B200" s="121" t="s">
        <v>385</v>
      </c>
    </row>
    <row r="201" spans="1:4" x14ac:dyDescent="0.2">
      <c r="A201" s="121">
        <v>5245100000</v>
      </c>
      <c r="B201" s="121" t="s">
        <v>385</v>
      </c>
    </row>
    <row r="202" spans="1:4" x14ac:dyDescent="0.2">
      <c r="A202" s="121">
        <v>5245150000</v>
      </c>
      <c r="B202" s="121" t="s">
        <v>385</v>
      </c>
    </row>
    <row r="203" spans="1:4" x14ac:dyDescent="0.2">
      <c r="A203" s="121">
        <v>5245150100</v>
      </c>
      <c r="B203" s="121" t="s">
        <v>385</v>
      </c>
    </row>
    <row r="204" spans="1:4" x14ac:dyDescent="0.2">
      <c r="A204" s="121">
        <v>5245200000</v>
      </c>
      <c r="B204" s="121" t="s">
        <v>385</v>
      </c>
    </row>
    <row r="205" spans="1:4" x14ac:dyDescent="0.2">
      <c r="A205" s="121">
        <v>5245250000</v>
      </c>
      <c r="B205" s="121" t="s">
        <v>385</v>
      </c>
    </row>
    <row r="206" spans="1:4" x14ac:dyDescent="0.2">
      <c r="A206" s="121">
        <v>5250050000</v>
      </c>
      <c r="B206" s="121" t="s">
        <v>385</v>
      </c>
    </row>
    <row r="207" spans="1:4" x14ac:dyDescent="0.2">
      <c r="A207" s="121">
        <v>5250100000</v>
      </c>
      <c r="B207" s="121" t="s">
        <v>385</v>
      </c>
    </row>
    <row r="208" spans="1:4" x14ac:dyDescent="0.2">
      <c r="A208" s="121">
        <v>5250950000</v>
      </c>
      <c r="B208" s="121" t="s">
        <v>385</v>
      </c>
    </row>
    <row r="209" spans="1:2" x14ac:dyDescent="0.2">
      <c r="A209" s="121">
        <v>5295250000</v>
      </c>
      <c r="B209" s="121" t="s">
        <v>385</v>
      </c>
    </row>
    <row r="210" spans="1:2" x14ac:dyDescent="0.2">
      <c r="A210" s="121">
        <v>5295950300</v>
      </c>
      <c r="B210" s="121" t="s">
        <v>385</v>
      </c>
    </row>
    <row r="211" spans="1:2" x14ac:dyDescent="0.2">
      <c r="A211" s="121">
        <v>5235050000</v>
      </c>
      <c r="B211" s="121" t="s">
        <v>386</v>
      </c>
    </row>
    <row r="212" spans="1:2" x14ac:dyDescent="0.2">
      <c r="A212" s="121">
        <v>5235200000</v>
      </c>
      <c r="B212" s="121" t="s">
        <v>386</v>
      </c>
    </row>
    <row r="213" spans="1:2" x14ac:dyDescent="0.2">
      <c r="A213" s="121">
        <v>5235950100</v>
      </c>
      <c r="B213" s="121" t="s">
        <v>386</v>
      </c>
    </row>
    <row r="214" spans="1:2" x14ac:dyDescent="0.2">
      <c r="A214" s="121">
        <v>5235950400</v>
      </c>
      <c r="B214" s="121" t="s">
        <v>386</v>
      </c>
    </row>
    <row r="215" spans="1:2" x14ac:dyDescent="0.2">
      <c r="A215" s="121">
        <v>5235950500</v>
      </c>
      <c r="B215" s="121" t="s">
        <v>386</v>
      </c>
    </row>
    <row r="216" spans="1:2" x14ac:dyDescent="0.2">
      <c r="A216" s="121">
        <v>5235950600</v>
      </c>
      <c r="B216" s="121" t="s">
        <v>386</v>
      </c>
    </row>
    <row r="217" spans="1:2" x14ac:dyDescent="0.2">
      <c r="A217" s="121">
        <v>5235950600</v>
      </c>
      <c r="B217" s="121" t="s">
        <v>386</v>
      </c>
    </row>
    <row r="218" spans="1:2" x14ac:dyDescent="0.2">
      <c r="A218" s="121">
        <v>5235950600</v>
      </c>
      <c r="B218" s="121" t="s">
        <v>386</v>
      </c>
    </row>
    <row r="219" spans="1:2" x14ac:dyDescent="0.2">
      <c r="A219" s="121">
        <v>5295950500</v>
      </c>
      <c r="B219" s="121" t="s">
        <v>386</v>
      </c>
    </row>
    <row r="220" spans="1:2" x14ac:dyDescent="0.2">
      <c r="A220" s="121">
        <v>5295950100</v>
      </c>
      <c r="B220" s="121" t="s">
        <v>387</v>
      </c>
    </row>
    <row r="221" spans="1:2" x14ac:dyDescent="0.2">
      <c r="A221" s="121">
        <v>5299100000</v>
      </c>
      <c r="B221" s="121" t="s">
        <v>388</v>
      </c>
    </row>
    <row r="222" spans="1:2" x14ac:dyDescent="0.2">
      <c r="A222" s="121">
        <v>5160100000</v>
      </c>
      <c r="B222" s="121" t="s">
        <v>389</v>
      </c>
    </row>
    <row r="223" spans="1:2" x14ac:dyDescent="0.2">
      <c r="B223" s="121" t="s">
        <v>390</v>
      </c>
    </row>
    <row r="224" spans="1:2" x14ac:dyDescent="0.2">
      <c r="A224" s="121">
        <v>5205630100</v>
      </c>
      <c r="B224" s="121" t="s">
        <v>391</v>
      </c>
    </row>
    <row r="225" spans="1:2" x14ac:dyDescent="0.2">
      <c r="A225" s="121">
        <v>5205630200</v>
      </c>
      <c r="B225" s="121" t="s">
        <v>391</v>
      </c>
    </row>
    <row r="226" spans="1:2" x14ac:dyDescent="0.2">
      <c r="A226" s="121">
        <v>5205060100</v>
      </c>
      <c r="B226" s="121" t="s">
        <v>392</v>
      </c>
    </row>
    <row r="227" spans="1:2" x14ac:dyDescent="0.2">
      <c r="A227" s="121">
        <v>5205150100</v>
      </c>
      <c r="B227" s="121" t="s">
        <v>392</v>
      </c>
    </row>
    <row r="228" spans="1:2" x14ac:dyDescent="0.2">
      <c r="A228" s="121">
        <v>5205360100</v>
      </c>
      <c r="B228" s="121" t="s">
        <v>393</v>
      </c>
    </row>
    <row r="229" spans="1:2" x14ac:dyDescent="0.2">
      <c r="A229" s="121">
        <v>5205390100</v>
      </c>
      <c r="B229" s="121" t="s">
        <v>393</v>
      </c>
    </row>
    <row r="230" spans="1:2" x14ac:dyDescent="0.2">
      <c r="A230" s="121">
        <v>5205600100</v>
      </c>
      <c r="B230" s="121" t="s">
        <v>393</v>
      </c>
    </row>
    <row r="231" spans="1:2" x14ac:dyDescent="0.2">
      <c r="A231" s="121">
        <v>5205690100</v>
      </c>
      <c r="B231" s="121" t="s">
        <v>393</v>
      </c>
    </row>
    <row r="232" spans="1:2" x14ac:dyDescent="0.2">
      <c r="A232" s="121">
        <v>5205700100</v>
      </c>
      <c r="B232" s="121" t="s">
        <v>393</v>
      </c>
    </row>
    <row r="233" spans="1:2" x14ac:dyDescent="0.2">
      <c r="A233" s="121">
        <v>5205700100</v>
      </c>
      <c r="B233" s="121" t="s">
        <v>393</v>
      </c>
    </row>
    <row r="234" spans="1:2" x14ac:dyDescent="0.2">
      <c r="A234" s="121">
        <v>5205700200</v>
      </c>
      <c r="B234" s="121" t="s">
        <v>393</v>
      </c>
    </row>
    <row r="235" spans="1:2" x14ac:dyDescent="0.2">
      <c r="A235" s="121">
        <v>5205780100</v>
      </c>
      <c r="B235" s="121" t="s">
        <v>393</v>
      </c>
    </row>
    <row r="236" spans="1:2" x14ac:dyDescent="0.2">
      <c r="A236" s="121">
        <v>5205660100</v>
      </c>
      <c r="B236" s="121" t="s">
        <v>394</v>
      </c>
    </row>
    <row r="237" spans="1:2" x14ac:dyDescent="0.2">
      <c r="A237" s="121">
        <v>5210250000</v>
      </c>
      <c r="B237" s="121" t="s">
        <v>395</v>
      </c>
    </row>
    <row r="238" spans="1:2" x14ac:dyDescent="0.2">
      <c r="A238" s="121">
        <v>5210350000</v>
      </c>
      <c r="B238" s="121" t="s">
        <v>395</v>
      </c>
    </row>
    <row r="239" spans="1:2" x14ac:dyDescent="0.2">
      <c r="A239" s="121">
        <v>5210950000</v>
      </c>
      <c r="B239" s="121" t="s">
        <v>395</v>
      </c>
    </row>
    <row r="240" spans="1:2" x14ac:dyDescent="0.2">
      <c r="A240" s="121">
        <v>5115950000</v>
      </c>
      <c r="B240" s="121" t="s">
        <v>396</v>
      </c>
    </row>
    <row r="241" spans="1:2" x14ac:dyDescent="0.2">
      <c r="A241" s="121">
        <v>5215100000</v>
      </c>
      <c r="B241" s="121" t="s">
        <v>396</v>
      </c>
    </row>
    <row r="242" spans="1:2" x14ac:dyDescent="0.2">
      <c r="A242" s="121">
        <v>5215950000</v>
      </c>
      <c r="B242" s="121" t="s">
        <v>396</v>
      </c>
    </row>
    <row r="243" spans="1:2" x14ac:dyDescent="0.2">
      <c r="A243" s="121">
        <v>5240100000</v>
      </c>
      <c r="B243" s="121" t="s">
        <v>396</v>
      </c>
    </row>
    <row r="244" spans="1:2" x14ac:dyDescent="0.2">
      <c r="A244" s="121">
        <v>5240150000</v>
      </c>
      <c r="B244" s="121" t="s">
        <v>396</v>
      </c>
    </row>
    <row r="245" spans="1:2" x14ac:dyDescent="0.2">
      <c r="A245" s="121">
        <v>5245400000</v>
      </c>
      <c r="B245" s="121" t="s">
        <v>397</v>
      </c>
    </row>
    <row r="246" spans="1:2" x14ac:dyDescent="0.2">
      <c r="A246" s="121">
        <v>5295350000</v>
      </c>
      <c r="B246" s="121" t="s">
        <v>397</v>
      </c>
    </row>
    <row r="247" spans="1:2" x14ac:dyDescent="0.2">
      <c r="A247" s="121">
        <v>5295100000</v>
      </c>
      <c r="B247" s="121" t="s">
        <v>398</v>
      </c>
    </row>
    <row r="248" spans="1:2" x14ac:dyDescent="0.2">
      <c r="A248" s="121">
        <v>5295300000</v>
      </c>
      <c r="B248" s="121" t="s">
        <v>398</v>
      </c>
    </row>
    <row r="249" spans="1:2" x14ac:dyDescent="0.2">
      <c r="A249" s="121">
        <v>5235600000</v>
      </c>
      <c r="B249" s="121" t="s">
        <v>399</v>
      </c>
    </row>
    <row r="250" spans="1:2" x14ac:dyDescent="0.2">
      <c r="A250" s="121">
        <v>5235350000</v>
      </c>
      <c r="B250" s="121" t="s">
        <v>400</v>
      </c>
    </row>
    <row r="251" spans="1:2" x14ac:dyDescent="0.2">
      <c r="A251" s="121">
        <v>5235400100</v>
      </c>
      <c r="B251" s="121" t="s">
        <v>400</v>
      </c>
    </row>
    <row r="252" spans="1:2" x14ac:dyDescent="0.2">
      <c r="A252" s="121">
        <v>5235400200</v>
      </c>
      <c r="B252" s="121" t="s">
        <v>400</v>
      </c>
    </row>
    <row r="253" spans="1:2" x14ac:dyDescent="0.2">
      <c r="A253" s="121">
        <v>5235450000</v>
      </c>
      <c r="B253" s="121" t="s">
        <v>400</v>
      </c>
    </row>
    <row r="254" spans="1:2" x14ac:dyDescent="0.2">
      <c r="A254" s="121">
        <v>5230250000</v>
      </c>
      <c r="B254" s="121" t="s">
        <v>401</v>
      </c>
    </row>
    <row r="255" spans="1:2" x14ac:dyDescent="0.2">
      <c r="A255" s="121">
        <v>5230950000</v>
      </c>
      <c r="B255" s="121" t="s">
        <v>401</v>
      </c>
    </row>
    <row r="256" spans="1:2" x14ac:dyDescent="0.2">
      <c r="A256" s="121">
        <v>5295700000</v>
      </c>
      <c r="B256" s="121" t="s">
        <v>401</v>
      </c>
    </row>
    <row r="257" spans="1:2" x14ac:dyDescent="0.2">
      <c r="A257" s="121">
        <v>5225100000</v>
      </c>
      <c r="B257" s="121" t="s">
        <v>402</v>
      </c>
    </row>
    <row r="258" spans="1:2" x14ac:dyDescent="0.2">
      <c r="A258" s="121">
        <v>5205480100</v>
      </c>
      <c r="B258" s="121" t="s">
        <v>403</v>
      </c>
    </row>
    <row r="259" spans="1:2" x14ac:dyDescent="0.2">
      <c r="A259" s="121">
        <v>5205480200</v>
      </c>
      <c r="B259" s="121" t="s">
        <v>403</v>
      </c>
    </row>
    <row r="260" spans="1:2" x14ac:dyDescent="0.2">
      <c r="A260" s="121">
        <v>5205481000</v>
      </c>
      <c r="B260" s="121" t="s">
        <v>403</v>
      </c>
    </row>
    <row r="261" spans="1:2" x14ac:dyDescent="0.2">
      <c r="A261" s="121">
        <v>5205481100</v>
      </c>
      <c r="B261" s="121" t="s">
        <v>403</v>
      </c>
    </row>
    <row r="262" spans="1:2" x14ac:dyDescent="0.2">
      <c r="A262" s="121">
        <v>5205210100</v>
      </c>
      <c r="B262" s="121" t="s">
        <v>404</v>
      </c>
    </row>
    <row r="263" spans="1:2" x14ac:dyDescent="0.2">
      <c r="A263" s="121">
        <v>5205210200</v>
      </c>
      <c r="B263" s="121" t="s">
        <v>404</v>
      </c>
    </row>
    <row r="264" spans="1:2" x14ac:dyDescent="0.2">
      <c r="A264" s="121">
        <v>5255050100</v>
      </c>
      <c r="B264" s="121" t="s">
        <v>404</v>
      </c>
    </row>
    <row r="265" spans="1:2" x14ac:dyDescent="0.2">
      <c r="A265" s="121">
        <v>5255060100</v>
      </c>
      <c r="B265" s="121" t="s">
        <v>404</v>
      </c>
    </row>
    <row r="266" spans="1:2" x14ac:dyDescent="0.2">
      <c r="A266" s="121">
        <v>5255150100</v>
      </c>
      <c r="B266" s="121" t="s">
        <v>404</v>
      </c>
    </row>
    <row r="267" spans="1:2" x14ac:dyDescent="0.2">
      <c r="A267" s="121">
        <v>5255200100</v>
      </c>
      <c r="B267" s="121" t="s">
        <v>404</v>
      </c>
    </row>
    <row r="268" spans="1:2" x14ac:dyDescent="0.2">
      <c r="A268" s="121">
        <v>5255200200</v>
      </c>
      <c r="B268" s="121" t="s">
        <v>404</v>
      </c>
    </row>
    <row r="269" spans="1:2" x14ac:dyDescent="0.2">
      <c r="A269" s="121">
        <v>5255950100</v>
      </c>
      <c r="B269" s="121" t="s">
        <v>404</v>
      </c>
    </row>
    <row r="270" spans="1:2" x14ac:dyDescent="0.2">
      <c r="A270" s="121">
        <v>5240050000</v>
      </c>
      <c r="B270" s="121" t="s">
        <v>405</v>
      </c>
    </row>
    <row r="271" spans="1:2" x14ac:dyDescent="0.2">
      <c r="A271" s="121">
        <v>5240200400</v>
      </c>
      <c r="B271" s="121" t="s">
        <v>405</v>
      </c>
    </row>
    <row r="272" spans="1:2" x14ac:dyDescent="0.2">
      <c r="A272" s="121">
        <v>5220050000</v>
      </c>
      <c r="B272" s="121" t="s">
        <v>406</v>
      </c>
    </row>
    <row r="273" spans="1:2" x14ac:dyDescent="0.2">
      <c r="A273" s="121">
        <v>5220100000</v>
      </c>
      <c r="B273" s="121" t="s">
        <v>406</v>
      </c>
    </row>
    <row r="274" spans="1:2" x14ac:dyDescent="0.2">
      <c r="A274" s="121">
        <v>5220100100</v>
      </c>
      <c r="B274" s="121" t="s">
        <v>406</v>
      </c>
    </row>
    <row r="275" spans="1:2" x14ac:dyDescent="0.2">
      <c r="A275" s="121">
        <v>5220950000</v>
      </c>
      <c r="B275" s="121" t="s">
        <v>406</v>
      </c>
    </row>
    <row r="278" spans="1:2" x14ac:dyDescent="0.2">
      <c r="B278" s="121" t="s">
        <v>407</v>
      </c>
    </row>
    <row r="279" spans="1:2" x14ac:dyDescent="0.2">
      <c r="A279" s="121">
        <v>5105060000</v>
      </c>
      <c r="B279" s="121" t="s">
        <v>408</v>
      </c>
    </row>
    <row r="280" spans="1:2" x14ac:dyDescent="0.2">
      <c r="A280" s="121">
        <v>5105150000</v>
      </c>
      <c r="B280" s="121" t="s">
        <v>408</v>
      </c>
    </row>
    <row r="281" spans="1:2" x14ac:dyDescent="0.2">
      <c r="A281" s="121">
        <v>5105360000</v>
      </c>
      <c r="B281" s="121" t="s">
        <v>409</v>
      </c>
    </row>
    <row r="282" spans="1:2" x14ac:dyDescent="0.2">
      <c r="A282" s="121">
        <v>5105390000</v>
      </c>
      <c r="B282" s="121" t="s">
        <v>409</v>
      </c>
    </row>
    <row r="283" spans="1:2" x14ac:dyDescent="0.2">
      <c r="A283" s="121">
        <v>5105600000</v>
      </c>
      <c r="B283" s="121" t="s">
        <v>409</v>
      </c>
    </row>
    <row r="284" spans="1:2" x14ac:dyDescent="0.2">
      <c r="A284" s="121">
        <v>5105690000</v>
      </c>
      <c r="B284" s="121" t="s">
        <v>409</v>
      </c>
    </row>
    <row r="285" spans="1:2" x14ac:dyDescent="0.2">
      <c r="A285" s="121">
        <v>5105700000</v>
      </c>
      <c r="B285" s="121" t="s">
        <v>409</v>
      </c>
    </row>
    <row r="286" spans="1:2" x14ac:dyDescent="0.2">
      <c r="A286" s="121">
        <v>5105780000</v>
      </c>
      <c r="B286" s="121" t="s">
        <v>409</v>
      </c>
    </row>
    <row r="287" spans="1:2" x14ac:dyDescent="0.2">
      <c r="A287" s="121">
        <v>5105950000</v>
      </c>
      <c r="B287" s="121" t="s">
        <v>409</v>
      </c>
    </row>
    <row r="288" spans="1:2" x14ac:dyDescent="0.2">
      <c r="A288" s="121">
        <v>5105180000</v>
      </c>
      <c r="B288" s="121" t="s">
        <v>410</v>
      </c>
    </row>
    <row r="289" spans="1:2" x14ac:dyDescent="0.2">
      <c r="A289" s="121">
        <v>5105630000</v>
      </c>
      <c r="B289" s="121" t="s">
        <v>411</v>
      </c>
    </row>
    <row r="290" spans="1:2" x14ac:dyDescent="0.2">
      <c r="A290" s="121">
        <v>5105391000</v>
      </c>
      <c r="B290" s="121" t="s">
        <v>412</v>
      </c>
    </row>
    <row r="291" spans="1:2" x14ac:dyDescent="0.2">
      <c r="A291" s="121">
        <v>5105691000</v>
      </c>
      <c r="B291" s="121" t="s">
        <v>412</v>
      </c>
    </row>
    <row r="292" spans="1:2" x14ac:dyDescent="0.2">
      <c r="A292" s="121">
        <v>5105701000</v>
      </c>
      <c r="B292" s="121" t="s">
        <v>412</v>
      </c>
    </row>
    <row r="293" spans="1:2" x14ac:dyDescent="0.2">
      <c r="A293" s="121">
        <v>5135050000</v>
      </c>
      <c r="B293" s="121" t="s">
        <v>386</v>
      </c>
    </row>
    <row r="294" spans="1:2" x14ac:dyDescent="0.2">
      <c r="A294" s="121">
        <v>5135150000</v>
      </c>
      <c r="B294" s="121" t="s">
        <v>386</v>
      </c>
    </row>
    <row r="295" spans="1:2" x14ac:dyDescent="0.2">
      <c r="A295" s="121">
        <v>5135200000</v>
      </c>
      <c r="B295" s="121" t="s">
        <v>386</v>
      </c>
    </row>
    <row r="296" spans="1:2" x14ac:dyDescent="0.2">
      <c r="A296" s="121">
        <v>5135950500</v>
      </c>
      <c r="B296" s="121" t="s">
        <v>386</v>
      </c>
    </row>
    <row r="297" spans="1:2" x14ac:dyDescent="0.2">
      <c r="A297" s="121">
        <v>5120100000</v>
      </c>
      <c r="B297" s="121" t="s">
        <v>413</v>
      </c>
    </row>
    <row r="298" spans="1:2" x14ac:dyDescent="0.2">
      <c r="A298" s="121">
        <v>5105660000</v>
      </c>
      <c r="B298" s="121" t="s">
        <v>414</v>
      </c>
    </row>
    <row r="299" spans="1:2" x14ac:dyDescent="0.2">
      <c r="A299" s="121">
        <v>5155960000</v>
      </c>
      <c r="B299" s="121" t="s">
        <v>414</v>
      </c>
    </row>
    <row r="300" spans="1:2" x14ac:dyDescent="0.2">
      <c r="A300" s="121">
        <v>5195950300</v>
      </c>
      <c r="B300" s="121" t="s">
        <v>415</v>
      </c>
    </row>
    <row r="301" spans="1:2" x14ac:dyDescent="0.2">
      <c r="A301" s="121">
        <v>5110100000</v>
      </c>
      <c r="B301" s="121" t="s">
        <v>416</v>
      </c>
    </row>
    <row r="302" spans="1:2" x14ac:dyDescent="0.2">
      <c r="A302" s="121">
        <v>5110200000</v>
      </c>
      <c r="B302" s="121" t="s">
        <v>416</v>
      </c>
    </row>
    <row r="303" spans="1:2" x14ac:dyDescent="0.2">
      <c r="A303" s="121">
        <v>5110250000</v>
      </c>
      <c r="B303" s="121" t="s">
        <v>416</v>
      </c>
    </row>
    <row r="304" spans="1:2" x14ac:dyDescent="0.2">
      <c r="A304" s="121">
        <v>5110300000</v>
      </c>
      <c r="B304" s="121" t="s">
        <v>416</v>
      </c>
    </row>
    <row r="305" spans="1:2" x14ac:dyDescent="0.2">
      <c r="A305" s="121">
        <v>5110350000</v>
      </c>
      <c r="B305" s="121" t="s">
        <v>416</v>
      </c>
    </row>
    <row r="306" spans="1:2" x14ac:dyDescent="0.2">
      <c r="A306" s="121">
        <v>5110950000</v>
      </c>
      <c r="B306" s="121" t="s">
        <v>416</v>
      </c>
    </row>
    <row r="307" spans="1:2" x14ac:dyDescent="0.2">
      <c r="A307" s="121">
        <v>5130</v>
      </c>
      <c r="B307" s="121" t="s">
        <v>417</v>
      </c>
    </row>
    <row r="308" spans="1:2" x14ac:dyDescent="0.2">
      <c r="A308" s="121">
        <v>5145400000</v>
      </c>
      <c r="B308" s="121" t="s">
        <v>418</v>
      </c>
    </row>
    <row r="309" spans="1:2" x14ac:dyDescent="0.2">
      <c r="A309" s="121">
        <v>5195350000</v>
      </c>
      <c r="B309" s="121" t="s">
        <v>418</v>
      </c>
    </row>
    <row r="310" spans="1:2" x14ac:dyDescent="0.2">
      <c r="A310" s="121">
        <v>5195300000</v>
      </c>
      <c r="B310" s="121" t="s">
        <v>398</v>
      </c>
    </row>
    <row r="311" spans="1:2" x14ac:dyDescent="0.2">
      <c r="A311" s="121">
        <v>5135350000</v>
      </c>
      <c r="B311" s="121" t="s">
        <v>419</v>
      </c>
    </row>
    <row r="312" spans="1:2" x14ac:dyDescent="0.2">
      <c r="A312" s="121">
        <v>5145050000</v>
      </c>
      <c r="B312" s="121" t="s">
        <v>420</v>
      </c>
    </row>
    <row r="313" spans="1:2" x14ac:dyDescent="0.2">
      <c r="A313" s="121">
        <v>5145100000</v>
      </c>
      <c r="B313" s="121" t="s">
        <v>420</v>
      </c>
    </row>
    <row r="314" spans="1:2" x14ac:dyDescent="0.2">
      <c r="A314" s="121">
        <v>5145200000</v>
      </c>
      <c r="B314" s="121" t="s">
        <v>420</v>
      </c>
    </row>
    <row r="315" spans="1:2" x14ac:dyDescent="0.2">
      <c r="A315" s="121">
        <v>5145250000</v>
      </c>
      <c r="B315" s="121" t="s">
        <v>420</v>
      </c>
    </row>
    <row r="316" spans="1:2" x14ac:dyDescent="0.2">
      <c r="A316" s="121">
        <v>5150050000</v>
      </c>
      <c r="B316" s="121" t="s">
        <v>420</v>
      </c>
    </row>
    <row r="317" spans="1:2" x14ac:dyDescent="0.2">
      <c r="A317" s="121">
        <v>5150100000</v>
      </c>
      <c r="B317" s="121" t="s">
        <v>420</v>
      </c>
    </row>
    <row r="318" spans="1:2" x14ac:dyDescent="0.2">
      <c r="A318" s="121">
        <v>5150150000</v>
      </c>
      <c r="B318" s="121" t="s">
        <v>420</v>
      </c>
    </row>
    <row r="319" spans="1:2" x14ac:dyDescent="0.2">
      <c r="A319" s="121">
        <v>5150950000</v>
      </c>
      <c r="B319" s="121" t="s">
        <v>420</v>
      </c>
    </row>
    <row r="320" spans="1:2" x14ac:dyDescent="0.2">
      <c r="A320" s="121">
        <v>5195150000</v>
      </c>
      <c r="B320" s="121" t="s">
        <v>420</v>
      </c>
    </row>
    <row r="321" spans="1:2" x14ac:dyDescent="0.2">
      <c r="A321" s="121">
        <v>5195250000</v>
      </c>
      <c r="B321" s="121" t="s">
        <v>420</v>
      </c>
    </row>
    <row r="322" spans="1:2" x14ac:dyDescent="0.2">
      <c r="A322" s="121">
        <v>5195400000</v>
      </c>
      <c r="B322" s="121" t="s">
        <v>420</v>
      </c>
    </row>
    <row r="323" spans="1:2" x14ac:dyDescent="0.2">
      <c r="A323" s="135">
        <v>5140050000</v>
      </c>
      <c r="B323" s="121" t="s">
        <v>421</v>
      </c>
    </row>
    <row r="324" spans="1:2" x14ac:dyDescent="0.2">
      <c r="A324" s="135">
        <v>5140100000</v>
      </c>
      <c r="B324" s="121" t="s">
        <v>422</v>
      </c>
    </row>
    <row r="325" spans="1:2" x14ac:dyDescent="0.2">
      <c r="A325" s="121">
        <v>5105210000</v>
      </c>
      <c r="B325" s="121" t="s">
        <v>423</v>
      </c>
    </row>
    <row r="326" spans="1:2" x14ac:dyDescent="0.2">
      <c r="A326" s="121">
        <v>5155050000</v>
      </c>
      <c r="B326" s="121" t="s">
        <v>423</v>
      </c>
    </row>
    <row r="327" spans="1:2" x14ac:dyDescent="0.2">
      <c r="A327" s="121">
        <v>5155060000</v>
      </c>
      <c r="B327" s="121" t="s">
        <v>423</v>
      </c>
    </row>
    <row r="328" spans="1:2" x14ac:dyDescent="0.2">
      <c r="A328" s="121">
        <v>5155150000</v>
      </c>
      <c r="B328" s="121" t="s">
        <v>423</v>
      </c>
    </row>
    <row r="329" spans="1:2" x14ac:dyDescent="0.2">
      <c r="A329" s="121">
        <v>5155200000</v>
      </c>
      <c r="B329" s="121" t="s">
        <v>423</v>
      </c>
    </row>
    <row r="330" spans="1:2" x14ac:dyDescent="0.2">
      <c r="A330" s="121">
        <v>5155950000</v>
      </c>
      <c r="B330" s="121" t="s">
        <v>423</v>
      </c>
    </row>
    <row r="332" spans="1:2" x14ac:dyDescent="0.2">
      <c r="B332" s="121" t="s">
        <v>424</v>
      </c>
    </row>
    <row r="333" spans="1:2" x14ac:dyDescent="0.2">
      <c r="A333" s="121">
        <v>5135950300</v>
      </c>
      <c r="B333" s="121" t="s">
        <v>425</v>
      </c>
    </row>
    <row r="334" spans="1:2" x14ac:dyDescent="0.2">
      <c r="A334" s="121">
        <v>5198530000</v>
      </c>
      <c r="B334" s="121" t="s">
        <v>425</v>
      </c>
    </row>
    <row r="335" spans="1:2" x14ac:dyDescent="0.2">
      <c r="A335" s="121">
        <v>5398050000</v>
      </c>
      <c r="B335" s="121" t="s">
        <v>425</v>
      </c>
    </row>
    <row r="336" spans="1:2" x14ac:dyDescent="0.2">
      <c r="A336" s="121">
        <v>5398210000</v>
      </c>
      <c r="B336" s="121" t="s">
        <v>426</v>
      </c>
    </row>
    <row r="337" spans="1:2" x14ac:dyDescent="0.2">
      <c r="A337" s="121">
        <v>5110358000</v>
      </c>
      <c r="B337" s="121" t="s">
        <v>427</v>
      </c>
    </row>
    <row r="338" spans="1:2" x14ac:dyDescent="0.2">
      <c r="A338" s="121">
        <v>5210358000</v>
      </c>
      <c r="B338" s="121" t="s">
        <v>427</v>
      </c>
    </row>
    <row r="340" spans="1:2" x14ac:dyDescent="0.2">
      <c r="B340" s="121" t="s">
        <v>428</v>
      </c>
    </row>
    <row r="341" spans="1:2" x14ac:dyDescent="0.2">
      <c r="A341" s="121">
        <v>4210200100</v>
      </c>
      <c r="B341" s="121" t="s">
        <v>429</v>
      </c>
    </row>
    <row r="342" spans="1:2" x14ac:dyDescent="0.2">
      <c r="A342" s="121">
        <v>4210200200</v>
      </c>
      <c r="B342" s="121" t="s">
        <v>429</v>
      </c>
    </row>
    <row r="343" spans="1:2" x14ac:dyDescent="0.2">
      <c r="A343" s="121">
        <v>4210200400</v>
      </c>
      <c r="B343" s="121" t="s">
        <v>430</v>
      </c>
    </row>
    <row r="344" spans="1:2" x14ac:dyDescent="0.2">
      <c r="A344" s="121">
        <v>4210200500</v>
      </c>
      <c r="B344" s="121" t="s">
        <v>430</v>
      </c>
    </row>
    <row r="345" spans="1:2" x14ac:dyDescent="0.2">
      <c r="A345" s="121">
        <v>4210200501</v>
      </c>
      <c r="B345" s="121" t="s">
        <v>430</v>
      </c>
    </row>
    <row r="346" spans="1:2" x14ac:dyDescent="0.2">
      <c r="A346" s="121">
        <v>4210201000</v>
      </c>
      <c r="B346" s="121" t="s">
        <v>430</v>
      </c>
    </row>
    <row r="347" spans="1:2" x14ac:dyDescent="0.2">
      <c r="A347" s="121">
        <v>4210201001</v>
      </c>
      <c r="B347" s="121" t="s">
        <v>430</v>
      </c>
    </row>
    <row r="348" spans="1:2" x14ac:dyDescent="0.2">
      <c r="A348" s="121">
        <v>4210201100</v>
      </c>
      <c r="B348" s="121" t="s">
        <v>430</v>
      </c>
    </row>
    <row r="349" spans="1:2" x14ac:dyDescent="0.2">
      <c r="A349" s="121">
        <v>4210051000</v>
      </c>
      <c r="B349" s="121" t="s">
        <v>431</v>
      </c>
    </row>
    <row r="350" spans="1:2" x14ac:dyDescent="0.2">
      <c r="A350" s="121">
        <v>4210201000</v>
      </c>
      <c r="B350" s="121" t="s">
        <v>431</v>
      </c>
    </row>
    <row r="351" spans="1:2" x14ac:dyDescent="0.2">
      <c r="A351" s="121">
        <v>4210400000</v>
      </c>
      <c r="B351" s="121" t="s">
        <v>431</v>
      </c>
    </row>
    <row r="352" spans="1:2" x14ac:dyDescent="0.2">
      <c r="A352" s="121">
        <v>4245010000</v>
      </c>
      <c r="B352" s="121" t="s">
        <v>431</v>
      </c>
    </row>
    <row r="353" spans="1:2" x14ac:dyDescent="0.2">
      <c r="A353" s="121">
        <v>4250500100</v>
      </c>
      <c r="B353" s="121" t="s">
        <v>431</v>
      </c>
    </row>
    <row r="354" spans="1:2" x14ac:dyDescent="0.2">
      <c r="A354" s="121">
        <v>4250500200</v>
      </c>
      <c r="B354" s="121" t="s">
        <v>431</v>
      </c>
    </row>
    <row r="355" spans="1:2" x14ac:dyDescent="0.2">
      <c r="A355" s="121">
        <v>4250500300</v>
      </c>
      <c r="B355" s="121" t="s">
        <v>431</v>
      </c>
    </row>
    <row r="356" spans="1:2" x14ac:dyDescent="0.2">
      <c r="A356" s="121">
        <v>4250506600</v>
      </c>
      <c r="B356" s="121" t="s">
        <v>431</v>
      </c>
    </row>
    <row r="357" spans="1:2" x14ac:dyDescent="0.2">
      <c r="A357" s="121">
        <v>4255200000</v>
      </c>
      <c r="B357" s="121" t="s">
        <v>431</v>
      </c>
    </row>
    <row r="358" spans="1:2" x14ac:dyDescent="0.2">
      <c r="A358" s="121">
        <v>4295050000</v>
      </c>
      <c r="B358" s="121" t="s">
        <v>431</v>
      </c>
    </row>
    <row r="359" spans="1:2" x14ac:dyDescent="0.2">
      <c r="A359" s="121">
        <v>4295810000</v>
      </c>
      <c r="B359" s="121" t="s">
        <v>431</v>
      </c>
    </row>
    <row r="361" spans="1:2" x14ac:dyDescent="0.2">
      <c r="B361" s="121" t="s">
        <v>432</v>
      </c>
    </row>
    <row r="362" spans="1:2" x14ac:dyDescent="0.2">
      <c r="A362" s="121">
        <v>5305350000</v>
      </c>
      <c r="B362" s="121" t="s">
        <v>433</v>
      </c>
    </row>
    <row r="363" spans="1:2" x14ac:dyDescent="0.2">
      <c r="A363" s="121">
        <v>5310150000</v>
      </c>
      <c r="B363" s="121" t="s">
        <v>433</v>
      </c>
    </row>
    <row r="364" spans="1:2" x14ac:dyDescent="0.2">
      <c r="A364" s="121">
        <v>5310300000</v>
      </c>
      <c r="B364" s="121" t="s">
        <v>433</v>
      </c>
    </row>
    <row r="365" spans="1:2" x14ac:dyDescent="0.2">
      <c r="A365" s="121">
        <v>5310350000</v>
      </c>
      <c r="B365" s="121" t="s">
        <v>433</v>
      </c>
    </row>
    <row r="366" spans="1:2" x14ac:dyDescent="0.2">
      <c r="A366" s="121">
        <v>5313050000</v>
      </c>
      <c r="B366" s="121" t="s">
        <v>433</v>
      </c>
    </row>
    <row r="367" spans="1:2" x14ac:dyDescent="0.2">
      <c r="A367" s="121">
        <v>5315150200</v>
      </c>
      <c r="B367" s="121" t="s">
        <v>433</v>
      </c>
    </row>
    <row r="368" spans="1:2" x14ac:dyDescent="0.2">
      <c r="A368" s="121">
        <v>5315160000</v>
      </c>
      <c r="B368" s="121" t="s">
        <v>433</v>
      </c>
    </row>
    <row r="369" spans="1:3" x14ac:dyDescent="0.2">
      <c r="A369" s="121">
        <v>5315200000</v>
      </c>
      <c r="B369" s="121" t="s">
        <v>433</v>
      </c>
    </row>
    <row r="370" spans="1:3" x14ac:dyDescent="0.2">
      <c r="A370" s="121">
        <v>5315200100</v>
      </c>
      <c r="B370" s="121" t="s">
        <v>433</v>
      </c>
    </row>
    <row r="371" spans="1:3" x14ac:dyDescent="0.2">
      <c r="A371" s="121">
        <v>5315950000</v>
      </c>
      <c r="B371" s="121" t="s">
        <v>433</v>
      </c>
    </row>
    <row r="372" spans="1:3" x14ac:dyDescent="0.2">
      <c r="A372" s="121">
        <v>5395200000</v>
      </c>
      <c r="B372" s="121" t="s">
        <v>433</v>
      </c>
    </row>
    <row r="373" spans="1:3" x14ac:dyDescent="0.2">
      <c r="A373" s="121">
        <v>5395300000</v>
      </c>
      <c r="B373" s="121" t="s">
        <v>433</v>
      </c>
    </row>
    <row r="374" spans="1:3" x14ac:dyDescent="0.2">
      <c r="A374" s="121">
        <v>5395950000</v>
      </c>
      <c r="B374" s="121" t="s">
        <v>433</v>
      </c>
    </row>
    <row r="375" spans="1:3" x14ac:dyDescent="0.2">
      <c r="A375" s="121">
        <v>5305250500</v>
      </c>
      <c r="B375" s="121" t="s">
        <v>434</v>
      </c>
    </row>
    <row r="376" spans="1:3" x14ac:dyDescent="0.2">
      <c r="A376" s="121">
        <v>5305050000</v>
      </c>
      <c r="B376" s="121" t="s">
        <v>435</v>
      </c>
      <c r="C376" s="121">
        <v>5305050000</v>
      </c>
    </row>
    <row r="377" spans="1:3" x14ac:dyDescent="0.2">
      <c r="A377" s="121">
        <v>5305150000</v>
      </c>
      <c r="B377" s="121" t="s">
        <v>435</v>
      </c>
      <c r="C377" s="121">
        <v>5305200100</v>
      </c>
    </row>
    <row r="378" spans="1:3" x14ac:dyDescent="0.2">
      <c r="A378" s="121">
        <v>5305200100</v>
      </c>
      <c r="B378" s="121" t="s">
        <v>435</v>
      </c>
      <c r="C378" s="121">
        <v>5305202200</v>
      </c>
    </row>
    <row r="379" spans="1:3" x14ac:dyDescent="0.2">
      <c r="A379" s="121">
        <v>5305200200</v>
      </c>
      <c r="B379" s="121" t="s">
        <v>435</v>
      </c>
      <c r="C379" s="121">
        <v>5305150000</v>
      </c>
    </row>
    <row r="380" spans="1:3" x14ac:dyDescent="0.2">
      <c r="A380" s="121">
        <v>5305200300</v>
      </c>
      <c r="B380" s="121" t="s">
        <v>435</v>
      </c>
      <c r="C380" s="121">
        <v>5305200101</v>
      </c>
    </row>
    <row r="381" spans="1:3" x14ac:dyDescent="0.2">
      <c r="A381" s="121">
        <v>5305200400</v>
      </c>
      <c r="B381" s="121" t="s">
        <v>435</v>
      </c>
    </row>
    <row r="382" spans="1:3" x14ac:dyDescent="0.2">
      <c r="A382" s="121">
        <v>5305950000</v>
      </c>
      <c r="B382" s="121" t="s">
        <v>435</v>
      </c>
    </row>
    <row r="383" spans="1:3" x14ac:dyDescent="0.2">
      <c r="A383" s="121">
        <v>5315150000</v>
      </c>
      <c r="B383" s="121" t="s">
        <v>435</v>
      </c>
    </row>
    <row r="385" spans="1:2" x14ac:dyDescent="0.2">
      <c r="A385" s="121">
        <v>5405050100</v>
      </c>
      <c r="B385" s="121" t="s">
        <v>436</v>
      </c>
    </row>
    <row r="389" spans="1:2" x14ac:dyDescent="0.2">
      <c r="B389" s="121" t="s">
        <v>357</v>
      </c>
    </row>
    <row r="390" spans="1:2" x14ac:dyDescent="0.2">
      <c r="A390" s="121">
        <v>5205180100</v>
      </c>
      <c r="B390" s="121" t="s">
        <v>373</v>
      </c>
    </row>
    <row r="391" spans="1:2" x14ac:dyDescent="0.2">
      <c r="A391" s="121">
        <v>5205361000</v>
      </c>
      <c r="B391" s="121" t="s">
        <v>375</v>
      </c>
    </row>
    <row r="392" spans="1:2" x14ac:dyDescent="0.2">
      <c r="A392" s="121">
        <v>5205391000</v>
      </c>
      <c r="B392" s="121" t="s">
        <v>375</v>
      </c>
    </row>
    <row r="393" spans="1:2" x14ac:dyDescent="0.2">
      <c r="A393" s="121">
        <v>5205422000</v>
      </c>
      <c r="B393" s="121" t="s">
        <v>375</v>
      </c>
    </row>
    <row r="394" spans="1:2" x14ac:dyDescent="0.2">
      <c r="A394" s="121">
        <v>5205691000</v>
      </c>
      <c r="B394" s="121" t="s">
        <v>375</v>
      </c>
    </row>
    <row r="395" spans="1:2" x14ac:dyDescent="0.2">
      <c r="A395" s="121">
        <v>5205701000</v>
      </c>
      <c r="B395" s="121" t="s">
        <v>375</v>
      </c>
    </row>
    <row r="396" spans="1:2" x14ac:dyDescent="0.2">
      <c r="A396" s="121">
        <v>5205060100</v>
      </c>
      <c r="B396" s="121" t="s">
        <v>392</v>
      </c>
    </row>
    <row r="397" spans="1:2" x14ac:dyDescent="0.2">
      <c r="A397" s="121">
        <v>5205150100</v>
      </c>
      <c r="B397" s="121" t="s">
        <v>392</v>
      </c>
    </row>
    <row r="398" spans="1:2" x14ac:dyDescent="0.2">
      <c r="A398" s="121">
        <v>5205360100</v>
      </c>
      <c r="B398" s="121" t="s">
        <v>393</v>
      </c>
    </row>
    <row r="399" spans="1:2" x14ac:dyDescent="0.2">
      <c r="A399" s="121">
        <v>5205390100</v>
      </c>
      <c r="B399" s="121" t="s">
        <v>393</v>
      </c>
    </row>
    <row r="400" spans="1:2" x14ac:dyDescent="0.2">
      <c r="A400" s="121">
        <v>5205600100</v>
      </c>
      <c r="B400" s="121" t="s">
        <v>393</v>
      </c>
    </row>
    <row r="401" spans="1:2" x14ac:dyDescent="0.2">
      <c r="A401" s="121">
        <v>5205690100</v>
      </c>
      <c r="B401" s="121" t="s">
        <v>393</v>
      </c>
    </row>
    <row r="402" spans="1:2" x14ac:dyDescent="0.2">
      <c r="A402" s="121">
        <v>5205700100</v>
      </c>
      <c r="B402" s="121" t="s">
        <v>393</v>
      </c>
    </row>
    <row r="403" spans="1:2" x14ac:dyDescent="0.2">
      <c r="A403" s="121">
        <v>5205700100</v>
      </c>
      <c r="B403" s="121" t="s">
        <v>393</v>
      </c>
    </row>
    <row r="404" spans="1:2" x14ac:dyDescent="0.2">
      <c r="A404" s="121">
        <v>5205700200</v>
      </c>
      <c r="B404" s="121" t="s">
        <v>393</v>
      </c>
    </row>
    <row r="405" spans="1:2" x14ac:dyDescent="0.2">
      <c r="A405" s="121">
        <v>5205780100</v>
      </c>
      <c r="B405" s="121" t="s">
        <v>393</v>
      </c>
    </row>
    <row r="406" spans="1:2" x14ac:dyDescent="0.2">
      <c r="A406" s="121">
        <v>5105060000</v>
      </c>
      <c r="B406" s="121" t="s">
        <v>408</v>
      </c>
    </row>
    <row r="407" spans="1:2" x14ac:dyDescent="0.2">
      <c r="A407" s="121">
        <v>5105150000</v>
      </c>
      <c r="B407" s="121" t="s">
        <v>408</v>
      </c>
    </row>
    <row r="408" spans="1:2" x14ac:dyDescent="0.2">
      <c r="A408" s="121">
        <v>5105360000</v>
      </c>
      <c r="B408" s="121" t="s">
        <v>409</v>
      </c>
    </row>
    <row r="409" spans="1:2" x14ac:dyDescent="0.2">
      <c r="A409" s="121">
        <v>5105390000</v>
      </c>
      <c r="B409" s="121" t="s">
        <v>409</v>
      </c>
    </row>
    <row r="410" spans="1:2" x14ac:dyDescent="0.2">
      <c r="A410" s="121">
        <v>5105600000</v>
      </c>
      <c r="B410" s="121" t="s">
        <v>409</v>
      </c>
    </row>
    <row r="411" spans="1:2" x14ac:dyDescent="0.2">
      <c r="A411" s="121">
        <v>5105690000</v>
      </c>
      <c r="B411" s="121" t="s">
        <v>409</v>
      </c>
    </row>
    <row r="412" spans="1:2" x14ac:dyDescent="0.2">
      <c r="A412" s="121">
        <v>5105700000</v>
      </c>
      <c r="B412" s="121" t="s">
        <v>409</v>
      </c>
    </row>
    <row r="413" spans="1:2" x14ac:dyDescent="0.2">
      <c r="A413" s="121">
        <v>5105780000</v>
      </c>
      <c r="B413" s="121" t="s">
        <v>409</v>
      </c>
    </row>
    <row r="414" spans="1:2" x14ac:dyDescent="0.2">
      <c r="A414" s="121">
        <v>5105950000</v>
      </c>
      <c r="B414" s="121" t="s">
        <v>409</v>
      </c>
    </row>
    <row r="415" spans="1:2" x14ac:dyDescent="0.2">
      <c r="A415" s="121">
        <v>5105180000</v>
      </c>
      <c r="B415" s="121" t="s">
        <v>410</v>
      </c>
    </row>
    <row r="416" spans="1:2" x14ac:dyDescent="0.2">
      <c r="A416" s="121">
        <v>5105391000</v>
      </c>
      <c r="B416" s="121" t="s">
        <v>412</v>
      </c>
    </row>
    <row r="417" spans="1:3" x14ac:dyDescent="0.2">
      <c r="A417" s="121">
        <v>5105691000</v>
      </c>
      <c r="B417" s="121" t="s">
        <v>412</v>
      </c>
    </row>
    <row r="418" spans="1:3" x14ac:dyDescent="0.2">
      <c r="A418" s="121">
        <v>5105701000</v>
      </c>
      <c r="B418" s="121" t="s">
        <v>412</v>
      </c>
    </row>
    <row r="421" spans="1:3" x14ac:dyDescent="0.2">
      <c r="A421" s="121">
        <v>5160100000</v>
      </c>
      <c r="B421" s="121" t="s">
        <v>437</v>
      </c>
      <c r="C421" s="121" t="s">
        <v>438</v>
      </c>
    </row>
    <row r="427" spans="1:3" x14ac:dyDescent="0.2">
      <c r="A427" s="122" t="s">
        <v>439</v>
      </c>
    </row>
    <row r="428" spans="1:3" x14ac:dyDescent="0.2">
      <c r="A428" s="121">
        <v>1105050100</v>
      </c>
      <c r="B428" s="121" t="s">
        <v>440</v>
      </c>
      <c r="C428" s="123">
        <v>0</v>
      </c>
    </row>
    <row r="429" spans="1:3" x14ac:dyDescent="0.2">
      <c r="A429" s="121">
        <v>1105100200</v>
      </c>
      <c r="B429" s="121" t="s">
        <v>441</v>
      </c>
      <c r="C429" s="123">
        <v>7650000</v>
      </c>
    </row>
    <row r="430" spans="1:3" x14ac:dyDescent="0.2">
      <c r="A430" s="121">
        <v>1110050101</v>
      </c>
      <c r="B430" s="121" t="s">
        <v>442</v>
      </c>
      <c r="C430" s="123">
        <v>87094833.519999996</v>
      </c>
    </row>
    <row r="431" spans="1:3" x14ac:dyDescent="0.2">
      <c r="A431" s="121">
        <v>1110050106</v>
      </c>
      <c r="B431" s="121" t="s">
        <v>443</v>
      </c>
      <c r="C431" s="123">
        <v>4020934.46</v>
      </c>
    </row>
    <row r="432" spans="1:3" x14ac:dyDescent="0.2">
      <c r="A432" s="121">
        <v>1110050108</v>
      </c>
      <c r="B432" s="121" t="s">
        <v>444</v>
      </c>
      <c r="C432" s="123">
        <v>2182803.0099999998</v>
      </c>
    </row>
    <row r="433" spans="1:3" x14ac:dyDescent="0.2">
      <c r="A433" s="121">
        <v>1110050110</v>
      </c>
      <c r="B433" s="121" t="s">
        <v>445</v>
      </c>
      <c r="C433" s="123">
        <v>562187.67000000004</v>
      </c>
    </row>
    <row r="434" spans="1:3" x14ac:dyDescent="0.2">
      <c r="A434" s="121">
        <v>1110050111</v>
      </c>
      <c r="B434" s="121" t="s">
        <v>446</v>
      </c>
      <c r="C434" s="123">
        <v>4855691.87</v>
      </c>
    </row>
    <row r="435" spans="1:3" x14ac:dyDescent="0.2">
      <c r="A435" s="121">
        <v>1110100101</v>
      </c>
      <c r="B435" s="121" t="s">
        <v>447</v>
      </c>
      <c r="C435" s="123">
        <v>6300643.9299999997</v>
      </c>
    </row>
    <row r="436" spans="1:3" x14ac:dyDescent="0.2">
      <c r="A436" s="121">
        <v>1125100200</v>
      </c>
      <c r="B436" s="121" t="s">
        <v>448</v>
      </c>
      <c r="C436" s="123">
        <v>1355004.36</v>
      </c>
    </row>
    <row r="437" spans="1:3" x14ac:dyDescent="0.2">
      <c r="A437" s="121">
        <v>1130050100</v>
      </c>
      <c r="B437" s="121" t="s">
        <v>449</v>
      </c>
      <c r="C437" s="123">
        <v>377428.44</v>
      </c>
    </row>
    <row r="438" spans="1:3" x14ac:dyDescent="0.2">
      <c r="A438" s="122"/>
      <c r="C438" s="123">
        <f>SUM(C428:C437)</f>
        <v>114399527.26000001</v>
      </c>
    </row>
    <row r="439" spans="1:3" x14ac:dyDescent="0.2">
      <c r="A439" s="122"/>
    </row>
    <row r="440" spans="1:3" x14ac:dyDescent="0.2">
      <c r="A440" s="121">
        <v>1101</v>
      </c>
      <c r="B440" s="121" t="s">
        <v>450</v>
      </c>
    </row>
    <row r="441" spans="1:3" x14ac:dyDescent="0.2">
      <c r="A441" s="121">
        <v>1102</v>
      </c>
      <c r="B441" s="121" t="s">
        <v>451</v>
      </c>
    </row>
    <row r="442" spans="1:3" x14ac:dyDescent="0.2">
      <c r="A442" s="121">
        <v>1103</v>
      </c>
      <c r="B442" s="121" t="s">
        <v>452</v>
      </c>
    </row>
    <row r="443" spans="1:3" x14ac:dyDescent="0.2">
      <c r="A443" s="121">
        <v>1104</v>
      </c>
      <c r="B443" s="121" t="s">
        <v>453</v>
      </c>
    </row>
    <row r="444" spans="1:3" x14ac:dyDescent="0.2">
      <c r="A444" s="121" t="s">
        <v>454</v>
      </c>
      <c r="B444" s="121" t="s">
        <v>455</v>
      </c>
    </row>
    <row r="445" spans="1:3" x14ac:dyDescent="0.2">
      <c r="A445" s="121">
        <v>1106</v>
      </c>
      <c r="B445" s="121" t="s">
        <v>456</v>
      </c>
    </row>
    <row r="446" spans="1:3" x14ac:dyDescent="0.2">
      <c r="B446" s="121" t="s">
        <v>457</v>
      </c>
    </row>
    <row r="448" spans="1:3" x14ac:dyDescent="0.2">
      <c r="B448" s="121" t="s">
        <v>458</v>
      </c>
    </row>
    <row r="450" spans="1:2" x14ac:dyDescent="0.2">
      <c r="B450" s="121" t="s">
        <v>96</v>
      </c>
    </row>
    <row r="451" spans="1:2" x14ac:dyDescent="0.2">
      <c r="A451" s="121">
        <v>1201</v>
      </c>
      <c r="B451" s="121" t="s">
        <v>459</v>
      </c>
    </row>
    <row r="452" spans="1:2" x14ac:dyDescent="0.2">
      <c r="A452" s="121">
        <v>1202</v>
      </c>
      <c r="B452" s="121" t="s">
        <v>460</v>
      </c>
    </row>
    <row r="453" spans="1:2" x14ac:dyDescent="0.2">
      <c r="A453" s="121">
        <v>1203</v>
      </c>
      <c r="B453" s="121" t="s">
        <v>461</v>
      </c>
    </row>
    <row r="454" spans="1:2" x14ac:dyDescent="0.2">
      <c r="A454" s="121">
        <v>1204</v>
      </c>
      <c r="B454" s="121" t="s">
        <v>462</v>
      </c>
    </row>
    <row r="455" spans="1:2" x14ac:dyDescent="0.2">
      <c r="A455" s="121">
        <v>1205</v>
      </c>
      <c r="B455" s="121" t="s">
        <v>463</v>
      </c>
    </row>
    <row r="456" spans="1:2" x14ac:dyDescent="0.2">
      <c r="A456" s="121">
        <v>1206</v>
      </c>
      <c r="B456" s="121" t="s">
        <v>464</v>
      </c>
    </row>
    <row r="458" spans="1:2" x14ac:dyDescent="0.2">
      <c r="B458" s="121" t="s">
        <v>465</v>
      </c>
    </row>
    <row r="460" spans="1:2" x14ac:dyDescent="0.2">
      <c r="B460" s="121" t="s">
        <v>466</v>
      </c>
    </row>
    <row r="461" spans="1:2" x14ac:dyDescent="0.2">
      <c r="A461" s="121">
        <v>1208</v>
      </c>
      <c r="B461" s="121" t="s">
        <v>467</v>
      </c>
    </row>
    <row r="463" spans="1:2" x14ac:dyDescent="0.2">
      <c r="B463" s="121" t="s">
        <v>97</v>
      </c>
    </row>
    <row r="464" spans="1:2" x14ac:dyDescent="0.2">
      <c r="A464" s="121" t="s">
        <v>468</v>
      </c>
      <c r="B464" s="121" t="s">
        <v>469</v>
      </c>
    </row>
    <row r="465" spans="1:2" x14ac:dyDescent="0.2">
      <c r="A465" s="121">
        <v>1210</v>
      </c>
      <c r="B465" s="121" t="s">
        <v>470</v>
      </c>
    </row>
    <row r="466" spans="1:2" x14ac:dyDescent="0.2">
      <c r="A466" s="121">
        <v>1211</v>
      </c>
      <c r="B466" s="121" t="s">
        <v>471</v>
      </c>
    </row>
    <row r="467" spans="1:2" x14ac:dyDescent="0.2">
      <c r="A467" s="121">
        <v>1212</v>
      </c>
      <c r="B467" s="121" t="s">
        <v>472</v>
      </c>
    </row>
    <row r="468" spans="1:2" x14ac:dyDescent="0.2">
      <c r="B468" s="121" t="s">
        <v>473</v>
      </c>
    </row>
    <row r="470" spans="1:2" x14ac:dyDescent="0.2">
      <c r="B470" s="121" t="s">
        <v>98</v>
      </c>
    </row>
    <row r="471" spans="1:2" x14ac:dyDescent="0.2">
      <c r="A471" s="121">
        <v>1214</v>
      </c>
      <c r="B471" s="121" t="s">
        <v>474</v>
      </c>
    </row>
    <row r="472" spans="1:2" x14ac:dyDescent="0.2">
      <c r="A472" s="121">
        <v>1242</v>
      </c>
      <c r="B472" s="121" t="s">
        <v>475</v>
      </c>
    </row>
    <row r="473" spans="1:2" x14ac:dyDescent="0.2">
      <c r="A473" s="121">
        <v>1243</v>
      </c>
      <c r="B473" s="121" t="s">
        <v>476</v>
      </c>
    </row>
    <row r="474" spans="1:2" x14ac:dyDescent="0.2">
      <c r="A474" s="121">
        <v>1244</v>
      </c>
      <c r="B474" s="121" t="s">
        <v>477</v>
      </c>
    </row>
    <row r="475" spans="1:2" x14ac:dyDescent="0.2">
      <c r="A475" s="121">
        <v>1245</v>
      </c>
      <c r="B475" s="121" t="s">
        <v>478</v>
      </c>
    </row>
    <row r="476" spans="1:2" x14ac:dyDescent="0.2">
      <c r="A476" s="121">
        <v>1246</v>
      </c>
      <c r="B476" s="121" t="s">
        <v>479</v>
      </c>
    </row>
    <row r="477" spans="1:2" x14ac:dyDescent="0.2">
      <c r="A477" s="121">
        <v>1215</v>
      </c>
      <c r="B477" s="121" t="s">
        <v>480</v>
      </c>
    </row>
    <row r="478" spans="1:2" x14ac:dyDescent="0.2">
      <c r="A478" s="121">
        <v>1216</v>
      </c>
      <c r="B478" s="121" t="s">
        <v>481</v>
      </c>
    </row>
    <row r="479" spans="1:2" x14ac:dyDescent="0.2">
      <c r="A479" s="121">
        <v>1217</v>
      </c>
      <c r="B479" s="121" t="s">
        <v>482</v>
      </c>
    </row>
    <row r="480" spans="1:2" x14ac:dyDescent="0.2">
      <c r="A480" s="121">
        <v>1218</v>
      </c>
      <c r="B480" s="121" t="s">
        <v>483</v>
      </c>
    </row>
    <row r="481" spans="1:2" x14ac:dyDescent="0.2">
      <c r="A481" s="121">
        <v>1219</v>
      </c>
      <c r="B481" s="121" t="s">
        <v>484</v>
      </c>
    </row>
    <row r="482" spans="1:2" x14ac:dyDescent="0.2">
      <c r="A482" s="121">
        <v>1220</v>
      </c>
      <c r="B482" s="121" t="s">
        <v>485</v>
      </c>
    </row>
    <row r="483" spans="1:2" x14ac:dyDescent="0.2">
      <c r="A483" s="121">
        <v>1221</v>
      </c>
      <c r="B483" s="121" t="s">
        <v>486</v>
      </c>
    </row>
    <row r="484" spans="1:2" x14ac:dyDescent="0.2">
      <c r="A484" s="121">
        <v>1222</v>
      </c>
      <c r="B484" s="121" t="s">
        <v>487</v>
      </c>
    </row>
    <row r="485" spans="1:2" x14ac:dyDescent="0.2">
      <c r="A485" s="121">
        <v>1223</v>
      </c>
      <c r="B485" s="121" t="s">
        <v>488</v>
      </c>
    </row>
    <row r="486" spans="1:2" x14ac:dyDescent="0.2">
      <c r="A486" s="121">
        <v>1224</v>
      </c>
      <c r="B486" s="121" t="s">
        <v>489</v>
      </c>
    </row>
    <row r="487" spans="1:2" x14ac:dyDescent="0.2">
      <c r="A487" s="121">
        <v>1225</v>
      </c>
      <c r="B487" s="121" t="s">
        <v>490</v>
      </c>
    </row>
    <row r="488" spans="1:2" x14ac:dyDescent="0.2">
      <c r="A488" s="121">
        <v>1226</v>
      </c>
      <c r="B488" s="121" t="s">
        <v>491</v>
      </c>
    </row>
    <row r="489" spans="1:2" x14ac:dyDescent="0.2">
      <c r="A489" s="121">
        <v>1227</v>
      </c>
      <c r="B489" s="121" t="s">
        <v>492</v>
      </c>
    </row>
    <row r="490" spans="1:2" x14ac:dyDescent="0.2">
      <c r="A490" s="121">
        <v>1228</v>
      </c>
      <c r="B490" s="121" t="s">
        <v>493</v>
      </c>
    </row>
    <row r="491" spans="1:2" x14ac:dyDescent="0.2">
      <c r="A491" s="121">
        <v>1229</v>
      </c>
      <c r="B491" s="121" t="s">
        <v>494</v>
      </c>
    </row>
    <row r="492" spans="1:2" x14ac:dyDescent="0.2">
      <c r="A492" s="121">
        <v>1230</v>
      </c>
      <c r="B492" s="121" t="s">
        <v>495</v>
      </c>
    </row>
    <row r="493" spans="1:2" x14ac:dyDescent="0.2">
      <c r="A493" s="121">
        <v>1231</v>
      </c>
      <c r="B493" s="121" t="s">
        <v>496</v>
      </c>
    </row>
    <row r="494" spans="1:2" x14ac:dyDescent="0.2">
      <c r="A494" s="121">
        <v>1232</v>
      </c>
      <c r="B494" s="121" t="s">
        <v>497</v>
      </c>
    </row>
    <row r="495" spans="1:2" x14ac:dyDescent="0.2">
      <c r="A495" s="121">
        <v>1233</v>
      </c>
      <c r="B495" s="121" t="s">
        <v>498</v>
      </c>
    </row>
    <row r="496" spans="1:2" x14ac:dyDescent="0.2">
      <c r="A496" s="121">
        <v>1234</v>
      </c>
      <c r="B496" s="121" t="s">
        <v>499</v>
      </c>
    </row>
    <row r="497" spans="1:2" x14ac:dyDescent="0.2">
      <c r="A497" s="121">
        <v>1235</v>
      </c>
      <c r="B497" s="121" t="s">
        <v>500</v>
      </c>
    </row>
    <row r="498" spans="1:2" x14ac:dyDescent="0.2">
      <c r="A498" s="121">
        <v>1236</v>
      </c>
      <c r="B498" s="121" t="s">
        <v>501</v>
      </c>
    </row>
    <row r="499" spans="1:2" x14ac:dyDescent="0.2">
      <c r="A499" s="121">
        <v>1237</v>
      </c>
      <c r="B499" s="121" t="s">
        <v>502</v>
      </c>
    </row>
    <row r="500" spans="1:2" x14ac:dyDescent="0.2">
      <c r="A500" s="121">
        <v>1238</v>
      </c>
      <c r="B500" s="121" t="s">
        <v>503</v>
      </c>
    </row>
    <row r="501" spans="1:2" x14ac:dyDescent="0.2">
      <c r="A501" s="121">
        <v>1239</v>
      </c>
      <c r="B501" s="121" t="s">
        <v>504</v>
      </c>
    </row>
    <row r="502" spans="1:2" x14ac:dyDescent="0.2">
      <c r="A502" s="121">
        <v>1240</v>
      </c>
      <c r="B502" s="121" t="s">
        <v>505</v>
      </c>
    </row>
    <row r="503" spans="1:2" x14ac:dyDescent="0.2">
      <c r="A503" s="121">
        <v>1241</v>
      </c>
      <c r="B503" s="121" t="s">
        <v>506</v>
      </c>
    </row>
    <row r="504" spans="1:2" x14ac:dyDescent="0.2">
      <c r="B504" s="121" t="s">
        <v>507</v>
      </c>
    </row>
    <row r="506" spans="1:2" x14ac:dyDescent="0.2">
      <c r="B506" s="121" t="s">
        <v>508</v>
      </c>
    </row>
    <row r="508" spans="1:2" x14ac:dyDescent="0.2">
      <c r="B508" s="121" t="s">
        <v>509</v>
      </c>
    </row>
    <row r="510" spans="1:2" x14ac:dyDescent="0.2">
      <c r="B510" s="121" t="s">
        <v>510</v>
      </c>
    </row>
    <row r="512" spans="1:2" x14ac:dyDescent="0.2">
      <c r="B512" s="121" t="s">
        <v>511</v>
      </c>
    </row>
    <row r="513" spans="1:2" x14ac:dyDescent="0.2">
      <c r="A513" s="121">
        <v>2101</v>
      </c>
      <c r="B513" s="121" t="s">
        <v>512</v>
      </c>
    </row>
    <row r="514" spans="1:2" x14ac:dyDescent="0.2">
      <c r="A514" s="121">
        <v>2102</v>
      </c>
      <c r="B514" s="121" t="s">
        <v>513</v>
      </c>
    </row>
    <row r="515" spans="1:2" x14ac:dyDescent="0.2">
      <c r="A515" s="121">
        <v>2103</v>
      </c>
      <c r="B515" s="121" t="s">
        <v>514</v>
      </c>
    </row>
    <row r="516" spans="1:2" x14ac:dyDescent="0.2">
      <c r="A516" s="121">
        <v>1207</v>
      </c>
      <c r="B516" s="121" t="s">
        <v>515</v>
      </c>
    </row>
    <row r="517" spans="1:2" x14ac:dyDescent="0.2">
      <c r="B517" s="121" t="s">
        <v>516</v>
      </c>
    </row>
    <row r="519" spans="1:2" x14ac:dyDescent="0.2">
      <c r="B519" s="121" t="s">
        <v>99</v>
      </c>
    </row>
    <row r="520" spans="1:2" x14ac:dyDescent="0.2">
      <c r="A520" s="121">
        <v>3101</v>
      </c>
      <c r="B520" s="121" t="s">
        <v>517</v>
      </c>
    </row>
    <row r="521" spans="1:2" x14ac:dyDescent="0.2">
      <c r="A521" s="121" t="s">
        <v>518</v>
      </c>
      <c r="B521" s="121" t="s">
        <v>519</v>
      </c>
    </row>
    <row r="522" spans="1:2" x14ac:dyDescent="0.2">
      <c r="A522" s="121">
        <v>3103</v>
      </c>
      <c r="B522" s="121" t="s">
        <v>520</v>
      </c>
    </row>
    <row r="523" spans="1:2" x14ac:dyDescent="0.2">
      <c r="A523" s="121">
        <v>3104</v>
      </c>
      <c r="B523" s="121" t="s">
        <v>521</v>
      </c>
    </row>
    <row r="524" spans="1:2" x14ac:dyDescent="0.2">
      <c r="B524" s="121" t="s">
        <v>522</v>
      </c>
    </row>
    <row r="526" spans="1:2" x14ac:dyDescent="0.2">
      <c r="B526" s="121" t="s">
        <v>523</v>
      </c>
    </row>
    <row r="534" spans="1:12" x14ac:dyDescent="0.2">
      <c r="B534" s="121" t="s">
        <v>524</v>
      </c>
    </row>
    <row r="535" spans="1:12" x14ac:dyDescent="0.2">
      <c r="B535" s="121" t="s">
        <v>525</v>
      </c>
    </row>
    <row r="536" spans="1:12" x14ac:dyDescent="0.2">
      <c r="A536" s="121">
        <v>5101</v>
      </c>
      <c r="B536" s="121" t="s">
        <v>526</v>
      </c>
    </row>
    <row r="537" spans="1:12" x14ac:dyDescent="0.2">
      <c r="A537" s="121">
        <v>5102</v>
      </c>
      <c r="B537" s="121" t="s">
        <v>527</v>
      </c>
    </row>
    <row r="538" spans="1:12" x14ac:dyDescent="0.2">
      <c r="A538" s="121">
        <v>5103</v>
      </c>
      <c r="B538" s="121" t="s">
        <v>528</v>
      </c>
    </row>
    <row r="539" spans="1:12" x14ac:dyDescent="0.2">
      <c r="A539" s="121">
        <v>5104</v>
      </c>
      <c r="B539" s="121" t="s">
        <v>529</v>
      </c>
    </row>
    <row r="540" spans="1:12" x14ac:dyDescent="0.2">
      <c r="A540" s="121">
        <v>5105</v>
      </c>
      <c r="B540" s="121" t="s">
        <v>530</v>
      </c>
      <c r="E540" s="121" t="s">
        <v>531</v>
      </c>
      <c r="F540" s="121" t="s">
        <v>532</v>
      </c>
    </row>
    <row r="541" spans="1:12" x14ac:dyDescent="0.2">
      <c r="B541" s="121" t="s">
        <v>533</v>
      </c>
    </row>
    <row r="542" spans="1:12" x14ac:dyDescent="0.2">
      <c r="E542" s="121" t="s">
        <v>534</v>
      </c>
      <c r="G542" s="121"/>
      <c r="H542" s="121"/>
      <c r="I542" s="121"/>
      <c r="J542" s="121"/>
      <c r="K542" s="121"/>
      <c r="L542" s="121"/>
    </row>
    <row r="543" spans="1:12" x14ac:dyDescent="0.2">
      <c r="B543" s="121" t="s">
        <v>523</v>
      </c>
      <c r="E543" s="121" t="s">
        <v>535</v>
      </c>
      <c r="F543" s="121" t="s">
        <v>536</v>
      </c>
      <c r="G543" s="121" t="s">
        <v>113</v>
      </c>
      <c r="H543" s="121"/>
      <c r="I543" s="121"/>
      <c r="J543" s="121"/>
      <c r="K543" s="121"/>
      <c r="L543" s="121"/>
    </row>
    <row r="544" spans="1:12" x14ac:dyDescent="0.2">
      <c r="A544" s="121">
        <v>6190</v>
      </c>
      <c r="B544" s="121" t="s">
        <v>537</v>
      </c>
      <c r="E544" s="121" t="s">
        <v>538</v>
      </c>
      <c r="F544" s="121" t="s">
        <v>539</v>
      </c>
      <c r="G544" s="132">
        <v>157866000</v>
      </c>
      <c r="H544" s="121"/>
      <c r="I544" s="121"/>
      <c r="J544" s="121"/>
      <c r="K544" s="121"/>
      <c r="L544" s="121"/>
    </row>
    <row r="545" spans="1:12" x14ac:dyDescent="0.2">
      <c r="A545" s="121">
        <v>7101</v>
      </c>
      <c r="B545" s="121" t="s">
        <v>540</v>
      </c>
      <c r="E545" s="121" t="s">
        <v>541</v>
      </c>
      <c r="F545" s="121" t="s">
        <v>542</v>
      </c>
      <c r="G545" s="132">
        <v>487283000</v>
      </c>
      <c r="H545" s="121"/>
      <c r="I545" s="121"/>
      <c r="J545" s="121"/>
      <c r="K545" s="121"/>
      <c r="L545" s="121"/>
    </row>
    <row r="546" spans="1:12" x14ac:dyDescent="0.2">
      <c r="A546" s="121">
        <v>7102</v>
      </c>
      <c r="B546" s="121" t="s">
        <v>542</v>
      </c>
      <c r="E546" s="121" t="s">
        <v>543</v>
      </c>
      <c r="F546" s="121" t="s">
        <v>544</v>
      </c>
      <c r="G546" s="132">
        <v>821000000</v>
      </c>
      <c r="H546" s="121"/>
      <c r="I546" s="121"/>
      <c r="J546" s="121"/>
      <c r="K546" s="121"/>
      <c r="L546" s="121"/>
    </row>
    <row r="547" spans="1:12" x14ac:dyDescent="0.2">
      <c r="A547" s="121">
        <v>7103</v>
      </c>
      <c r="B547" s="121" t="s">
        <v>545</v>
      </c>
      <c r="E547" s="121" t="s">
        <v>329</v>
      </c>
      <c r="G547" s="132">
        <v>1466149000</v>
      </c>
      <c r="H547" s="121"/>
      <c r="I547" s="121"/>
      <c r="J547" s="121"/>
      <c r="K547" s="121"/>
      <c r="L547" s="121"/>
    </row>
    <row r="548" spans="1:12" x14ac:dyDescent="0.2">
      <c r="A548" s="121">
        <v>7105</v>
      </c>
      <c r="B548" s="121" t="s">
        <v>546</v>
      </c>
      <c r="G548" s="121"/>
      <c r="H548" s="121"/>
      <c r="I548" s="121"/>
      <c r="J548" s="121"/>
      <c r="K548" s="121"/>
      <c r="L548" s="121"/>
    </row>
    <row r="549" spans="1:12" x14ac:dyDescent="0.2">
      <c r="A549" s="121" t="s">
        <v>547</v>
      </c>
      <c r="B549" s="121" t="s">
        <v>548</v>
      </c>
      <c r="G549" s="121"/>
      <c r="H549" s="121"/>
      <c r="I549" s="121"/>
      <c r="J549" s="121"/>
      <c r="K549" s="121"/>
      <c r="L549" s="121"/>
    </row>
    <row r="550" spans="1:12" x14ac:dyDescent="0.2">
      <c r="A550" s="121">
        <v>4101</v>
      </c>
      <c r="B550" s="121" t="s">
        <v>549</v>
      </c>
      <c r="G550" s="121"/>
      <c r="H550" s="121"/>
      <c r="I550" s="121"/>
      <c r="J550" s="121"/>
      <c r="K550" s="121"/>
    </row>
    <row r="551" spans="1:12" x14ac:dyDescent="0.2">
      <c r="A551" s="121">
        <v>4102</v>
      </c>
      <c r="B551" s="121" t="s">
        <v>539</v>
      </c>
      <c r="G551" s="121"/>
      <c r="H551" s="121"/>
      <c r="I551" s="121"/>
      <c r="J551" s="121"/>
      <c r="K551" s="121"/>
    </row>
    <row r="552" spans="1:12" x14ac:dyDescent="0.2">
      <c r="A552" s="121">
        <v>7104</v>
      </c>
      <c r="B552" s="121" t="s">
        <v>550</v>
      </c>
      <c r="E552" s="121">
        <v>6190</v>
      </c>
      <c r="F552" s="121" t="s">
        <v>537</v>
      </c>
      <c r="G552" s="121"/>
      <c r="H552" s="121"/>
      <c r="I552" s="121"/>
      <c r="J552" s="121"/>
      <c r="K552" s="121"/>
    </row>
    <row r="553" spans="1:12" x14ac:dyDescent="0.2">
      <c r="G553" s="121"/>
      <c r="H553" s="121"/>
      <c r="I553" s="121"/>
      <c r="J553" s="121"/>
      <c r="K553" s="121"/>
    </row>
    <row r="554" spans="1:12" x14ac:dyDescent="0.2">
      <c r="B554" s="121" t="s">
        <v>551</v>
      </c>
      <c r="G554" s="121"/>
      <c r="H554" s="121"/>
      <c r="I554" s="121"/>
      <c r="J554" s="121"/>
      <c r="K554" s="121"/>
    </row>
    <row r="555" spans="1:12" x14ac:dyDescent="0.2">
      <c r="A555" s="122" t="s">
        <v>552</v>
      </c>
      <c r="G555" s="121"/>
    </row>
    <row r="556" spans="1:12" x14ac:dyDescent="0.2">
      <c r="A556" s="136">
        <v>1110050100</v>
      </c>
      <c r="B556" s="137" t="s">
        <v>553</v>
      </c>
      <c r="G556" s="121"/>
    </row>
    <row r="557" spans="1:12" x14ac:dyDescent="0.2">
      <c r="A557" s="136">
        <v>1110050200</v>
      </c>
      <c r="B557" s="121" t="s">
        <v>554</v>
      </c>
      <c r="G557" s="121"/>
    </row>
    <row r="558" spans="1:12" x14ac:dyDescent="0.2">
      <c r="G558" s="121"/>
    </row>
    <row r="562" spans="1:2" x14ac:dyDescent="0.2">
      <c r="A562" s="121">
        <v>4170250000</v>
      </c>
      <c r="B562" s="121" t="s">
        <v>555</v>
      </c>
    </row>
    <row r="564" spans="1:2" x14ac:dyDescent="0.2">
      <c r="A564" s="121">
        <v>4218050000</v>
      </c>
      <c r="B564" s="121" t="s">
        <v>556</v>
      </c>
    </row>
    <row r="567" spans="1:2" x14ac:dyDescent="0.2">
      <c r="A567" s="121">
        <v>5210350000</v>
      </c>
      <c r="B567" s="121" t="s">
        <v>557</v>
      </c>
    </row>
    <row r="568" spans="1:2" x14ac:dyDescent="0.2">
      <c r="A568" s="121">
        <v>5140950000</v>
      </c>
    </row>
    <row r="570" spans="1:2" x14ac:dyDescent="0.2">
      <c r="A570" s="136">
        <v>5305950000</v>
      </c>
      <c r="B570" s="121" t="s">
        <v>558</v>
      </c>
    </row>
    <row r="571" spans="1:2" x14ac:dyDescent="0.2">
      <c r="A571" s="136">
        <v>5313050000</v>
      </c>
      <c r="B571" s="121" t="s">
        <v>556</v>
      </c>
    </row>
    <row r="572" spans="1:2" x14ac:dyDescent="0.2">
      <c r="A572" s="121">
        <v>5310950000</v>
      </c>
      <c r="B572" s="121" t="s">
        <v>559</v>
      </c>
    </row>
    <row r="576" spans="1:2" x14ac:dyDescent="0.2">
      <c r="A576" s="121">
        <v>1101</v>
      </c>
      <c r="B576" s="121" t="s">
        <v>560</v>
      </c>
    </row>
    <row r="577" spans="1:3" x14ac:dyDescent="0.2">
      <c r="A577" s="121">
        <v>1102</v>
      </c>
      <c r="B577" s="121" t="s">
        <v>561</v>
      </c>
    </row>
    <row r="578" spans="1:3" x14ac:dyDescent="0.2">
      <c r="A578" s="121">
        <v>1103</v>
      </c>
      <c r="B578" s="121" t="s">
        <v>562</v>
      </c>
    </row>
    <row r="579" spans="1:3" x14ac:dyDescent="0.2">
      <c r="A579" s="121">
        <v>1104</v>
      </c>
      <c r="B579" s="121" t="s">
        <v>563</v>
      </c>
    </row>
    <row r="580" spans="1:3" x14ac:dyDescent="0.2">
      <c r="A580" s="121">
        <v>1106</v>
      </c>
      <c r="B580" s="121" t="s">
        <v>564</v>
      </c>
    </row>
    <row r="581" spans="1:3" x14ac:dyDescent="0.2">
      <c r="A581" s="121">
        <v>9999</v>
      </c>
      <c r="B581" s="121" t="s">
        <v>565</v>
      </c>
      <c r="C581" s="121" t="s">
        <v>566</v>
      </c>
    </row>
    <row r="583" spans="1:3" x14ac:dyDescent="0.2">
      <c r="A583" s="121">
        <v>1218</v>
      </c>
      <c r="B583" s="121" t="s">
        <v>567</v>
      </c>
    </row>
    <row r="584" spans="1:3" x14ac:dyDescent="0.2">
      <c r="A584" s="121">
        <v>1223</v>
      </c>
      <c r="B584" s="121" t="s">
        <v>568</v>
      </c>
    </row>
    <row r="585" spans="1:3" x14ac:dyDescent="0.2">
      <c r="A585" s="121">
        <v>1231</v>
      </c>
      <c r="B585" s="121" t="s">
        <v>569</v>
      </c>
    </row>
    <row r="586" spans="1:3" x14ac:dyDescent="0.2">
      <c r="A586" s="121">
        <v>1235</v>
      </c>
      <c r="B586" s="121" t="s">
        <v>570</v>
      </c>
    </row>
    <row r="587" spans="1:3" x14ac:dyDescent="0.2">
      <c r="A587" s="121">
        <v>1201</v>
      </c>
      <c r="B587" s="121" t="s">
        <v>571</v>
      </c>
    </row>
    <row r="590" spans="1:3" x14ac:dyDescent="0.2">
      <c r="A590" s="121">
        <v>5103</v>
      </c>
      <c r="B590" s="121" t="s">
        <v>528</v>
      </c>
      <c r="C590" s="121" t="s">
        <v>572</v>
      </c>
    </row>
    <row r="591" spans="1:3" x14ac:dyDescent="0.2">
      <c r="A591" s="121">
        <v>5104</v>
      </c>
      <c r="B591" s="121" t="s">
        <v>529</v>
      </c>
      <c r="C591" s="121" t="s">
        <v>566</v>
      </c>
    </row>
    <row r="592" spans="1:3" x14ac:dyDescent="0.2">
      <c r="A592" s="121">
        <v>5105</v>
      </c>
      <c r="B592" s="121" t="s">
        <v>573</v>
      </c>
      <c r="C592" s="121" t="s">
        <v>566</v>
      </c>
    </row>
    <row r="593" spans="1:3" x14ac:dyDescent="0.2">
      <c r="A593" s="121">
        <v>5106</v>
      </c>
      <c r="B593" s="121" t="s">
        <v>574</v>
      </c>
      <c r="C593" s="121" t="s">
        <v>572</v>
      </c>
    </row>
    <row r="594" spans="1:3" x14ac:dyDescent="0.2">
      <c r="A594" s="121">
        <v>7101</v>
      </c>
      <c r="B594" s="121" t="s">
        <v>575</v>
      </c>
    </row>
  </sheetData>
  <pageMargins left="0.7" right="0.7" top="0.75" bottom="0.75" header="0.3" footer="0.3"/>
  <pageSetup orientation="portrait"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440D3-5066-4F6B-AF4B-E6898BC51969}">
  <sheetPr>
    <tabColor theme="2" tint="-0.749992370372631"/>
  </sheetPr>
  <dimension ref="A1:AG50"/>
  <sheetViews>
    <sheetView showGridLines="0" topLeftCell="A8" zoomScaleNormal="100" workbookViewId="0">
      <selection activeCell="J26" sqref="J26"/>
    </sheetView>
  </sheetViews>
  <sheetFormatPr baseColWidth="10" defaultRowHeight="12.75" x14ac:dyDescent="0.2"/>
  <cols>
    <col min="1" max="1" width="3.140625" style="13" customWidth="1"/>
    <col min="2" max="2" width="26.28515625" style="13" customWidth="1"/>
    <col min="3" max="3" width="9.42578125" style="13" customWidth="1"/>
    <col min="4" max="4" width="6.42578125" style="13" customWidth="1"/>
    <col min="5" max="5" width="10.28515625" style="13" customWidth="1"/>
    <col min="6" max="7" width="7.140625" style="13" customWidth="1"/>
    <col min="8" max="8" width="11" style="13" customWidth="1"/>
    <col min="9" max="9" width="6.42578125" style="13" customWidth="1"/>
    <col min="10" max="10" width="9.5703125" style="13" customWidth="1"/>
    <col min="11" max="11" width="10.5703125" style="13" customWidth="1"/>
    <col min="12" max="12" width="5.42578125" style="13" customWidth="1"/>
    <col min="13" max="13" width="10.140625" style="13" bestFit="1" customWidth="1"/>
    <col min="14" max="14" width="5.42578125" style="13" customWidth="1"/>
    <col min="15" max="15" width="7.140625" style="13" customWidth="1"/>
    <col min="16" max="16" width="10.7109375" style="13" customWidth="1"/>
    <col min="17" max="17" width="5.140625" style="13" customWidth="1"/>
    <col min="18" max="18" width="7.140625" style="13" customWidth="1"/>
    <col min="19" max="19" width="10.85546875" style="14" customWidth="1"/>
    <col min="20" max="20" width="17.42578125" style="13" customWidth="1"/>
    <col min="21" max="28" width="11.42578125" style="13"/>
    <col min="29" max="29" width="6.5703125" style="13" customWidth="1"/>
    <col min="30" max="31" width="11.42578125" style="13"/>
    <col min="32" max="32" width="13.42578125" style="13" customWidth="1"/>
    <col min="33" max="16384" width="11.42578125" style="13"/>
  </cols>
  <sheetData>
    <row r="1" spans="1:33" s="10" customFormat="1" ht="12.75" customHeight="1" x14ac:dyDescent="0.2">
      <c r="B1" s="11"/>
      <c r="S1" s="12"/>
    </row>
    <row r="2" spans="1:33" ht="11.25" customHeight="1" x14ac:dyDescent="0.2">
      <c r="A2" s="10"/>
      <c r="X2" s="15"/>
      <c r="Y2" s="15"/>
      <c r="Z2" s="15"/>
      <c r="AA2" s="15"/>
      <c r="AB2" s="15"/>
    </row>
    <row r="3" spans="1:33" ht="18" x14ac:dyDescent="0.25">
      <c r="B3" s="16" t="s">
        <v>19</v>
      </c>
      <c r="S3" s="17"/>
      <c r="T3" s="18" t="str">
        <f>+B3</f>
        <v>MUSICAR S.A. COLOMBIA CONSOLIDADO</v>
      </c>
    </row>
    <row r="4" spans="1:33" x14ac:dyDescent="0.2">
      <c r="B4" s="2" t="s">
        <v>20</v>
      </c>
      <c r="S4" s="17"/>
      <c r="T4" s="19" t="s">
        <v>21</v>
      </c>
    </row>
    <row r="5" spans="1:33" x14ac:dyDescent="0.2">
      <c r="B5" s="3" t="s">
        <v>22</v>
      </c>
      <c r="S5" s="17"/>
      <c r="T5" s="19" t="s">
        <v>22</v>
      </c>
    </row>
    <row r="6" spans="1:33" ht="13.5" thickBot="1" x14ac:dyDescent="0.25">
      <c r="B6" s="20" t="str">
        <f>+'COLOMB$ '!B6</f>
        <v>JUNIO de 2024</v>
      </c>
      <c r="K6" s="21" t="s">
        <v>23</v>
      </c>
      <c r="L6" s="21"/>
      <c r="M6" s="21"/>
      <c r="N6" s="21"/>
      <c r="O6" s="21"/>
      <c r="P6" s="21"/>
      <c r="Q6" s="21"/>
      <c r="R6" s="21"/>
      <c r="S6" s="17"/>
      <c r="T6" s="13" t="str">
        <f>+B6</f>
        <v>JUNIO de 2024</v>
      </c>
      <c r="X6" s="21" t="s">
        <v>23</v>
      </c>
      <c r="Y6" s="21"/>
      <c r="Z6" s="21"/>
      <c r="AA6" s="21"/>
      <c r="AB6" s="21"/>
      <c r="AC6" s="21"/>
    </row>
    <row r="7" spans="1:33" ht="17.25" customHeight="1" x14ac:dyDescent="0.2">
      <c r="C7" s="22" t="str">
        <f>+'COLOMB$ '!D7:D7</f>
        <v>Ppto 2024</v>
      </c>
      <c r="E7" s="13" t="str">
        <f>+'COLOMB$ '!F7:F7</f>
        <v>Real 2024</v>
      </c>
      <c r="G7" s="10" t="s">
        <v>24</v>
      </c>
      <c r="H7" s="13" t="str">
        <f>+'COLOMB$ '!I7:I7</f>
        <v>Real 2023</v>
      </c>
      <c r="J7" s="10" t="s">
        <v>25</v>
      </c>
      <c r="K7" s="13" t="str">
        <f>+C7</f>
        <v>Ppto 2024</v>
      </c>
      <c r="M7" s="23" t="str">
        <f>+E7</f>
        <v>Real 2024</v>
      </c>
      <c r="N7" s="23"/>
      <c r="O7" s="10" t="s">
        <v>24</v>
      </c>
      <c r="P7" s="13" t="str">
        <f>+H7</f>
        <v>Real 2023</v>
      </c>
      <c r="R7" s="10" t="s">
        <v>25</v>
      </c>
      <c r="S7" s="24"/>
      <c r="T7" s="15"/>
      <c r="U7" s="15" t="str">
        <f>+C7</f>
        <v>Ppto 2024</v>
      </c>
      <c r="V7" s="15" t="str">
        <f>+M7</f>
        <v>Real 2024</v>
      </c>
      <c r="W7" s="15" t="str">
        <f>+H7</f>
        <v>Real 2023</v>
      </c>
      <c r="X7" s="15" t="str">
        <f>+U7</f>
        <v>Ppto 2024</v>
      </c>
      <c r="Y7" s="15" t="str">
        <f>+V7</f>
        <v>Real 2024</v>
      </c>
      <c r="Z7" s="15" t="s">
        <v>26</v>
      </c>
      <c r="AA7" s="15" t="s">
        <v>24</v>
      </c>
      <c r="AB7" s="15" t="str">
        <f>+W7</f>
        <v>Real 2023</v>
      </c>
      <c r="AC7" s="15" t="s">
        <v>25</v>
      </c>
    </row>
    <row r="8" spans="1:33" ht="15.75" customHeight="1" thickBot="1" x14ac:dyDescent="0.25">
      <c r="A8" s="25"/>
      <c r="B8" s="26" t="s">
        <v>27</v>
      </c>
      <c r="C8" s="27" t="s">
        <v>28</v>
      </c>
      <c r="D8" s="28" t="s">
        <v>29</v>
      </c>
      <c r="E8" s="28" t="s">
        <v>28</v>
      </c>
      <c r="F8" s="28" t="s">
        <v>29</v>
      </c>
      <c r="G8" s="28" t="s">
        <v>30</v>
      </c>
      <c r="H8" s="28" t="s">
        <v>28</v>
      </c>
      <c r="I8" s="28" t="s">
        <v>29</v>
      </c>
      <c r="J8" s="28" t="s">
        <v>30</v>
      </c>
      <c r="K8" s="28" t="s">
        <v>28</v>
      </c>
      <c r="L8" s="28" t="s">
        <v>29</v>
      </c>
      <c r="M8" s="28" t="s">
        <v>28</v>
      </c>
      <c r="N8" s="28" t="s">
        <v>29</v>
      </c>
      <c r="O8" s="28" t="s">
        <v>30</v>
      </c>
      <c r="P8" s="28" t="s">
        <v>28</v>
      </c>
      <c r="Q8" s="28" t="s">
        <v>29</v>
      </c>
      <c r="R8" s="28" t="s">
        <v>30</v>
      </c>
      <c r="S8" s="12"/>
      <c r="T8" s="29"/>
      <c r="U8" s="30"/>
      <c r="V8" s="30"/>
      <c r="W8" s="30"/>
      <c r="X8" s="30"/>
      <c r="Y8" s="30"/>
      <c r="Z8" s="30"/>
      <c r="AA8" s="30" t="s">
        <v>30</v>
      </c>
      <c r="AB8" s="30"/>
      <c r="AC8" s="30" t="s">
        <v>30</v>
      </c>
    </row>
    <row r="9" spans="1:33" x14ac:dyDescent="0.2">
      <c r="S9" s="17"/>
      <c r="U9" s="15"/>
      <c r="V9" s="15"/>
      <c r="W9" s="15"/>
      <c r="X9" s="15"/>
      <c r="Y9" s="15"/>
      <c r="Z9" s="15"/>
      <c r="AB9" s="15"/>
    </row>
    <row r="10" spans="1:33" x14ac:dyDescent="0.2">
      <c r="A10" s="31"/>
      <c r="B10" s="19" t="str">
        <f>+'COLOMB$ '!B10</f>
        <v>Musical Experience  (Ambiental)</v>
      </c>
      <c r="C10" s="32">
        <v>402188</v>
      </c>
      <c r="D10" s="33">
        <f t="shared" ref="D10:D20" si="0">+C10/$C$20</f>
        <v>0.40279944956443881</v>
      </c>
      <c r="E10" s="32">
        <v>398125.84600000002</v>
      </c>
      <c r="F10" s="33">
        <f t="shared" ref="F10:F20" si="1">+E10/$E$20</f>
        <v>0.39030326233856016</v>
      </c>
      <c r="G10" s="33">
        <f t="shared" ref="G10:G20" si="2">IF(C10=0,"",(E10-C10)/ABS(C10)+1)</f>
        <v>0.98989986275075348</v>
      </c>
      <c r="H10" s="32">
        <v>400134.1</v>
      </c>
      <c r="I10" s="33">
        <f t="shared" ref="I10:I19" si="3">+H10/$H$20</f>
        <v>0.39879385546445834</v>
      </c>
      <c r="J10" s="34">
        <f t="shared" ref="J10:J20" si="4">IF(H10=0,"",(E10-H10)/ABS(H10))</f>
        <v>-5.018952396209064E-3</v>
      </c>
      <c r="K10" s="32">
        <v>2496493</v>
      </c>
      <c r="L10" s="33">
        <f t="shared" ref="L10:L20" si="5">+K10/$K$20</f>
        <v>0.40034121707599191</v>
      </c>
      <c r="M10" s="32">
        <v>2419948.429</v>
      </c>
      <c r="N10" s="33">
        <f t="shared" ref="N10:N20" si="6">+M10/$M$20</f>
        <v>0.39608792147584915</v>
      </c>
      <c r="O10" s="33">
        <f t="shared" ref="O10:O20" si="7">IF(K10=0,"",(M10-K10)/ABS(K10)+1)</f>
        <v>0.9693391605744538</v>
      </c>
      <c r="P10" s="32">
        <v>2331986.1379999998</v>
      </c>
      <c r="Q10" s="33">
        <f t="shared" ref="Q10:Q20" si="8">+P10/$P$20</f>
        <v>0.41178238380392518</v>
      </c>
      <c r="R10" s="34">
        <f t="shared" ref="R10:R20" si="9">IF(P10=0,"",(M10-P10)/ABS(P10))</f>
        <v>3.7719903033145818E-2</v>
      </c>
      <c r="S10" s="24"/>
      <c r="T10" s="19" t="s">
        <v>31</v>
      </c>
      <c r="U10" s="35">
        <f>+'COLOMB$ '!U10</f>
        <v>18595</v>
      </c>
      <c r="V10" s="35">
        <f>+'COLOMB$ '!V10</f>
        <v>-9920</v>
      </c>
      <c r="W10" s="35">
        <f>+'COLOMB$ '!W10</f>
        <v>106477</v>
      </c>
      <c r="X10" s="35">
        <f>+'COLOMB$ '!X10</f>
        <v>45751</v>
      </c>
      <c r="Y10" s="35">
        <f>+'COLOMB$ '!Y10</f>
        <v>45751</v>
      </c>
      <c r="Z10" s="36">
        <f>+Y10-X10</f>
        <v>0</v>
      </c>
      <c r="AA10" s="37">
        <f>IF(X10=0,"",(Y10-X10)/ABS(X10)+1)</f>
        <v>1</v>
      </c>
      <c r="AB10" s="35">
        <f>+'COLOMB$ '!AB10</f>
        <v>32108</v>
      </c>
      <c r="AC10" s="34">
        <f>IF(W10=0,"",(Y10-AB10)/ABS(AB10))</f>
        <v>0.42490967983057182</v>
      </c>
    </row>
    <row r="11" spans="1:33" x14ac:dyDescent="0.2">
      <c r="A11" s="38"/>
      <c r="B11" s="19" t="str">
        <f>+'COLOMB$ '!B11</f>
        <v>Instalaciones</v>
      </c>
      <c r="C11" s="32">
        <v>41514</v>
      </c>
      <c r="D11" s="33">
        <f t="shared" si="0"/>
        <v>4.157711405914178E-2</v>
      </c>
      <c r="E11" s="32">
        <v>59380.862000000001</v>
      </c>
      <c r="F11" s="33">
        <f t="shared" si="1"/>
        <v>5.8214115943318677E-2</v>
      </c>
      <c r="G11" s="33">
        <f t="shared" si="2"/>
        <v>1.4303816062051355</v>
      </c>
      <c r="H11" s="32">
        <v>38011.326000000001</v>
      </c>
      <c r="I11" s="33">
        <f t="shared" si="3"/>
        <v>3.788400750362543E-2</v>
      </c>
      <c r="J11" s="34">
        <f t="shared" si="4"/>
        <v>0.56218864872012098</v>
      </c>
      <c r="K11" s="32">
        <v>285403</v>
      </c>
      <c r="L11" s="33">
        <f t="shared" si="5"/>
        <v>4.5767636591466238E-2</v>
      </c>
      <c r="M11" s="32">
        <v>361803.641</v>
      </c>
      <c r="N11" s="33">
        <f t="shared" si="6"/>
        <v>5.9218638888640679E-2</v>
      </c>
      <c r="O11" s="33">
        <f t="shared" si="7"/>
        <v>1.2676938959996917</v>
      </c>
      <c r="P11" s="32">
        <v>251221.00899999999</v>
      </c>
      <c r="Q11" s="33">
        <f t="shared" si="8"/>
        <v>4.4360635023486299E-2</v>
      </c>
      <c r="R11" s="34">
        <f t="shared" si="9"/>
        <v>0.44018066976237652</v>
      </c>
      <c r="S11" s="24"/>
      <c r="T11" s="19" t="s">
        <v>32</v>
      </c>
      <c r="U11" s="35">
        <f>+'COLOMB$ '!U11</f>
        <v>1180971</v>
      </c>
      <c r="V11" s="35">
        <f>+'COLOMB$ '!V11</f>
        <v>838851.12259000004</v>
      </c>
      <c r="W11" s="35">
        <f>+'COLOMB$ '!W11</f>
        <v>1261217.6891099999</v>
      </c>
      <c r="X11" s="35">
        <f>+'COLOMB$ '!X11</f>
        <v>6944151</v>
      </c>
      <c r="Y11" s="35">
        <f>+'COLOMB$ '!Y11</f>
        <v>6536692.6440500002</v>
      </c>
      <c r="Z11" s="36">
        <f>+Y11-X11</f>
        <v>-407458.35594999976</v>
      </c>
      <c r="AA11" s="37">
        <f>IF(X11=0,"",(Y11-X11)/ABS(X11)+1)</f>
        <v>0.9413235173097475</v>
      </c>
      <c r="AB11" s="35">
        <f>+'COLOMB$ '!AB11</f>
        <v>6707432.2369999997</v>
      </c>
      <c r="AC11" s="34">
        <f>IF(AB11=0,"",(Y11-AB11)/ABS(AB11))</f>
        <v>-2.5455284066554409E-2</v>
      </c>
    </row>
    <row r="12" spans="1:33" x14ac:dyDescent="0.2">
      <c r="A12" s="38"/>
      <c r="B12" s="19" t="str">
        <f>+'COLOMB$ '!B12</f>
        <v>Voice Experience (Publihold)</v>
      </c>
      <c r="C12" s="32">
        <v>79355</v>
      </c>
      <c r="D12" s="33">
        <f t="shared" si="0"/>
        <v>7.9475644027633949E-2</v>
      </c>
      <c r="E12" s="32">
        <v>59876.646999999997</v>
      </c>
      <c r="F12" s="33">
        <f t="shared" si="1"/>
        <v>5.8700159501813301E-2</v>
      </c>
      <c r="G12" s="33">
        <f t="shared" si="2"/>
        <v>0.75454157898053054</v>
      </c>
      <c r="H12" s="32">
        <v>86862.550199999998</v>
      </c>
      <c r="I12" s="33">
        <f t="shared" si="3"/>
        <v>8.6571605093724982E-2</v>
      </c>
      <c r="J12" s="34">
        <f t="shared" si="4"/>
        <v>-0.31067362330331399</v>
      </c>
      <c r="K12" s="32">
        <v>459131</v>
      </c>
      <c r="L12" s="33">
        <f t="shared" si="5"/>
        <v>7.3626909163100898E-2</v>
      </c>
      <c r="M12" s="32">
        <v>435198.82</v>
      </c>
      <c r="N12" s="33">
        <f t="shared" si="6"/>
        <v>7.1231681624626147E-2</v>
      </c>
      <c r="O12" s="33">
        <f t="shared" si="7"/>
        <v>0.94787505091139568</v>
      </c>
      <c r="P12" s="32">
        <v>546959.71860000002</v>
      </c>
      <c r="Q12" s="33">
        <f t="shared" si="8"/>
        <v>9.6582210802932375E-2</v>
      </c>
      <c r="R12" s="34">
        <f t="shared" si="9"/>
        <v>-0.20433113225607105</v>
      </c>
      <c r="S12" s="24"/>
      <c r="AC12" s="2"/>
    </row>
    <row r="13" spans="1:33" ht="14.25" x14ac:dyDescent="0.2">
      <c r="A13" s="39"/>
      <c r="B13" s="19" t="str">
        <f>+'COLOMB$ '!B13</f>
        <v>Service &amp; Equipment Experience</v>
      </c>
      <c r="C13" s="32">
        <v>93193</v>
      </c>
      <c r="D13" s="33">
        <f t="shared" si="0"/>
        <v>9.3334682047347878E-2</v>
      </c>
      <c r="E13" s="32">
        <v>88689.054000000004</v>
      </c>
      <c r="F13" s="33">
        <f t="shared" si="1"/>
        <v>8.6946445345627538E-2</v>
      </c>
      <c r="G13" s="33">
        <f t="shared" si="2"/>
        <v>0.95167076926378591</v>
      </c>
      <c r="H13" s="32">
        <v>124074.89200000001</v>
      </c>
      <c r="I13" s="33">
        <f t="shared" si="3"/>
        <v>0.12365930458567836</v>
      </c>
      <c r="J13" s="34">
        <f t="shared" si="4"/>
        <v>-0.28519741125384174</v>
      </c>
      <c r="K13" s="32">
        <v>640468</v>
      </c>
      <c r="L13" s="33">
        <f t="shared" si="5"/>
        <v>0.1027063719458562</v>
      </c>
      <c r="M13" s="32">
        <v>659340.57849999995</v>
      </c>
      <c r="N13" s="33">
        <f t="shared" si="6"/>
        <v>0.1079183490660862</v>
      </c>
      <c r="O13" s="33">
        <f t="shared" si="7"/>
        <v>1.0294668562676041</v>
      </c>
      <c r="P13" s="32">
        <v>520009.63</v>
      </c>
      <c r="Q13" s="33">
        <f t="shared" si="8"/>
        <v>9.1823361019651634E-2</v>
      </c>
      <c r="R13" s="34">
        <f t="shared" si="9"/>
        <v>0.26793916970345327</v>
      </c>
      <c r="S13" s="24"/>
      <c r="T13" s="19" t="s">
        <v>33</v>
      </c>
      <c r="U13" s="35">
        <f>+'COLOMB$ '!U13</f>
        <v>141350</v>
      </c>
      <c r="V13" s="35">
        <f>+'COLOMB$ '!V13</f>
        <v>85370.082999999999</v>
      </c>
      <c r="W13" s="35">
        <f>+'COLOMB$ '!W13</f>
        <v>159609.508</v>
      </c>
      <c r="X13" s="35">
        <f>+'COLOMB$ '!X13</f>
        <v>957807</v>
      </c>
      <c r="Y13" s="35">
        <f>+'COLOMB$ '!Y13</f>
        <v>1097838.054</v>
      </c>
      <c r="Z13" s="36">
        <f>+X13-Y13</f>
        <v>-140031.054</v>
      </c>
      <c r="AA13" s="37">
        <f>IF(X13=0,"",(Y13-X13)/ABS(X13)+1)</f>
        <v>1.1461996560893792</v>
      </c>
      <c r="AB13" s="35">
        <f>+'COLOMB$ '!AB13</f>
        <v>819526.64300000004</v>
      </c>
      <c r="AC13" s="34">
        <f>IF(AB13=0,"",(Y13-AB13)/ABS(AB13))</f>
        <v>0.33960019894069504</v>
      </c>
      <c r="AE13" s="40"/>
      <c r="AF13" s="40"/>
    </row>
    <row r="14" spans="1:33" x14ac:dyDescent="0.2">
      <c r="A14" s="38"/>
      <c r="B14" s="19" t="str">
        <f>+'COLOMB$ '!B14</f>
        <v>POP Satelital</v>
      </c>
      <c r="C14" s="32">
        <v>0</v>
      </c>
      <c r="D14" s="33">
        <f t="shared" si="0"/>
        <v>0</v>
      </c>
      <c r="E14" s="32">
        <v>0</v>
      </c>
      <c r="F14" s="33">
        <f t="shared" si="1"/>
        <v>0</v>
      </c>
      <c r="G14" s="33" t="e">
        <f t="shared" si="2"/>
        <v>#DIV/0!</v>
      </c>
      <c r="H14" s="32">
        <v>0</v>
      </c>
      <c r="I14" s="33">
        <f t="shared" si="3"/>
        <v>0</v>
      </c>
      <c r="J14" s="34" t="e">
        <f t="shared" si="4"/>
        <v>#DIV/0!</v>
      </c>
      <c r="K14" s="32">
        <v>0</v>
      </c>
      <c r="L14" s="33">
        <f t="shared" si="5"/>
        <v>0</v>
      </c>
      <c r="M14" s="35"/>
      <c r="N14" s="33">
        <f t="shared" si="6"/>
        <v>0</v>
      </c>
      <c r="O14" s="33" t="e">
        <f t="shared" si="7"/>
        <v>#DIV/0!</v>
      </c>
      <c r="P14" s="35"/>
      <c r="Q14" s="33">
        <f t="shared" si="8"/>
        <v>0</v>
      </c>
      <c r="R14" s="34" t="str">
        <f t="shared" si="9"/>
        <v/>
      </c>
      <c r="S14" s="24"/>
      <c r="T14" s="19" t="s">
        <v>34</v>
      </c>
      <c r="U14" s="35">
        <f>+'COLOMB$ '!U14</f>
        <v>12131</v>
      </c>
      <c r="V14" s="35">
        <f>+'COLOMB$ '!V14</f>
        <v>13654.255999999999</v>
      </c>
      <c r="W14" s="35">
        <f>+'COLOMB$ '!W14</f>
        <v>11074.069</v>
      </c>
      <c r="X14" s="35">
        <f>+'COLOMB$ '!X14</f>
        <v>72366</v>
      </c>
      <c r="Y14" s="35">
        <f>+'COLOMB$ '!Y14</f>
        <v>79680.036999999997</v>
      </c>
      <c r="Z14" s="36">
        <f>+X14-Y14</f>
        <v>-7314.0369999999966</v>
      </c>
      <c r="AA14" s="37">
        <f>IF(X14=0,"",(Y14-X14)/ABS(X14)+1)</f>
        <v>1.1010700743443054</v>
      </c>
      <c r="AB14" s="35">
        <f>+'COLOMB$ '!AB14</f>
        <v>56369.468000000001</v>
      </c>
      <c r="AC14" s="34">
        <f>IF(AB14=0,"",(Y14-AB14)/ABS(AB14))</f>
        <v>0.41353182542010147</v>
      </c>
      <c r="AE14" s="40"/>
    </row>
    <row r="15" spans="1:33" x14ac:dyDescent="0.2">
      <c r="A15" s="38"/>
      <c r="B15" s="19" t="str">
        <f>+'COLOMB$ '!B15</f>
        <v>Voice Experience (Audicóm)</v>
      </c>
      <c r="C15" s="32">
        <v>138662</v>
      </c>
      <c r="D15" s="33">
        <f t="shared" si="0"/>
        <v>0.13887280892394654</v>
      </c>
      <c r="E15" s="32">
        <v>129508.651</v>
      </c>
      <c r="F15" s="33">
        <f t="shared" si="1"/>
        <v>0.12696399767616701</v>
      </c>
      <c r="G15" s="33">
        <f t="shared" si="2"/>
        <v>0.93398805007860841</v>
      </c>
      <c r="H15" s="32">
        <v>125942.02800000001</v>
      </c>
      <c r="I15" s="33">
        <f t="shared" si="3"/>
        <v>0.12552018663526246</v>
      </c>
      <c r="J15" s="34">
        <f t="shared" si="4"/>
        <v>2.8319561441395816E-2</v>
      </c>
      <c r="K15" s="32">
        <v>852709</v>
      </c>
      <c r="L15" s="33">
        <f t="shared" si="5"/>
        <v>0.13674164472788508</v>
      </c>
      <c r="M15" s="32">
        <v>810668.13600000006</v>
      </c>
      <c r="N15" s="33">
        <f t="shared" si="6"/>
        <v>0.13268706603290223</v>
      </c>
      <c r="O15" s="33">
        <f t="shared" si="7"/>
        <v>0.95069729063490604</v>
      </c>
      <c r="P15" s="32">
        <v>800923.17200000002</v>
      </c>
      <c r="Q15" s="33">
        <f t="shared" si="8"/>
        <v>0.14142710697792374</v>
      </c>
      <c r="R15" s="34">
        <f t="shared" si="9"/>
        <v>1.2167164517997035E-2</v>
      </c>
      <c r="S15" s="24"/>
      <c r="T15" s="19" t="s">
        <v>35</v>
      </c>
      <c r="U15" s="35">
        <f>+'COLOMB$ '!U15</f>
        <v>525655</v>
      </c>
      <c r="V15" s="35">
        <f>+'COLOMB$ '!V15</f>
        <v>552023.88399999996</v>
      </c>
      <c r="W15" s="35">
        <f>+'COLOMB$ '!W15</f>
        <v>494962.3</v>
      </c>
      <c r="X15" s="35">
        <f>+'COLOMB$ '!X15</f>
        <v>2800000</v>
      </c>
      <c r="Y15" s="35">
        <f>+'COLOMB$ '!Y15</f>
        <v>2801886.4309999999</v>
      </c>
      <c r="Z15" s="36">
        <f>+X15-Y15</f>
        <v>-1886.4309999998659</v>
      </c>
      <c r="AA15" s="37">
        <f>IF(X15=0,"",(Y15-X15)/ABS(X15)+1)</f>
        <v>1.0006737253571427</v>
      </c>
      <c r="AB15" s="35">
        <f>+'COLOMB$ '!AB15</f>
        <v>2378989.1090000002</v>
      </c>
      <c r="AC15" s="34">
        <f>IF(AB15=0,"",(Y15-AB15)/ABS(AB15))</f>
        <v>0.1777634544017577</v>
      </c>
      <c r="AE15" s="40"/>
      <c r="AF15" s="40"/>
      <c r="AG15" s="40"/>
    </row>
    <row r="16" spans="1:33" x14ac:dyDescent="0.2">
      <c r="A16" s="38"/>
      <c r="B16" s="19" t="str">
        <f>+'COLOMB$ '!B16</f>
        <v>Fact. Servicio Satelital</v>
      </c>
      <c r="C16" s="32">
        <v>0</v>
      </c>
      <c r="D16" s="33">
        <f t="shared" si="0"/>
        <v>0</v>
      </c>
      <c r="E16" s="35"/>
      <c r="F16" s="33">
        <f t="shared" si="1"/>
        <v>0</v>
      </c>
      <c r="G16" s="33" t="e">
        <f t="shared" si="2"/>
        <v>#DIV/0!</v>
      </c>
      <c r="H16" s="35"/>
      <c r="I16" s="33">
        <f t="shared" si="3"/>
        <v>0</v>
      </c>
      <c r="J16" s="34" t="str">
        <f t="shared" si="4"/>
        <v/>
      </c>
      <c r="K16" s="32">
        <v>0</v>
      </c>
      <c r="L16" s="33">
        <f t="shared" si="5"/>
        <v>0</v>
      </c>
      <c r="M16" s="35">
        <f>+'COLOMB$ '!M16+'PROY SAT$'!M16</f>
        <v>0</v>
      </c>
      <c r="N16" s="33">
        <f t="shared" si="6"/>
        <v>0</v>
      </c>
      <c r="O16" s="33" t="e">
        <f t="shared" si="7"/>
        <v>#DIV/0!</v>
      </c>
      <c r="P16" s="35">
        <f>+'COLOMB$ '!P16+'PROY SAT$'!P16</f>
        <v>0</v>
      </c>
      <c r="Q16" s="33">
        <f t="shared" si="8"/>
        <v>0</v>
      </c>
      <c r="R16" s="34" t="str">
        <f t="shared" si="9"/>
        <v/>
      </c>
      <c r="S16" s="24"/>
      <c r="T16" s="19" t="s">
        <v>36</v>
      </c>
      <c r="U16" s="35">
        <f>+'COLOMB$ '!U16</f>
        <v>293853</v>
      </c>
      <c r="V16" s="35">
        <f>+'COLOMB$ '!V16</f>
        <v>213742.07183</v>
      </c>
      <c r="W16" s="35">
        <f>+'COLOMB$ '!W16</f>
        <v>323426.82020000002</v>
      </c>
      <c r="X16" s="35">
        <f>+'COLOMB$ '!X16</f>
        <v>1841123</v>
      </c>
      <c r="Y16" s="35">
        <f>+'COLOMB$ '!Y16</f>
        <v>1560657.0004700001</v>
      </c>
      <c r="Z16" s="36">
        <f>+X16-Y16</f>
        <v>280465.99952999991</v>
      </c>
      <c r="AA16" s="37">
        <f>IF(X16=0,"",(Y16-X16)/ABS(X16)+1)</f>
        <v>0.84766579987866109</v>
      </c>
      <c r="AB16" s="35">
        <f>+'COLOMB$ '!AB16</f>
        <v>1561990.25826</v>
      </c>
      <c r="AC16" s="34">
        <f>IF(AB16=0,"",(Y16-AB16)/ABS(AB16))</f>
        <v>-8.5356344762684076E-4</v>
      </c>
      <c r="AE16" s="40"/>
      <c r="AF16" s="14"/>
    </row>
    <row r="17" spans="1:32" x14ac:dyDescent="0.2">
      <c r="A17" s="38"/>
      <c r="B17" s="19" t="str">
        <f>+'COLOMB$ '!B17</f>
        <v>Visual Experience</v>
      </c>
      <c r="C17" s="32">
        <v>15340</v>
      </c>
      <c r="D17" s="33">
        <f t="shared" si="0"/>
        <v>1.5363321522070502E-2</v>
      </c>
      <c r="E17" s="32">
        <v>8648.6419999999998</v>
      </c>
      <c r="F17" s="33">
        <f t="shared" si="1"/>
        <v>8.4787089843905514E-3</v>
      </c>
      <c r="G17" s="33">
        <f t="shared" si="2"/>
        <v>0.56379674054758799</v>
      </c>
      <c r="H17" s="32">
        <v>15268.773999999999</v>
      </c>
      <c r="I17" s="33">
        <f t="shared" si="3"/>
        <v>1.5217631418255729E-2</v>
      </c>
      <c r="J17" s="34">
        <f t="shared" si="4"/>
        <v>-0.4335732521812164</v>
      </c>
      <c r="K17" s="32">
        <v>104776</v>
      </c>
      <c r="L17" s="33">
        <f t="shared" si="5"/>
        <v>1.6802030432432266E-2</v>
      </c>
      <c r="M17" s="32">
        <v>93723.962</v>
      </c>
      <c r="N17" s="33">
        <f t="shared" si="6"/>
        <v>1.5340380338766908E-2</v>
      </c>
      <c r="O17" s="33">
        <f t="shared" si="7"/>
        <v>0.89451746583186986</v>
      </c>
      <c r="P17" s="32">
        <v>76228.722999999998</v>
      </c>
      <c r="Q17" s="33">
        <f t="shared" si="8"/>
        <v>1.3460476784047291E-2</v>
      </c>
      <c r="R17" s="34">
        <f t="shared" si="9"/>
        <v>0.229509800393744</v>
      </c>
      <c r="S17" s="24"/>
      <c r="T17" s="19" t="s">
        <v>37</v>
      </c>
      <c r="U17" s="35">
        <f>U13+U14+U15+U16</f>
        <v>972989</v>
      </c>
      <c r="V17" s="35">
        <f>V13+V14+V15+V16</f>
        <v>864790.29483000003</v>
      </c>
      <c r="W17" s="35">
        <f>W13+W14+W15+W16</f>
        <v>989072.69720000005</v>
      </c>
      <c r="X17" s="35">
        <f>X13+X14+X15+X16</f>
        <v>5671296</v>
      </c>
      <c r="Y17" s="35">
        <f>Y13+Y14+Y15+Y16</f>
        <v>5540061.5224700002</v>
      </c>
      <c r="Z17" s="36">
        <f>+Y17-X17</f>
        <v>-131234.4775299998</v>
      </c>
      <c r="AA17" s="37">
        <f>IF(X17=0,"",(Y17-X17)/ABS(X17)+1)</f>
        <v>0.97685987867147128</v>
      </c>
      <c r="AB17" s="35">
        <f>+'COLOMB$ '!AB17</f>
        <v>4816875.4782600002</v>
      </c>
      <c r="AC17" s="34">
        <f>IF(AB17=0,"",(Y17-AB17)/ABS(AB17))</f>
        <v>0.15013592264818862</v>
      </c>
      <c r="AE17" s="40"/>
      <c r="AF17" s="40"/>
    </row>
    <row r="18" spans="1:32" x14ac:dyDescent="0.2">
      <c r="A18" s="38"/>
      <c r="B18" s="19" t="str">
        <f>+'COLOMB$ '!B18</f>
        <v>Olfa Experience</v>
      </c>
      <c r="C18" s="32">
        <v>165985</v>
      </c>
      <c r="D18" s="33">
        <f t="shared" si="0"/>
        <v>0.16623734829471137</v>
      </c>
      <c r="E18" s="32">
        <v>220513.40400000001</v>
      </c>
      <c r="F18" s="33">
        <f t="shared" si="1"/>
        <v>0.21618064196359887</v>
      </c>
      <c r="G18" s="33">
        <f t="shared" si="2"/>
        <v>1.3285140464499805</v>
      </c>
      <c r="H18" s="32">
        <v>155586.85800000001</v>
      </c>
      <c r="I18" s="33">
        <f t="shared" si="3"/>
        <v>0.15506572162037979</v>
      </c>
      <c r="J18" s="41">
        <f t="shared" si="4"/>
        <v>0.41730096509822184</v>
      </c>
      <c r="K18" s="32">
        <v>1025435</v>
      </c>
      <c r="L18" s="33">
        <f t="shared" si="5"/>
        <v>0.16444023513477496</v>
      </c>
      <c r="M18" s="32">
        <v>991574.723</v>
      </c>
      <c r="N18" s="33">
        <f t="shared" si="6"/>
        <v>0.16229716563974797</v>
      </c>
      <c r="O18" s="33">
        <f t="shared" si="7"/>
        <v>0.96697959695153768</v>
      </c>
      <c r="P18" s="32">
        <v>791212.60199999996</v>
      </c>
      <c r="Q18" s="33">
        <f t="shared" si="8"/>
        <v>0.13971241339654408</v>
      </c>
      <c r="R18" s="34">
        <f t="shared" si="9"/>
        <v>0.25323423880450285</v>
      </c>
      <c r="S18" s="24"/>
      <c r="AC18" s="2"/>
      <c r="AE18" s="40"/>
    </row>
    <row r="19" spans="1:32" x14ac:dyDescent="0.2">
      <c r="A19" s="31"/>
      <c r="B19" s="19" t="str">
        <f>+'COLOMB$ '!B19</f>
        <v>Locutor virtual</v>
      </c>
      <c r="C19" s="32">
        <v>62245</v>
      </c>
      <c r="D19" s="33">
        <f t="shared" si="0"/>
        <v>6.2339631560709159E-2</v>
      </c>
      <c r="E19" s="32">
        <v>55299.216</v>
      </c>
      <c r="F19" s="33">
        <f t="shared" si="1"/>
        <v>5.4212668246523994E-2</v>
      </c>
      <c r="G19" s="33">
        <f t="shared" si="2"/>
        <v>0.88841217768495462</v>
      </c>
      <c r="H19" s="32">
        <v>57480.216999999997</v>
      </c>
      <c r="I19" s="33">
        <f t="shared" si="3"/>
        <v>5.7287687678615001E-2</v>
      </c>
      <c r="J19" s="34">
        <f t="shared" si="4"/>
        <v>-3.7943506719885847E-2</v>
      </c>
      <c r="K19" s="32">
        <v>371498</v>
      </c>
      <c r="L19" s="33">
        <f t="shared" si="5"/>
        <v>5.9573954928492427E-2</v>
      </c>
      <c r="M19" s="32">
        <v>337366.109</v>
      </c>
      <c r="N19" s="33">
        <f t="shared" si="6"/>
        <v>5.5218796933380748E-2</v>
      </c>
      <c r="O19" s="33">
        <f t="shared" si="7"/>
        <v>0.9081236211231285</v>
      </c>
      <c r="P19" s="32">
        <v>344610.783</v>
      </c>
      <c r="Q19" s="33">
        <f t="shared" si="8"/>
        <v>6.0851412191489276E-2</v>
      </c>
      <c r="R19" s="34">
        <f t="shared" si="9"/>
        <v>-2.1022772232870031E-2</v>
      </c>
      <c r="S19" s="24"/>
      <c r="T19" s="19" t="s">
        <v>38</v>
      </c>
      <c r="U19" s="35">
        <f>U11-U17</f>
        <v>207982</v>
      </c>
      <c r="V19" s="35">
        <f>V11-V17</f>
        <v>-25939.172239999985</v>
      </c>
      <c r="W19" s="35">
        <f>W11-W17</f>
        <v>272144.99190999987</v>
      </c>
      <c r="X19" s="35">
        <f>X11-X17</f>
        <v>1272855</v>
      </c>
      <c r="Y19" s="35">
        <f>Y11-Y17</f>
        <v>996631.12158000004</v>
      </c>
      <c r="Z19" s="36">
        <f>+Y19-X19</f>
        <v>-276223.87841999996</v>
      </c>
      <c r="AA19" s="37">
        <f>IF(X19=0,"",(Y19-X19)/ABS(X19)+1)</f>
        <v>0.78298873130089452</v>
      </c>
      <c r="AB19" s="35">
        <f>AB11-AB17</f>
        <v>1890556.7587399995</v>
      </c>
      <c r="AC19" s="34">
        <f>IF(AB19=0,"",(Y19-AB19)/ABS(AB19))</f>
        <v>-0.47283723856869264</v>
      </c>
      <c r="AE19" s="40"/>
    </row>
    <row r="20" spans="1:32" x14ac:dyDescent="0.2">
      <c r="B20" s="42" t="s">
        <v>39</v>
      </c>
      <c r="C20" s="43">
        <f>SUM(C10:C19)</f>
        <v>998482</v>
      </c>
      <c r="D20" s="44">
        <f t="shared" si="0"/>
        <v>1</v>
      </c>
      <c r="E20" s="43">
        <f>SUM(E10:E19)</f>
        <v>1020042.3219999999</v>
      </c>
      <c r="F20" s="44">
        <f t="shared" si="1"/>
        <v>1</v>
      </c>
      <c r="G20" s="44">
        <f t="shared" si="2"/>
        <v>1.0215931003262952</v>
      </c>
      <c r="H20" s="43">
        <f>SUM(H10:H19)</f>
        <v>1003360.7451999999</v>
      </c>
      <c r="I20" s="44">
        <f>+H22/$H$22</f>
        <v>1</v>
      </c>
      <c r="J20" s="45">
        <f t="shared" si="4"/>
        <v>1.6625702051633384E-2</v>
      </c>
      <c r="K20" s="43">
        <f>SUM(K10:K19)</f>
        <v>6235913</v>
      </c>
      <c r="L20" s="44">
        <f t="shared" si="5"/>
        <v>1</v>
      </c>
      <c r="M20" s="43">
        <f>SUM(M10:M19)</f>
        <v>6109624.3985000001</v>
      </c>
      <c r="N20" s="44">
        <f t="shared" si="6"/>
        <v>1</v>
      </c>
      <c r="O20" s="44">
        <f t="shared" si="7"/>
        <v>0.97974817777284584</v>
      </c>
      <c r="P20" s="43">
        <f>SUM(P10:P19)</f>
        <v>5663151.7756000003</v>
      </c>
      <c r="Q20" s="44">
        <f t="shared" si="8"/>
        <v>1</v>
      </c>
      <c r="R20" s="45">
        <f t="shared" si="9"/>
        <v>7.8838187742672122E-2</v>
      </c>
      <c r="S20" s="24"/>
      <c r="T20" s="19"/>
      <c r="U20" s="35"/>
      <c r="V20" s="35"/>
      <c r="W20" s="35"/>
      <c r="X20" s="35"/>
      <c r="Y20" s="35"/>
      <c r="Z20" s="36"/>
      <c r="AA20" s="37"/>
      <c r="AB20" s="35"/>
      <c r="AC20" s="34" t="str">
        <f>IF(AB20=0,"",(Y20-AB20)/ABS(AB20))</f>
        <v/>
      </c>
      <c r="AE20" s="40"/>
    </row>
    <row r="21" spans="1:32" x14ac:dyDescent="0.2">
      <c r="J21" s="34"/>
      <c r="R21" s="34"/>
      <c r="S21" s="24"/>
      <c r="T21" s="19" t="s">
        <v>40</v>
      </c>
      <c r="U21" s="35">
        <f>+U10+U19</f>
        <v>226577</v>
      </c>
      <c r="V21" s="35">
        <f>+V10+V19</f>
        <v>-35859.172239999985</v>
      </c>
      <c r="W21" s="35">
        <f>+'COLOMB$ '!W21</f>
        <v>378621.99190999987</v>
      </c>
      <c r="X21" s="35">
        <f>+X10+X19</f>
        <v>1318606</v>
      </c>
      <c r="Y21" s="35">
        <f>+Y10+Y19</f>
        <v>1042382.12158</v>
      </c>
      <c r="Z21" s="36">
        <f>+Y21-X21</f>
        <v>-276223.87841999996</v>
      </c>
      <c r="AA21" s="37">
        <f>IF(X21=0,"",(Y21-X21)/ABS(X21)+1)</f>
        <v>0.79051826063281982</v>
      </c>
      <c r="AB21" s="35">
        <f>+'COLOMB$ '!AB21</f>
        <v>1922664.7587399995</v>
      </c>
      <c r="AC21" s="34">
        <f>IF(AB21=0,"",(Y21-AB21)/ABS(AB21))</f>
        <v>-0.45784509918249322</v>
      </c>
    </row>
    <row r="22" spans="1:32" x14ac:dyDescent="0.2">
      <c r="B22" s="19" t="s">
        <v>41</v>
      </c>
      <c r="C22" s="32">
        <v>99444</v>
      </c>
      <c r="D22" s="33">
        <f>+C22/$C$20</f>
        <v>9.9595185491576213E-2</v>
      </c>
      <c r="E22" s="32">
        <v>140684.48676</v>
      </c>
      <c r="F22" s="33">
        <f>+E22/$E$20</f>
        <v>0.13792024480333279</v>
      </c>
      <c r="G22" s="33">
        <f>IF(C22=0,"",(E22-C22)/ABS(C22)+1)</f>
        <v>1.4147106588632798</v>
      </c>
      <c r="H22" s="32">
        <v>126497.83887000001</v>
      </c>
      <c r="I22" s="33">
        <f>+H22/$H$20</f>
        <v>0.1260741358231881</v>
      </c>
      <c r="J22" s="34">
        <f>IF(H22=0,"",(E22-H22)/ABS(H22))</f>
        <v>0.11214933011289945</v>
      </c>
      <c r="K22" s="32">
        <v>619336</v>
      </c>
      <c r="L22" s="33">
        <f>+K22/$K$20</f>
        <v>9.9317613956448725E-2</v>
      </c>
      <c r="M22" s="32">
        <v>722783.38495000009</v>
      </c>
      <c r="N22" s="33">
        <f>+M22/$M$20</f>
        <v>0.11830242545310211</v>
      </c>
      <c r="O22" s="33">
        <f>IF(K22=0,"",(M22-K22)/ABS(K22)+1)</f>
        <v>1.1670295040979373</v>
      </c>
      <c r="P22" s="32">
        <v>491605.50089999998</v>
      </c>
      <c r="Q22" s="33">
        <f>+P22/$P$20</f>
        <v>8.6807756595560309E-2</v>
      </c>
      <c r="R22" s="34">
        <f>IF(P22=0,"",(M22-P22)/ABS(P22))</f>
        <v>0.47025080807024006</v>
      </c>
      <c r="S22" s="24"/>
      <c r="AC22" s="34"/>
      <c r="AE22" s="40"/>
    </row>
    <row r="23" spans="1:32" x14ac:dyDescent="0.2">
      <c r="J23" s="34"/>
      <c r="R23" s="34"/>
      <c r="S23" s="24"/>
      <c r="T23" s="19" t="s">
        <v>42</v>
      </c>
      <c r="U23" s="35">
        <f>+'COLOMB$ '!U23</f>
        <v>0</v>
      </c>
      <c r="V23" s="35">
        <f>+'COLOMB$ '!V23</f>
        <v>0</v>
      </c>
      <c r="W23" s="35">
        <f>+'COLOMB$ '!W23</f>
        <v>269.654</v>
      </c>
      <c r="X23" s="35">
        <f>+'COLOMB$ '!X23</f>
        <v>81164</v>
      </c>
      <c r="Y23" s="35">
        <f>+'COLOMB$ '!Y23</f>
        <v>218004.28115</v>
      </c>
      <c r="Z23" s="36">
        <f>+Y23-X23</f>
        <v>136840.28115</v>
      </c>
      <c r="AA23" s="37">
        <f>IF(X23=0,"",(Y23-X23)/ABS(X23)+1)</f>
        <v>2.6859726128579173</v>
      </c>
      <c r="AB23" s="35">
        <f>+'COLOMB$ '!AB23</f>
        <v>37584.189570000002</v>
      </c>
      <c r="AC23" s="34">
        <f>IF(AB23=0,"",(Y23-AB23)/ABS(AB23))</f>
        <v>4.8004252225252912</v>
      </c>
    </row>
    <row r="24" spans="1:32" x14ac:dyDescent="0.2">
      <c r="B24" s="46" t="s">
        <v>43</v>
      </c>
      <c r="C24" s="35">
        <f>+C20-C22</f>
        <v>899038</v>
      </c>
      <c r="D24" s="33">
        <f>+C24/$C$20</f>
        <v>0.9004048145084238</v>
      </c>
      <c r="E24" s="35">
        <f>+E20-E22</f>
        <v>879357.83523999993</v>
      </c>
      <c r="F24" s="33">
        <f>+E24/$E$20</f>
        <v>0.86207975519666724</v>
      </c>
      <c r="G24" s="33">
        <f>IF(C24=0,"",(E24-C24)/ABS(C24)+1)</f>
        <v>0.97810975202382988</v>
      </c>
      <c r="H24" s="35">
        <f>+H20-H22</f>
        <v>876862.90632999991</v>
      </c>
      <c r="I24" s="33">
        <f>+H24/$H$20</f>
        <v>0.87392586417681195</v>
      </c>
      <c r="J24" s="34">
        <f>IF(H24=0,"",(E24-H24)/ABS(H24))</f>
        <v>2.8452896022734386E-3</v>
      </c>
      <c r="K24" s="35">
        <f>+K20-K22</f>
        <v>5616577</v>
      </c>
      <c r="L24" s="33">
        <f>+K24/$K$20</f>
        <v>0.90068238604355133</v>
      </c>
      <c r="M24" s="35">
        <f>+M20-M22</f>
        <v>5386841.0135500003</v>
      </c>
      <c r="N24" s="33">
        <f>+M24/$M$20</f>
        <v>0.8816975745468979</v>
      </c>
      <c r="O24" s="33">
        <f>IF(K24=0,"",(M24-K24)/ABS(K24)+1)</f>
        <v>0.95909679748893328</v>
      </c>
      <c r="P24" s="35">
        <f>+P20-P22</f>
        <v>5171546.2747</v>
      </c>
      <c r="Q24" s="33">
        <f>+P24/$P$20</f>
        <v>0.91319224340443961</v>
      </c>
      <c r="R24" s="34">
        <f>IF(P24=0,"",(M24-P24)/ABS(P24))</f>
        <v>4.1630631809920236E-2</v>
      </c>
      <c r="S24" s="24"/>
      <c r="AC24" s="34"/>
    </row>
    <row r="25" spans="1:32" x14ac:dyDescent="0.2">
      <c r="J25" s="34"/>
      <c r="R25" s="34"/>
      <c r="T25" s="19" t="s">
        <v>44</v>
      </c>
      <c r="U25" s="35">
        <f>+'COLOMB$ '!U25</f>
        <v>55439</v>
      </c>
      <c r="V25" s="35">
        <f>+'COLOMB$ '!V25</f>
        <v>54621.959390000004</v>
      </c>
      <c r="W25" s="35">
        <f>+'COLOMB$ '!W25</f>
        <v>48545.032549999996</v>
      </c>
      <c r="X25" s="35">
        <f>+'COLOMB$ '!X25</f>
        <v>1162205</v>
      </c>
      <c r="Y25" s="35">
        <f>+'COLOMB$ '!Y25</f>
        <v>1119966.24969</v>
      </c>
      <c r="Z25" s="36">
        <f>+Y25-X25</f>
        <v>-42238.750310000032</v>
      </c>
      <c r="AA25" s="37">
        <f>IF(X25=0,"",(Y25-X25)/ABS(X25)+1)</f>
        <v>0.9636563684461863</v>
      </c>
      <c r="AB25" s="35">
        <f>+'COLOMB$ '!AB25</f>
        <v>1122380.9293699998</v>
      </c>
      <c r="AC25" s="34">
        <f>IF(AB25=0,"",(Y25-AB25)/ABS(AB25))</f>
        <v>-2.1513905099538738E-3</v>
      </c>
    </row>
    <row r="26" spans="1:32" x14ac:dyDescent="0.2">
      <c r="B26" s="19" t="s">
        <v>45</v>
      </c>
      <c r="C26" s="32">
        <v>213649</v>
      </c>
      <c r="D26" s="33">
        <f>+C26/$C$20</f>
        <v>0.21397381224699094</v>
      </c>
      <c r="E26" s="32">
        <v>208575.03377000001</v>
      </c>
      <c r="F26" s="33">
        <f>+E26/$E$20</f>
        <v>0.20447684304024399</v>
      </c>
      <c r="G26" s="33">
        <f>IF(C26=0,"",(E26-C26)/ABS(C26)+1)</f>
        <v>0.97625092450701856</v>
      </c>
      <c r="H26" s="32">
        <v>195307.79333000001</v>
      </c>
      <c r="I26" s="33">
        <f>+H26/$H$20</f>
        <v>0.19465361213734678</v>
      </c>
      <c r="J26" s="34">
        <f>IF(H26=0,"",(E26-H26)/ABS(H26))</f>
        <v>6.7929908037940523E-2</v>
      </c>
      <c r="K26" s="32">
        <v>1369309</v>
      </c>
      <c r="L26" s="33">
        <f>+K26/$K$20</f>
        <v>0.21958436559329805</v>
      </c>
      <c r="M26" s="32">
        <v>1304114.64787</v>
      </c>
      <c r="N26" s="33">
        <f>+M26/$M$20</f>
        <v>0.21345250752078618</v>
      </c>
      <c r="O26" s="33">
        <f>IF(K26=0,"",(M26-K26)/ABS(K26)+1)</f>
        <v>0.95238886757481322</v>
      </c>
      <c r="P26" s="32">
        <v>1200312.5811400001</v>
      </c>
      <c r="Q26" s="33">
        <f>+P26/$P$20</f>
        <v>0.21195133535209362</v>
      </c>
      <c r="R26" s="34">
        <f>IF(P26=0,"",(M26-P26)/ABS(P26))</f>
        <v>8.6479195803657705E-2</v>
      </c>
      <c r="S26" s="24"/>
      <c r="AC26" s="34"/>
    </row>
    <row r="27" spans="1:32" x14ac:dyDescent="0.2">
      <c r="B27" s="19" t="s">
        <v>46</v>
      </c>
      <c r="C27" s="32">
        <v>337940</v>
      </c>
      <c r="D27" s="33">
        <f>+C27/$C$20</f>
        <v>0.33845377282715161</v>
      </c>
      <c r="E27" s="32">
        <v>335573.76611999999</v>
      </c>
      <c r="F27" s="33">
        <f>+E27/$E$20</f>
        <v>0.32898023825329081</v>
      </c>
      <c r="G27" s="33">
        <f>IF(C27=0,"",(E27-C27)/ABS(C27)+1)</f>
        <v>0.99299806510031363</v>
      </c>
      <c r="H27" s="32">
        <v>317532.49116999999</v>
      </c>
      <c r="I27" s="33">
        <f>+H27/$H$20</f>
        <v>0.31646891976694408</v>
      </c>
      <c r="J27" s="34">
        <f>IF(H27=0,"",(E27-H27)/ABS(H27))</f>
        <v>5.6817098884980197E-2</v>
      </c>
      <c r="K27" s="32">
        <v>2045797</v>
      </c>
      <c r="L27" s="33">
        <f>+K27/$K$20</f>
        <v>0.32806695667498886</v>
      </c>
      <c r="M27" s="32">
        <v>2082639.4848499999</v>
      </c>
      <c r="N27" s="33">
        <f>+M27/$M$20</f>
        <v>0.34087848106690777</v>
      </c>
      <c r="O27" s="33">
        <f>IF(K27=0,"",(M27-K27)/ABS(K27)+1)</f>
        <v>1.0180088663977902</v>
      </c>
      <c r="P27" s="32">
        <v>1799061.5947100001</v>
      </c>
      <c r="Q27" s="33">
        <f>+P27/$P$20</f>
        <v>0.31767850589160535</v>
      </c>
      <c r="R27" s="34">
        <f>IF(P27=0,"",(M27-P27)/ABS(P27))</f>
        <v>0.15762544816355281</v>
      </c>
      <c r="S27" s="24"/>
      <c r="T27" s="19" t="s">
        <v>47</v>
      </c>
      <c r="U27" s="35">
        <f>+'COLOMB$ '!U27</f>
        <v>-106842</v>
      </c>
      <c r="V27" s="35">
        <f>+'COLOMB$ '!V27</f>
        <v>-90756.882360000003</v>
      </c>
      <c r="W27" s="35">
        <f>+'COLOMB$ '!W27</f>
        <v>193308</v>
      </c>
      <c r="X27" s="35">
        <f>+'COLOMB$ '!X27</f>
        <v>-242454</v>
      </c>
      <c r="Y27" s="35">
        <f>+'COLOMB$ '!Y27</f>
        <v>-439391</v>
      </c>
      <c r="Z27" s="36">
        <f>+Y27-X27</f>
        <v>-196937</v>
      </c>
      <c r="AA27" s="37">
        <f>IF(X27=0,"",(Y27-X27)/ABS(X27)+1)</f>
        <v>0.18773458058023373</v>
      </c>
      <c r="AB27" s="35">
        <f>+'COLOMB$ '!AB27</f>
        <v>483340</v>
      </c>
      <c r="AC27" s="34">
        <f>IF(AB27=0,"",(Y27-AB27)/ABS(AB27))</f>
        <v>-1.9090722886580875</v>
      </c>
    </row>
    <row r="28" spans="1:32" x14ac:dyDescent="0.2">
      <c r="B28" s="19" t="s">
        <v>48</v>
      </c>
      <c r="C28" s="35">
        <f>SUM(C26:C27)</f>
        <v>551589</v>
      </c>
      <c r="D28" s="33">
        <f>+C28/$C$20</f>
        <v>0.55242758507414258</v>
      </c>
      <c r="E28" s="35">
        <f>SUM(E26:E27)</f>
        <v>544148.79989000002</v>
      </c>
      <c r="F28" s="33">
        <f>+E28/$E$20</f>
        <v>0.53345708129353486</v>
      </c>
      <c r="G28" s="33">
        <f>IF(C28=0,"",(E28-C28)/ABS(C28)+1)</f>
        <v>0.98651133342035469</v>
      </c>
      <c r="H28" s="35">
        <f>SUM(H26:H27)</f>
        <v>512840.28450000001</v>
      </c>
      <c r="I28" s="33">
        <f>+H28/$H$20</f>
        <v>0.51112253190429091</v>
      </c>
      <c r="J28" s="34">
        <f>IF(H28=0,"",(E28-H28)/ABS(H28))</f>
        <v>6.1049251270353384E-2</v>
      </c>
      <c r="K28" s="35">
        <f>SUM(K26:K27)</f>
        <v>3415106</v>
      </c>
      <c r="L28" s="33">
        <f>+K28/$K$20</f>
        <v>0.54765132226828694</v>
      </c>
      <c r="M28" s="35">
        <f>SUM(M26:M27)</f>
        <v>3386754.1327200001</v>
      </c>
      <c r="N28" s="33">
        <f>+M28/$M$20</f>
        <v>0.55433098858769392</v>
      </c>
      <c r="O28" s="33">
        <f>IF(K28=0,"",(M28-K28)/ABS(K28)+1)</f>
        <v>0.99169810035764627</v>
      </c>
      <c r="P28" s="35">
        <f>SUM(P26:P27)</f>
        <v>2999374.1758500002</v>
      </c>
      <c r="Q28" s="33">
        <f>+P28/$P$20</f>
        <v>0.52962984124369905</v>
      </c>
      <c r="R28" s="34">
        <f>IF(P28=0,"",(M28-P28)/ABS(P28))</f>
        <v>0.12915359476955532</v>
      </c>
      <c r="S28" s="24"/>
      <c r="T28" s="19" t="s">
        <v>49</v>
      </c>
      <c r="U28" s="35">
        <f>+'COLOMB$ '!U28</f>
        <v>81250</v>
      </c>
      <c r="V28" s="35">
        <f>+'COLOMB$ '!V28</f>
        <v>81286.6924</v>
      </c>
      <c r="W28" s="35">
        <f>+'COLOMB$ '!W28</f>
        <v>86135.159430000014</v>
      </c>
      <c r="X28" s="35">
        <f>+'COLOMB$ '!X28</f>
        <v>243750</v>
      </c>
      <c r="Y28" s="35">
        <f>+'COLOMB$ '!Y28</f>
        <v>233172.8554</v>
      </c>
      <c r="Z28" s="36">
        <f>+Y28-X28</f>
        <v>-10577.1446</v>
      </c>
      <c r="AA28" s="37">
        <f>IF(X28=0,"",(Y28-X28)/ABS(X28)+1)</f>
        <v>0.95660658625641026</v>
      </c>
      <c r="AB28" s="35">
        <f>+'COLOMB$ '!AB28</f>
        <v>228994.62210000001</v>
      </c>
      <c r="AC28" s="34">
        <f>IF(AB28=0,"",(Y28-AB28)/ABS(AB28))</f>
        <v>1.8245988755907959E-2</v>
      </c>
    </row>
    <row r="29" spans="1:32" x14ac:dyDescent="0.2">
      <c r="J29" s="34"/>
      <c r="R29" s="34"/>
      <c r="S29" s="24"/>
      <c r="AC29" s="2"/>
    </row>
    <row r="30" spans="1:32" x14ac:dyDescent="0.2">
      <c r="B30" s="19" t="s">
        <v>50</v>
      </c>
      <c r="C30" s="35">
        <v>59053</v>
      </c>
      <c r="D30" s="33">
        <f>+C30/$C$20</f>
        <v>5.9142778738124471E-2</v>
      </c>
      <c r="E30" s="35">
        <v>55065.287790000002</v>
      </c>
      <c r="F30" s="33">
        <f>+E30/$E$20</f>
        <v>5.398333637964485E-2</v>
      </c>
      <c r="G30" s="33">
        <f>IF(C30=0,"",(E30-C30)/ABS(C30)+1)</f>
        <v>0.93247231791780272</v>
      </c>
      <c r="H30" s="35">
        <v>51062.596109999999</v>
      </c>
      <c r="I30" s="33">
        <f>+H30/$H$20</f>
        <v>5.0891562535488363E-2</v>
      </c>
      <c r="J30" s="34">
        <f>IF(H30=0,"",(E30-H30)/ABS(H30))</f>
        <v>7.8387939214397365E-2</v>
      </c>
      <c r="K30" s="35">
        <v>360152</v>
      </c>
      <c r="L30" s="33">
        <f>+K30/$K$20</f>
        <v>5.7754494009137076E-2</v>
      </c>
      <c r="M30" s="35">
        <v>331021.95269000001</v>
      </c>
      <c r="N30" s="33">
        <f>+M30/$M$20</f>
        <v>5.418040964535735E-2</v>
      </c>
      <c r="O30" s="33">
        <f>IF(K30=0,"",(M30-K30)/ABS(K30)+1)</f>
        <v>0.91911735236788916</v>
      </c>
      <c r="P30" s="35">
        <v>317811.02387000003</v>
      </c>
      <c r="Q30" s="33">
        <f>+P30/$P$20</f>
        <v>5.6119107603526758E-2</v>
      </c>
      <c r="R30" s="34">
        <f>IF(P30=0,"",(M30-P30)/ABS(P30))</f>
        <v>4.1568504009489221E-2</v>
      </c>
      <c r="S30" s="24"/>
      <c r="T30" s="42" t="s">
        <v>51</v>
      </c>
      <c r="U30" s="43">
        <f>U21-U23-U25-U27-U28</f>
        <v>196730</v>
      </c>
      <c r="V30" s="43">
        <f>V21-V23-V25-V27-V28</f>
        <v>-81010.941669999986</v>
      </c>
      <c r="W30" s="43">
        <f>W21-W23-W25-W27-W28</f>
        <v>50364.145929999868</v>
      </c>
      <c r="X30" s="43">
        <f>X21-X23-X25-X27-X28</f>
        <v>73941</v>
      </c>
      <c r="Y30" s="43">
        <f>Y21-Y23-Y25-Y27-Y28</f>
        <v>-89370.26465999987</v>
      </c>
      <c r="Z30" s="47">
        <f>+Y30-X30</f>
        <v>-163311.26465999987</v>
      </c>
      <c r="AA30" s="48">
        <f>IF(U30=0,"",(V30-U30)/ABS(U30)+1)</f>
        <v>-0.41178743287754771</v>
      </c>
      <c r="AB30" s="43">
        <f>AB21-AB23-AB25-AB27-AB28</f>
        <v>50365.017699999764</v>
      </c>
      <c r="AC30" s="34">
        <f>IF(AB30=0,"",(Y30-AB30)/ABS(AB30))</f>
        <v>-2.7744511714923967</v>
      </c>
    </row>
    <row r="31" spans="1:32" x14ac:dyDescent="0.2">
      <c r="B31" s="19" t="s">
        <v>52</v>
      </c>
      <c r="C31" s="35">
        <v>206106</v>
      </c>
      <c r="D31" s="33">
        <f>+C31/$C$20</f>
        <v>0.20641934456504973</v>
      </c>
      <c r="E31" s="35">
        <v>190909.87946</v>
      </c>
      <c r="F31" s="33">
        <f>+E31/$E$20</f>
        <v>0.18715878286861906</v>
      </c>
      <c r="G31" s="33">
        <f>IF(C31=0,"",(E31-C31)/ABS(C31)+1)</f>
        <v>0.92627036311412569</v>
      </c>
      <c r="H31" s="35">
        <v>203651.40686000002</v>
      </c>
      <c r="I31" s="33">
        <f>+H31/$H$20</f>
        <v>0.20296927883042323</v>
      </c>
      <c r="J31" s="34">
        <f>IF(H31=0,"",(E31-H31)/ABS(H31))</f>
        <v>-6.2565378734452712E-2</v>
      </c>
      <c r="K31" s="35">
        <v>1200857</v>
      </c>
      <c r="L31" s="33">
        <f>+K31/$K$20</f>
        <v>0.19257115998892224</v>
      </c>
      <c r="M31" s="35">
        <v>1154971.69154</v>
      </c>
      <c r="N31" s="33">
        <f>+M31/$M$20</f>
        <v>0.18904135773445616</v>
      </c>
      <c r="O31" s="33">
        <f>IF(K31=0,"",(M31-K31)/ABS(K31)+1)</f>
        <v>0.96178953159285419</v>
      </c>
      <c r="P31" s="35">
        <v>1065367.34552</v>
      </c>
      <c r="Q31" s="33">
        <f>+P31/$P$20</f>
        <v>0.18812268993216702</v>
      </c>
      <c r="R31" s="34">
        <f>IF(P31=0,"",(M31-P31)/ABS(P31))</f>
        <v>8.4106525694444545E-2</v>
      </c>
      <c r="S31" s="24"/>
    </row>
    <row r="32" spans="1:32" x14ac:dyDescent="0.2">
      <c r="B32" s="19" t="s">
        <v>53</v>
      </c>
      <c r="C32" s="35">
        <f>SUM(C30:C31)</f>
        <v>265159</v>
      </c>
      <c r="D32" s="33">
        <f>+C32/$C$20</f>
        <v>0.26556212330317419</v>
      </c>
      <c r="E32" s="35">
        <f>SUM(E30:E31)</f>
        <v>245975.16725</v>
      </c>
      <c r="F32" s="33">
        <f>+E32/$E$20</f>
        <v>0.24114211924826393</v>
      </c>
      <c r="G32" s="33">
        <f>IF(C32=0,"",(E32-C32)/ABS(C32)+1)</f>
        <v>0.92765158734947706</v>
      </c>
      <c r="H32" s="35">
        <f>SUM(H30:H31)</f>
        <v>254714.00297000003</v>
      </c>
      <c r="I32" s="33">
        <f>+H32/$H$20</f>
        <v>0.25386084136591158</v>
      </c>
      <c r="J32" s="34">
        <f>IF(H32=0,"",(E32-H32)/ABS(H32))</f>
        <v>-3.4308422851135056E-2</v>
      </c>
      <c r="K32" s="35">
        <f>SUM(K30:K31)</f>
        <v>1561009</v>
      </c>
      <c r="L32" s="33">
        <f>+K32/$K$20</f>
        <v>0.25032565399805928</v>
      </c>
      <c r="M32" s="35">
        <f>SUM(M30:M31)</f>
        <v>1485993.64423</v>
      </c>
      <c r="N32" s="33">
        <f>+M32/$M$20</f>
        <v>0.24322176737981349</v>
      </c>
      <c r="O32" s="33">
        <f>IF(K32=0,"",(M32-K32)/ABS(K32)+1)</f>
        <v>0.95194431565096682</v>
      </c>
      <c r="P32" s="35">
        <f t="shared" ref="P32" si="10">SUM(P30:P31)</f>
        <v>1383178.3693900001</v>
      </c>
      <c r="Q32" s="33">
        <f>+P32/$P$20</f>
        <v>0.24424179753569381</v>
      </c>
      <c r="R32" s="34">
        <f>IF(P32=0,"",(M32-P32)/ABS(P32))</f>
        <v>7.4332621963530812E-2</v>
      </c>
      <c r="S32" s="24"/>
    </row>
    <row r="33" spans="2:20" x14ac:dyDescent="0.2">
      <c r="J33" s="34"/>
      <c r="R33" s="34"/>
      <c r="S33" s="24"/>
    </row>
    <row r="34" spans="2:20" x14ac:dyDescent="0.2">
      <c r="B34" s="19" t="s">
        <v>54</v>
      </c>
      <c r="C34" s="35">
        <f>C28+C32</f>
        <v>816748</v>
      </c>
      <c r="D34" s="33">
        <f>+C34/$C$20</f>
        <v>0.81798970837731677</v>
      </c>
      <c r="E34" s="35">
        <f>E28+E32</f>
        <v>790123.96714000008</v>
      </c>
      <c r="F34" s="33">
        <f>+E34/$E$20</f>
        <v>0.77459920054179887</v>
      </c>
      <c r="G34" s="33">
        <f>IF(C34=0,"",(E34-C34)/ABS(C34)+1)</f>
        <v>0.96740238989259852</v>
      </c>
      <c r="H34" s="35">
        <f>H28+H32</f>
        <v>767554.2874700001</v>
      </c>
      <c r="I34" s="33">
        <f>+H34/$H$20</f>
        <v>0.76498337327020249</v>
      </c>
      <c r="J34" s="34">
        <f>IF(H34=0,"",(E34-H34)/ABS(H34))</f>
        <v>2.9404668879375026E-2</v>
      </c>
      <c r="K34" s="35">
        <f>K28+K32</f>
        <v>4976115</v>
      </c>
      <c r="L34" s="33">
        <f>+K34/$K$20</f>
        <v>0.79797697626634623</v>
      </c>
      <c r="M34" s="35">
        <f>M28+M32</f>
        <v>4872747.7769499999</v>
      </c>
      <c r="N34" s="33">
        <f>+M34/$M$20</f>
        <v>0.79755275596750741</v>
      </c>
      <c r="O34" s="33">
        <f>IF(K34=0,"",(M34-K34)/ABS(K34)+1)</f>
        <v>0.97922732431826831</v>
      </c>
      <c r="P34" s="35">
        <f>P28+P32</f>
        <v>4382552.5452399999</v>
      </c>
      <c r="Q34" s="33">
        <f>+P34/$P$20</f>
        <v>0.77387163877939269</v>
      </c>
      <c r="R34" s="34">
        <f>IF(P34=0,"",(M34-P34)/ABS(P34))</f>
        <v>0.11185153552634829</v>
      </c>
      <c r="S34" s="24"/>
    </row>
    <row r="35" spans="2:20" x14ac:dyDescent="0.2">
      <c r="J35" s="34"/>
      <c r="R35" s="34"/>
      <c r="S35" s="24"/>
    </row>
    <row r="36" spans="2:20" x14ac:dyDescent="0.2">
      <c r="B36" s="42" t="s">
        <v>55</v>
      </c>
      <c r="C36" s="43">
        <f>C24-C34</f>
        <v>82290</v>
      </c>
      <c r="D36" s="44">
        <f>+C36/$C$20</f>
        <v>8.2415106131107016E-2</v>
      </c>
      <c r="E36" s="43">
        <f>E24-E34</f>
        <v>89233.868099999847</v>
      </c>
      <c r="F36" s="44">
        <f>+E36/$E$20</f>
        <v>8.7480554654868384E-2</v>
      </c>
      <c r="G36" s="44">
        <f>IF(C36=0,"",(E36-C36)/ABS(C36)+1)</f>
        <v>1.0843828909952589</v>
      </c>
      <c r="H36" s="43">
        <f>H24-H34</f>
        <v>109308.61885999981</v>
      </c>
      <c r="I36" s="44">
        <f>+H36/$H$20</f>
        <v>0.10894249090660939</v>
      </c>
      <c r="J36" s="45">
        <f>IF(H36=0,"",(E36-H36)/ABS(H36))</f>
        <v>-0.18365203923865589</v>
      </c>
      <c r="K36" s="43">
        <f>K24-K34</f>
        <v>640462</v>
      </c>
      <c r="L36" s="44">
        <f>+K36/$K$20</f>
        <v>0.10270540977720503</v>
      </c>
      <c r="M36" s="43">
        <f>+M24-M34</f>
        <v>514093.23660000041</v>
      </c>
      <c r="N36" s="44">
        <f>+M36/$M$20</f>
        <v>8.4144818579390518E-2</v>
      </c>
      <c r="O36" s="44">
        <f>IF(K36=0,"",(M36-K36)/ABS(K36)+1)</f>
        <v>0.80269123944902332</v>
      </c>
      <c r="P36" s="43">
        <f>P24-P34</f>
        <v>788993.72946000006</v>
      </c>
      <c r="Q36" s="44">
        <f>+P36/$P$20</f>
        <v>0.13932060462504692</v>
      </c>
      <c r="R36" s="45">
        <f>IF(P36=0,"",(M36-P36)/ABS(P36))</f>
        <v>-0.34841910980477114</v>
      </c>
      <c r="S36" s="24"/>
    </row>
    <row r="37" spans="2:20" x14ac:dyDescent="0.2">
      <c r="J37" s="34"/>
      <c r="R37" s="34"/>
      <c r="S37" s="24"/>
    </row>
    <row r="38" spans="2:20" x14ac:dyDescent="0.2">
      <c r="B38" s="19" t="s">
        <v>56</v>
      </c>
      <c r="C38" s="32">
        <v>321</v>
      </c>
      <c r="D38" s="33">
        <f>+C38/$C$20</f>
        <v>3.2148801881255745E-4</v>
      </c>
      <c r="E38" s="32">
        <v>1135.6504600000001</v>
      </c>
      <c r="F38" s="33">
        <f>+E38/$E$20</f>
        <v>1.1133366091843394E-3</v>
      </c>
      <c r="G38" s="33">
        <f>IF(C38=0,"",(E38-C38)/ABS(C38)+1)</f>
        <v>3.5378519003115265</v>
      </c>
      <c r="H38" s="32">
        <v>916.20844</v>
      </c>
      <c r="I38" s="33">
        <f>+H38/$H$20</f>
        <v>9.1313961043729315E-4</v>
      </c>
      <c r="J38" s="34">
        <f>IF(H38=0,"",(E38-H38)/ABS(H38))</f>
        <v>0.23951102218617423</v>
      </c>
      <c r="K38" s="32">
        <v>1926</v>
      </c>
      <c r="L38" s="33">
        <f>+K38/$K$20</f>
        <v>3.0885613702436195E-4</v>
      </c>
      <c r="M38" s="32">
        <v>3793.2214300000001</v>
      </c>
      <c r="N38" s="33">
        <f>+M38/$M$20</f>
        <v>6.2086000424695336E-4</v>
      </c>
      <c r="O38" s="33">
        <f>IF(K38=0,"",(M38-K38)/ABS(K38)+1)</f>
        <v>1.9694815316718588</v>
      </c>
      <c r="P38" s="32">
        <v>4398.0709400000005</v>
      </c>
      <c r="Q38" s="33">
        <f>+P38/$P$20</f>
        <v>7.7661187873320477E-4</v>
      </c>
      <c r="R38" s="34">
        <f>IF(P38=0,"",(M38-P38)/ABS(P38))</f>
        <v>-0.13752609229172652</v>
      </c>
      <c r="S38" s="24"/>
    </row>
    <row r="39" spans="2:20" x14ac:dyDescent="0.2">
      <c r="B39" s="19" t="s">
        <v>57</v>
      </c>
      <c r="C39" s="32">
        <v>34478</v>
      </c>
      <c r="D39" s="33">
        <f>+C39/$C$20</f>
        <v>3.4530417173269025E-2</v>
      </c>
      <c r="E39" s="32">
        <v>26384.17109</v>
      </c>
      <c r="F39" s="33">
        <f>+E39/$E$20</f>
        <v>2.5865761175740708E-2</v>
      </c>
      <c r="G39" s="33">
        <f>IF(C39=0,"",(E39-C39)/ABS(C39)+1)</f>
        <v>0.76524656563605775</v>
      </c>
      <c r="H39" s="32">
        <v>35700.67052</v>
      </c>
      <c r="I39" s="33">
        <f>+H39/$H$20</f>
        <v>3.5581091537404907E-2</v>
      </c>
      <c r="J39" s="34">
        <f>IF(H39=0,"",(E39-H39)/ABS(H39))</f>
        <v>-0.26096146919091534</v>
      </c>
      <c r="K39" s="32">
        <v>191158</v>
      </c>
      <c r="L39" s="33">
        <f>+K39/$K$20</f>
        <v>3.0654372503272576E-2</v>
      </c>
      <c r="M39" s="32">
        <v>183847.24393</v>
      </c>
      <c r="N39" s="33">
        <f>+M39/$M$20</f>
        <v>3.0091415108126306E-2</v>
      </c>
      <c r="O39" s="33">
        <f>IF(K39=0,"",(M39-K39)/ABS(K39)+1)</f>
        <v>0.9617554270812626</v>
      </c>
      <c r="P39" s="32">
        <v>177374.51175000001</v>
      </c>
      <c r="Q39" s="33">
        <f>+P39/$P$20</f>
        <v>3.1320811939780216E-2</v>
      </c>
      <c r="R39" s="34">
        <f>IF(P39=0,"",(M39-P39)/ABS(P39))</f>
        <v>3.6491895685232194E-2</v>
      </c>
      <c r="S39" s="24"/>
    </row>
    <row r="40" spans="2:20" x14ac:dyDescent="0.2">
      <c r="J40" s="34"/>
      <c r="R40" s="34"/>
    </row>
    <row r="41" spans="2:20" x14ac:dyDescent="0.2">
      <c r="B41" s="19" t="s">
        <v>58</v>
      </c>
      <c r="C41" s="35">
        <f>C36+C38-C39</f>
        <v>48133</v>
      </c>
      <c r="D41" s="33">
        <f>+C41/$C$20</f>
        <v>4.8206176976650555E-2</v>
      </c>
      <c r="E41" s="35">
        <f>E36+E38-E39</f>
        <v>63985.347469999848</v>
      </c>
      <c r="F41" s="33">
        <f>+E41/$E$20</f>
        <v>6.2728130088312017E-2</v>
      </c>
      <c r="G41" s="33">
        <f>IF(C41=0,"",(E41-C41)/ABS(C41)+1)</f>
        <v>1.3293446797415462</v>
      </c>
      <c r="H41" s="35">
        <f>H36+H38-H39</f>
        <v>74524.156779999816</v>
      </c>
      <c r="I41" s="33">
        <f>+H41/$H$20</f>
        <v>7.4274538979641785E-2</v>
      </c>
      <c r="J41" s="34">
        <f>IF(H41=0,"",(E41-H41)/ABS(H41))</f>
        <v>-0.14141467364885754</v>
      </c>
      <c r="K41" s="35">
        <f>K36+K38-K39</f>
        <v>451230</v>
      </c>
      <c r="L41" s="33">
        <f>+K41/$K$20</f>
        <v>7.2359893410956819E-2</v>
      </c>
      <c r="M41" s="35">
        <f>M36+M38-M39</f>
        <v>334039.21410000039</v>
      </c>
      <c r="N41" s="33">
        <f>+M41/$M$20</f>
        <v>5.4674263475511159E-2</v>
      </c>
      <c r="O41" s="33">
        <f>IF(K41=0,"",(M41-K41)/ABS(K41)+1)</f>
        <v>0.74028591649491471</v>
      </c>
      <c r="P41" s="35">
        <f>P36+P38-P39</f>
        <v>616017.28865</v>
      </c>
      <c r="Q41" s="33">
        <f>+P41/$P$20</f>
        <v>0.1087764045639999</v>
      </c>
      <c r="R41" s="34">
        <f>IF(P41=0,"",(M41-P41)/ABS(P41))</f>
        <v>-0.45774376749710011</v>
      </c>
    </row>
    <row r="42" spans="2:20" x14ac:dyDescent="0.2">
      <c r="B42" s="19" t="s">
        <v>44</v>
      </c>
      <c r="C42" s="32">
        <v>20721</v>
      </c>
      <c r="D42" s="33">
        <f>+C42/$C$20</f>
        <v>2.0752502298489107E-2</v>
      </c>
      <c r="E42" s="32">
        <v>20768.593000000001</v>
      </c>
      <c r="F42" s="33">
        <f>+E42/$E$20</f>
        <v>2.0360520884348171E-2</v>
      </c>
      <c r="G42" s="33">
        <f>IF(C42=0,"",(E42-C42)/ABS(C42)+1)</f>
        <v>1.0022968486076926</v>
      </c>
      <c r="H42" s="32">
        <v>27947.322</v>
      </c>
      <c r="I42" s="33">
        <f>+H42/$H$20</f>
        <v>2.7853712768511053E-2</v>
      </c>
      <c r="J42" s="34">
        <f>IF(H42=0,"",(E42-H42)/ABS(H42))</f>
        <v>-0.25686643607569981</v>
      </c>
      <c r="K42" s="32">
        <v>183894</v>
      </c>
      <c r="L42" s="33">
        <f>+K42/$K$20</f>
        <v>2.9489506989593985E-2</v>
      </c>
      <c r="M42" s="32">
        <v>120944.734</v>
      </c>
      <c r="N42" s="33">
        <f>+M42/$M$20</f>
        <v>1.9795772393094026E-2</v>
      </c>
      <c r="O42" s="33">
        <f>IF(K42=0,"",(M42-K42)/ABS(K42)+1)</f>
        <v>0.65768722198657925</v>
      </c>
      <c r="P42" s="32">
        <v>223401.37100000001</v>
      </c>
      <c r="Q42" s="33">
        <f>+P42/$P$20</f>
        <v>3.9448240105895989E-2</v>
      </c>
      <c r="R42" s="34">
        <f>IF(P42=0,"",(M42-P42)/ABS(P42))</f>
        <v>-0.45862134391288051</v>
      </c>
    </row>
    <row r="43" spans="2:20" x14ac:dyDescent="0.2">
      <c r="B43" s="42" t="s">
        <v>59</v>
      </c>
      <c r="C43" s="43">
        <f>C41-C42</f>
        <v>27412</v>
      </c>
      <c r="D43" s="44">
        <f>+C43/$C$20</f>
        <v>2.7453674678161448E-2</v>
      </c>
      <c r="E43" s="43">
        <f>E41-E42</f>
        <v>43216.754469999847</v>
      </c>
      <c r="F43" s="44">
        <f>+E43/$E$20</f>
        <v>4.2367609203963846E-2</v>
      </c>
      <c r="G43" s="44">
        <f>IF(C43=0,"",(E43-C43)/ABS(C43)+1)</f>
        <v>1.5765633470742686</v>
      </c>
      <c r="H43" s="43">
        <f>H41-H42</f>
        <v>46576.834779999816</v>
      </c>
      <c r="I43" s="44">
        <f>+H43/$H$20</f>
        <v>4.6420826211130729E-2</v>
      </c>
      <c r="J43" s="45">
        <f>IF(H43=0,"",(E43-H43)/ABS(H43))</f>
        <v>-7.2140589326666602E-2</v>
      </c>
      <c r="K43" s="43">
        <f>+K41-K42</f>
        <v>267336</v>
      </c>
      <c r="L43" s="44">
        <f>+K43/$K$20</f>
        <v>4.2870386421362837E-2</v>
      </c>
      <c r="M43" s="43">
        <f>+M41-M42</f>
        <v>213094.48010000039</v>
      </c>
      <c r="N43" s="44">
        <f>+M43/$M$20</f>
        <v>3.4878491082417133E-2</v>
      </c>
      <c r="O43" s="44">
        <f>IF(K43=0,"",(M43-K43)/ABS(K43)+1)</f>
        <v>0.79710357041326418</v>
      </c>
      <c r="P43" s="43">
        <f>+P41-P42</f>
        <v>392615.91764999996</v>
      </c>
      <c r="Q43" s="44">
        <f>+P43/$P$20</f>
        <v>6.93281644581039E-2</v>
      </c>
      <c r="R43" s="45">
        <f>IF(P43=0,"",(M43-P43)/ABS(P43))</f>
        <v>-0.45724442000345777</v>
      </c>
      <c r="T43" s="40"/>
    </row>
    <row r="44" spans="2:20" x14ac:dyDescent="0.2">
      <c r="J44" s="34"/>
      <c r="R44" s="34"/>
    </row>
    <row r="45" spans="2:20" x14ac:dyDescent="0.2">
      <c r="B45" s="19" t="s">
        <v>60</v>
      </c>
      <c r="C45" s="32">
        <v>131138</v>
      </c>
      <c r="D45" s="33">
        <f>+C45/$C$20</f>
        <v>0.13133737012785407</v>
      </c>
      <c r="E45" s="32">
        <v>136834.84980999984</v>
      </c>
      <c r="F45" s="33">
        <f>+E45/$E$20</f>
        <v>0.1341462475220708</v>
      </c>
      <c r="G45" s="33">
        <f>IF(C45=0,"",(E45-C45)/ABS(C45)+1)</f>
        <v>1.0434416401805719</v>
      </c>
      <c r="H45" s="32">
        <v>155256.66484999983</v>
      </c>
      <c r="I45" s="33">
        <f>+H45/$H$20</f>
        <v>0.15473663444851285</v>
      </c>
      <c r="J45" s="34">
        <f>IF(H45=0,"",(E45-H45)/ABS(H45))</f>
        <v>-0.11865394028525666</v>
      </c>
      <c r="K45" s="32">
        <v>940000</v>
      </c>
      <c r="L45" s="33">
        <f>+K45/$K$20</f>
        <v>0.15073975534937706</v>
      </c>
      <c r="M45" s="32">
        <v>801800.08591000037</v>
      </c>
      <c r="N45" s="33">
        <f>+M45/$M$20</f>
        <v>0.13123557744512965</v>
      </c>
      <c r="O45" s="33">
        <f>IF(K45=0,"",(M45-K45)/ABS(K45)+1)</f>
        <v>0.85297881479787274</v>
      </c>
      <c r="P45" s="32">
        <v>1060607.62736</v>
      </c>
      <c r="Q45" s="33">
        <f>+P45/$P$20</f>
        <v>0.18728221834521303</v>
      </c>
      <c r="R45" s="34">
        <f>IF(P45=0,"",(M45-P45)/ABS(P45))</f>
        <v>-0.24401817861163949</v>
      </c>
      <c r="T45" s="40"/>
    </row>
    <row r="46" spans="2:20" x14ac:dyDescent="0.2">
      <c r="B46" s="19" t="s">
        <v>35</v>
      </c>
      <c r="C46" s="32">
        <v>429067</v>
      </c>
      <c r="D46" s="34">
        <f t="shared" ref="D46" si="11">+C46/$C$20</f>
        <v>0.4297193139185283</v>
      </c>
      <c r="E46" s="32">
        <v>414524.92200000002</v>
      </c>
      <c r="F46" s="34">
        <f>+E46/$E$20</f>
        <v>0.40638012076522451</v>
      </c>
      <c r="G46" s="34">
        <f>IF(C46=0,"",(E46-C46)/ABS(C46)+1)</f>
        <v>0.96610767549124033</v>
      </c>
      <c r="H46" s="32">
        <v>391015.929</v>
      </c>
      <c r="I46" s="34">
        <f t="shared" ref="I46" si="12">+H46/$H$20</f>
        <v>0.38970622567266056</v>
      </c>
      <c r="J46" s="34">
        <f>IF(H46=0,"",(E46-H46)/ABS(H46))</f>
        <v>6.012285243755381E-2</v>
      </c>
      <c r="K46" s="32">
        <v>2592582</v>
      </c>
      <c r="L46" s="34">
        <f t="shared" ref="L46" si="13">+K46/$K$20</f>
        <v>0.41575018766297733</v>
      </c>
      <c r="M46" s="32">
        <v>2602959.34</v>
      </c>
      <c r="N46" s="34">
        <f>+M46/$M$20</f>
        <v>0.42604244880242775</v>
      </c>
      <c r="O46" s="34">
        <f>IF(K46=0,"",(M46-K46)/ABS(K46)+1)</f>
        <v>1.0040027046396218</v>
      </c>
      <c r="P46" s="32">
        <v>2241971.1198</v>
      </c>
      <c r="Q46" s="34">
        <f t="shared" ref="Q46" si="14">+P46/$P$20</f>
        <v>0.39588752140807093</v>
      </c>
      <c r="R46" s="34">
        <f>IF(P46=0,"",(M46-P46)/ABS(P46))</f>
        <v>0.16101376909449333</v>
      </c>
    </row>
    <row r="47" spans="2:20" x14ac:dyDescent="0.2"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 t="s">
        <v>61</v>
      </c>
      <c r="Q47" s="35"/>
      <c r="R47" s="35"/>
    </row>
    <row r="48" spans="2:20" x14ac:dyDescent="0.2">
      <c r="C48" s="13" t="s">
        <v>61</v>
      </c>
      <c r="E48" s="13" t="s">
        <v>61</v>
      </c>
      <c r="H48" s="13" t="s">
        <v>61</v>
      </c>
      <c r="K48" s="13" t="s">
        <v>61</v>
      </c>
      <c r="M48" s="13" t="s">
        <v>61</v>
      </c>
    </row>
    <row r="49" spans="5:16" x14ac:dyDescent="0.2">
      <c r="E49" s="13">
        <v>43217</v>
      </c>
      <c r="H49" s="40"/>
      <c r="P49" s="40"/>
    </row>
    <row r="50" spans="5:16" x14ac:dyDescent="0.2">
      <c r="E50" s="40">
        <f>+E49-E43</f>
        <v>0.24553000015293946</v>
      </c>
    </row>
  </sheetData>
  <conditionalFormatting sqref="J10:J46 D46 G46">
    <cfRule type="cellIs" dxfId="12" priority="2" operator="lessThan">
      <formula>0</formula>
    </cfRule>
  </conditionalFormatting>
  <conditionalFormatting sqref="R10:R46">
    <cfRule type="cellIs" dxfId="11" priority="1" operator="lessThan">
      <formula>0</formula>
    </cfRule>
  </conditionalFormatting>
  <conditionalFormatting sqref="AC10:AC11 AC13:AC17 AC19:AC28 AC30">
    <cfRule type="cellIs" dxfId="10" priority="3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D90170-1796-4A3B-A9B9-68F5DAFE5F89}">
  <sheetPr>
    <tabColor theme="2" tint="-0.499984740745262"/>
  </sheetPr>
  <dimension ref="A1:AI56"/>
  <sheetViews>
    <sheetView showGridLines="0" tabSelected="1" topLeftCell="J24" zoomScale="95" zoomScaleNormal="95" workbookViewId="0">
      <selection activeCell="AB33" sqref="AB33"/>
    </sheetView>
  </sheetViews>
  <sheetFormatPr baseColWidth="10" defaultRowHeight="12.75" x14ac:dyDescent="0.2"/>
  <cols>
    <col min="1" max="1" width="3.140625" style="31" customWidth="1"/>
    <col min="2" max="2" width="24.42578125" style="2" customWidth="1"/>
    <col min="3" max="3" width="16.42578125" style="2" customWidth="1"/>
    <col min="4" max="4" width="7" style="2" customWidth="1"/>
    <col min="5" max="5" width="11.140625" style="2" customWidth="1"/>
    <col min="6" max="6" width="6" style="2" customWidth="1"/>
    <col min="7" max="7" width="8.42578125" style="2" customWidth="1"/>
    <col min="8" max="8" width="10.5703125" style="2" customWidth="1"/>
    <col min="9" max="9" width="7" style="2" customWidth="1"/>
    <col min="10" max="10" width="9.85546875" style="2" customWidth="1"/>
    <col min="11" max="11" width="14.7109375" style="2" customWidth="1"/>
    <col min="12" max="12" width="7" style="2" customWidth="1"/>
    <col min="13" max="13" width="10.7109375" style="2" bestFit="1" customWidth="1"/>
    <col min="14" max="15" width="7" style="2" customWidth="1"/>
    <col min="16" max="16" width="12.5703125" style="2" customWidth="1"/>
    <col min="17" max="17" width="7" style="2" customWidth="1"/>
    <col min="18" max="18" width="8" style="2" customWidth="1"/>
    <col min="19" max="19" width="9.42578125" style="53" customWidth="1"/>
    <col min="20" max="20" width="20.42578125" style="2" customWidth="1"/>
    <col min="21" max="21" width="15" style="2" bestFit="1" customWidth="1"/>
    <col min="22" max="23" width="9.7109375" style="2" bestFit="1" customWidth="1"/>
    <col min="24" max="27" width="11.7109375" style="2" customWidth="1"/>
    <col min="28" max="28" width="12.5703125" style="2" customWidth="1"/>
    <col min="29" max="29" width="7.5703125" style="2" customWidth="1"/>
    <col min="30" max="33" width="13.140625" style="2" customWidth="1"/>
    <col min="34" max="34" width="16.7109375" style="2" customWidth="1"/>
    <col min="35" max="16384" width="11.42578125" style="2"/>
  </cols>
  <sheetData>
    <row r="1" spans="1:35" s="51" customFormat="1" x14ac:dyDescent="0.2">
      <c r="A1" s="49"/>
      <c r="B1" s="50"/>
      <c r="S1" s="52"/>
    </row>
    <row r="2" spans="1:35" x14ac:dyDescent="0.2">
      <c r="X2" s="54"/>
      <c r="Y2" s="54"/>
      <c r="Z2" s="54"/>
      <c r="AA2" s="54"/>
      <c r="AB2" s="54"/>
    </row>
    <row r="3" spans="1:35" ht="18" x14ac:dyDescent="0.25">
      <c r="B3" s="16" t="s">
        <v>62</v>
      </c>
      <c r="T3" s="18" t="str">
        <f>+B3</f>
        <v>MUSICAR COLOMBIA</v>
      </c>
      <c r="Y3" s="55"/>
    </row>
    <row r="4" spans="1:35" x14ac:dyDescent="0.2">
      <c r="B4" s="2" t="s">
        <v>20</v>
      </c>
      <c r="T4" s="3" t="s">
        <v>21</v>
      </c>
      <c r="U4" s="54"/>
      <c r="V4" s="54"/>
      <c r="W4" s="54"/>
      <c r="X4" s="54"/>
      <c r="Y4" s="54"/>
      <c r="Z4" s="54"/>
      <c r="AA4" s="54"/>
      <c r="AB4" s="54"/>
      <c r="AC4" s="54"/>
    </row>
    <row r="5" spans="1:35" x14ac:dyDescent="0.2">
      <c r="B5" s="3" t="s">
        <v>22</v>
      </c>
      <c r="T5" s="3" t="s">
        <v>22</v>
      </c>
      <c r="U5" s="54"/>
      <c r="V5" s="54"/>
      <c r="W5" s="54"/>
      <c r="X5" s="54"/>
      <c r="Y5" s="54"/>
      <c r="Z5" s="54"/>
      <c r="AA5" s="54"/>
      <c r="AB5" s="54"/>
      <c r="AC5" s="54"/>
    </row>
    <row r="6" spans="1:35" ht="13.5" thickBot="1" x14ac:dyDescent="0.25">
      <c r="B6" s="20" t="str">
        <f>Paramet!E3&amp;" de "&amp;Paramet!F3</f>
        <v>JUNIO de 2024</v>
      </c>
      <c r="C6" s="56"/>
      <c r="D6" s="56"/>
      <c r="E6" s="56"/>
      <c r="F6" s="56"/>
      <c r="G6" s="56"/>
      <c r="H6" s="56"/>
      <c r="I6" s="56"/>
      <c r="J6" s="57"/>
      <c r="K6" s="21" t="s">
        <v>23</v>
      </c>
      <c r="L6" s="21"/>
      <c r="M6" s="21"/>
      <c r="N6" s="21"/>
      <c r="O6" s="21"/>
      <c r="P6" s="21"/>
      <c r="Q6" s="21"/>
      <c r="R6" s="21"/>
      <c r="S6" s="58"/>
      <c r="T6" s="20" t="str">
        <f>+B6</f>
        <v>JUNIO de 2024</v>
      </c>
      <c r="U6" s="59"/>
      <c r="V6" s="59"/>
      <c r="W6" s="59"/>
      <c r="X6" s="21" t="s">
        <v>23</v>
      </c>
      <c r="Y6" s="21"/>
      <c r="Z6" s="21"/>
      <c r="AA6" s="21"/>
      <c r="AB6" s="21"/>
      <c r="AC6" s="21"/>
    </row>
    <row r="7" spans="1:35" s="61" customFormat="1" ht="15.75" customHeight="1" x14ac:dyDescent="0.2">
      <c r="A7" s="60"/>
      <c r="D7" s="61" t="str">
        <f>"Ppto "&amp;Paramet!F3</f>
        <v>Ppto 2024</v>
      </c>
      <c r="F7" s="61" t="str">
        <f>"Real "&amp;Paramet!F3</f>
        <v>Real 2024</v>
      </c>
      <c r="G7" s="62" t="s">
        <v>24</v>
      </c>
      <c r="I7" s="61" t="str">
        <f>"Real "&amp;Paramet!F4</f>
        <v>Real 2023</v>
      </c>
      <c r="J7" s="62" t="s">
        <v>25</v>
      </c>
      <c r="K7" s="62"/>
      <c r="L7" s="61" t="str">
        <f>+D7</f>
        <v>Ppto 2024</v>
      </c>
      <c r="M7" s="62"/>
      <c r="N7" s="61" t="str">
        <f>+F7</f>
        <v>Real 2024</v>
      </c>
      <c r="O7" s="62" t="s">
        <v>24</v>
      </c>
      <c r="P7" s="62" t="str">
        <f>+I7</f>
        <v>Real 2023</v>
      </c>
      <c r="Q7" s="62"/>
      <c r="R7" s="62" t="s">
        <v>25</v>
      </c>
      <c r="S7" s="63"/>
      <c r="U7" s="61" t="str">
        <f>+D7</f>
        <v>Ppto 2024</v>
      </c>
      <c r="V7" s="61" t="str">
        <f>+N7</f>
        <v>Real 2024</v>
      </c>
      <c r="W7" s="61" t="str">
        <f>+I7</f>
        <v>Real 2023</v>
      </c>
      <c r="X7" s="61" t="str">
        <f>+U7</f>
        <v>Ppto 2024</v>
      </c>
      <c r="Y7" s="61" t="str">
        <f>+V7</f>
        <v>Real 2024</v>
      </c>
      <c r="Z7" s="61" t="s">
        <v>26</v>
      </c>
      <c r="AA7" s="61" t="s">
        <v>24</v>
      </c>
      <c r="AB7" s="61" t="str">
        <f>+W7</f>
        <v>Real 2023</v>
      </c>
      <c r="AC7" s="61" t="s">
        <v>25</v>
      </c>
    </row>
    <row r="8" spans="1:35" ht="13.5" thickBot="1" x14ac:dyDescent="0.25">
      <c r="A8" s="64" t="s">
        <v>63</v>
      </c>
      <c r="B8" s="65" t="s">
        <v>27</v>
      </c>
      <c r="C8" s="66" t="s">
        <v>28</v>
      </c>
      <c r="D8" s="66" t="s">
        <v>29</v>
      </c>
      <c r="E8" s="66" t="s">
        <v>28</v>
      </c>
      <c r="F8" s="66" t="s">
        <v>29</v>
      </c>
      <c r="G8" s="66" t="s">
        <v>30</v>
      </c>
      <c r="H8" s="66" t="s">
        <v>28</v>
      </c>
      <c r="I8" s="66" t="s">
        <v>29</v>
      </c>
      <c r="J8" s="66" t="s">
        <v>30</v>
      </c>
      <c r="K8" s="66" t="s">
        <v>28</v>
      </c>
      <c r="L8" s="66" t="s">
        <v>29</v>
      </c>
      <c r="M8" s="66" t="s">
        <v>28</v>
      </c>
      <c r="N8" s="66" t="s">
        <v>29</v>
      </c>
      <c r="O8" s="66" t="s">
        <v>30</v>
      </c>
      <c r="P8" s="66" t="s">
        <v>28</v>
      </c>
      <c r="Q8" s="66" t="s">
        <v>29</v>
      </c>
      <c r="R8" s="66" t="s">
        <v>30</v>
      </c>
      <c r="S8" s="58"/>
      <c r="T8" s="29"/>
      <c r="U8" s="30"/>
      <c r="V8" s="30"/>
      <c r="W8" s="30"/>
      <c r="X8" s="30"/>
      <c r="Y8" s="30"/>
      <c r="Z8" s="30"/>
      <c r="AA8" s="30" t="s">
        <v>30</v>
      </c>
      <c r="AB8" s="30"/>
      <c r="AC8" s="30" t="s">
        <v>30</v>
      </c>
      <c r="AD8" s="54"/>
      <c r="AE8" s="54"/>
      <c r="AF8" s="54"/>
    </row>
    <row r="9" spans="1:35" x14ac:dyDescent="0.2">
      <c r="A9" s="64"/>
      <c r="B9" s="3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8"/>
      <c r="T9" s="3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</row>
    <row r="10" spans="1:35" x14ac:dyDescent="0.2">
      <c r="A10" s="31" t="s">
        <v>64</v>
      </c>
      <c r="B10" s="3" t="s">
        <v>65</v>
      </c>
      <c r="C10" s="32">
        <v>402188</v>
      </c>
      <c r="D10" s="34">
        <f t="shared" ref="D10:D15" si="0">+C10/$C$20</f>
        <v>0.40416517604119351</v>
      </c>
      <c r="E10" s="32">
        <v>398125.84600000002</v>
      </c>
      <c r="F10" s="34">
        <f t="shared" ref="F10:F20" si="1">+E10/$E$20</f>
        <v>0.39030326233856016</v>
      </c>
      <c r="G10" s="34">
        <f t="shared" ref="G10:G20" si="2">IF(C10=0,"",(E10-C10)/ABS(C10)+1)</f>
        <v>0.98989986275075348</v>
      </c>
      <c r="H10" s="32">
        <v>400134.1</v>
      </c>
      <c r="I10" s="34">
        <f t="shared" ref="I10:I18" si="3">+H10/$H$20</f>
        <v>0.40059267277374183</v>
      </c>
      <c r="J10" s="34">
        <f t="shared" ref="J10:J20" si="4">IF(H10=0,"",(E10-H10)/ABS(H10))</f>
        <v>-5.018952396209064E-3</v>
      </c>
      <c r="K10" s="32">
        <v>2496493</v>
      </c>
      <c r="L10" s="34">
        <f t="shared" ref="L10:L46" si="5">+K10/$K$20</f>
        <v>0.40185114419647411</v>
      </c>
      <c r="M10" s="32">
        <v>2351590.7579999999</v>
      </c>
      <c r="N10" s="34">
        <f t="shared" ref="N10:N20" si="6">+M10/$M$20</f>
        <v>0.39301664178176954</v>
      </c>
      <c r="O10" s="34">
        <f t="shared" ref="O10:O19" si="7">IF(K10=0,"",(M10-K10)/ABS(K10)+1)</f>
        <v>0.94195768143551772</v>
      </c>
      <c r="P10" s="32">
        <v>2331986.1379999998</v>
      </c>
      <c r="Q10" s="34">
        <f t="shared" ref="Q10:Q46" si="8">+P10/$P$20</f>
        <v>0.41188293742233939</v>
      </c>
      <c r="R10" s="34">
        <f t="shared" ref="R10:R18" si="9">IF(P10=0,"",(M10-P10)/ABS(P10))</f>
        <v>8.4068338488554571E-3</v>
      </c>
      <c r="S10" s="67"/>
      <c r="T10" s="3" t="s">
        <v>31</v>
      </c>
      <c r="U10" s="32">
        <v>18595</v>
      </c>
      <c r="V10" s="32">
        <v>-9920</v>
      </c>
      <c r="W10" s="32">
        <v>106477</v>
      </c>
      <c r="X10" s="32">
        <v>45751</v>
      </c>
      <c r="Y10" s="32">
        <v>45751</v>
      </c>
      <c r="Z10" s="63">
        <f>+Y10-X10</f>
        <v>0</v>
      </c>
      <c r="AA10" s="68">
        <f>IF(X10=0,"",(Y10-X10)/ABS(X10)+1)</f>
        <v>1</v>
      </c>
      <c r="AB10" s="32">
        <v>32108</v>
      </c>
      <c r="AC10" s="34">
        <f>IF(W10=0,"",(Y10-AB10)/ABS(AB10))</f>
        <v>0.42490967983057182</v>
      </c>
      <c r="AD10" s="53"/>
      <c r="AE10" s="53"/>
      <c r="AF10" s="53"/>
      <c r="AH10" s="53"/>
    </row>
    <row r="11" spans="1:35" x14ac:dyDescent="0.2">
      <c r="A11" s="38" t="s">
        <v>66</v>
      </c>
      <c r="B11" s="3" t="s">
        <v>67</v>
      </c>
      <c r="C11" s="32">
        <v>41514</v>
      </c>
      <c r="D11" s="34">
        <f t="shared" si="0"/>
        <v>4.1718084871189859E-2</v>
      </c>
      <c r="E11" s="32">
        <v>59380.862000000001</v>
      </c>
      <c r="F11" s="34">
        <f t="shared" si="1"/>
        <v>5.8214115943318677E-2</v>
      </c>
      <c r="G11" s="34">
        <f t="shared" si="2"/>
        <v>1.4303816062051355</v>
      </c>
      <c r="H11" s="32">
        <v>38011.326000000001</v>
      </c>
      <c r="I11" s="34">
        <f t="shared" si="3"/>
        <v>3.805488879356702E-2</v>
      </c>
      <c r="J11" s="34">
        <f t="shared" si="4"/>
        <v>0.56218864872012098</v>
      </c>
      <c r="K11" s="32">
        <v>285403</v>
      </c>
      <c r="L11" s="34">
        <f t="shared" si="5"/>
        <v>4.594025383091653E-2</v>
      </c>
      <c r="M11" s="32">
        <v>361687.66899999999</v>
      </c>
      <c r="N11" s="34">
        <f t="shared" si="6"/>
        <v>6.0448133911341149E-2</v>
      </c>
      <c r="O11" s="34">
        <f t="shared" si="7"/>
        <v>1.2672875512871273</v>
      </c>
      <c r="P11" s="32">
        <v>251221.00899999999</v>
      </c>
      <c r="Q11" s="34">
        <f t="shared" si="8"/>
        <v>4.4371467498459015E-2</v>
      </c>
      <c r="R11" s="34">
        <f t="shared" si="9"/>
        <v>0.4397190363963549</v>
      </c>
      <c r="S11" s="67"/>
      <c r="T11" s="3" t="s">
        <v>32</v>
      </c>
      <c r="U11" s="32">
        <v>1180971</v>
      </c>
      <c r="V11" s="32">
        <v>838851.12259000004</v>
      </c>
      <c r="W11" s="32">
        <v>1261217.6891099999</v>
      </c>
      <c r="X11" s="32">
        <v>6944151</v>
      </c>
      <c r="Y11" s="32">
        <v>6536692.6440500002</v>
      </c>
      <c r="Z11" s="63">
        <f>+Y11-X11</f>
        <v>-407458.35594999976</v>
      </c>
      <c r="AA11" s="68">
        <f>IF(X11=0,"",(Y11-X11)/ABS(X11)+1)</f>
        <v>0.9413235173097475</v>
      </c>
      <c r="AB11" s="32">
        <v>6707432.2369999997</v>
      </c>
      <c r="AC11" s="34">
        <f>IF(AB11=0,"",(Y11-AB11)/ABS(AB11))</f>
        <v>-2.5455284066554409E-2</v>
      </c>
      <c r="AD11" s="53"/>
      <c r="AE11" s="53"/>
      <c r="AF11" s="53"/>
      <c r="AG11" s="53"/>
      <c r="AH11" s="53"/>
      <c r="AI11" s="55"/>
    </row>
    <row r="12" spans="1:35" x14ac:dyDescent="0.2">
      <c r="A12" s="38" t="s">
        <v>68</v>
      </c>
      <c r="B12" s="3" t="s">
        <v>69</v>
      </c>
      <c r="C12" s="32">
        <v>79355</v>
      </c>
      <c r="D12" s="34">
        <f t="shared" si="0"/>
        <v>7.974511309325219E-2</v>
      </c>
      <c r="E12" s="32">
        <v>59876.646999999997</v>
      </c>
      <c r="F12" s="34">
        <f t="shared" si="1"/>
        <v>5.8700159501813301E-2</v>
      </c>
      <c r="G12" s="34">
        <f t="shared" si="2"/>
        <v>0.75454157898053054</v>
      </c>
      <c r="H12" s="32">
        <v>86862.550199999998</v>
      </c>
      <c r="I12" s="34">
        <f t="shared" si="3"/>
        <v>8.6962098827771298E-2</v>
      </c>
      <c r="J12" s="34">
        <f t="shared" si="4"/>
        <v>-0.31067362330331399</v>
      </c>
      <c r="K12" s="32">
        <v>459131</v>
      </c>
      <c r="L12" s="34">
        <f t="shared" si="5"/>
        <v>7.3904600447936911E-2</v>
      </c>
      <c r="M12" s="32">
        <v>431502.79800000001</v>
      </c>
      <c r="N12" s="34">
        <f t="shared" si="6"/>
        <v>7.2116196243954309E-2</v>
      </c>
      <c r="O12" s="34">
        <f t="shared" si="7"/>
        <v>0.93982501290481368</v>
      </c>
      <c r="P12" s="32">
        <v>546959.71860000002</v>
      </c>
      <c r="Q12" s="34">
        <f t="shared" si="8"/>
        <v>9.660579532512821E-2</v>
      </c>
      <c r="R12" s="34">
        <f t="shared" si="9"/>
        <v>-0.21108852566972197</v>
      </c>
      <c r="S12" s="67"/>
      <c r="AD12" s="53"/>
      <c r="AE12" s="53"/>
      <c r="AF12" s="53"/>
      <c r="AG12" s="53"/>
      <c r="AH12" s="53"/>
      <c r="AI12" s="55"/>
    </row>
    <row r="13" spans="1:35" x14ac:dyDescent="0.2">
      <c r="A13" s="38" t="s">
        <v>70</v>
      </c>
      <c r="B13" s="3" t="s">
        <v>71</v>
      </c>
      <c r="C13" s="32">
        <v>93193</v>
      </c>
      <c r="D13" s="34">
        <f t="shared" si="0"/>
        <v>9.3651141383648814E-2</v>
      </c>
      <c r="E13" s="32">
        <v>88689.054000000004</v>
      </c>
      <c r="F13" s="34">
        <f t="shared" si="1"/>
        <v>8.6946445345627538E-2</v>
      </c>
      <c r="G13" s="34">
        <f t="shared" si="2"/>
        <v>0.95167076926378591</v>
      </c>
      <c r="H13" s="32">
        <v>124074.89200000001</v>
      </c>
      <c r="I13" s="34">
        <f t="shared" si="3"/>
        <v>0.12421708774731612</v>
      </c>
      <c r="J13" s="34">
        <f t="shared" si="4"/>
        <v>-0.28519741125384174</v>
      </c>
      <c r="K13" s="32">
        <v>638124</v>
      </c>
      <c r="L13" s="34">
        <f t="shared" si="5"/>
        <v>0.10271643442991062</v>
      </c>
      <c r="M13" s="32">
        <v>656384.60950000002</v>
      </c>
      <c r="N13" s="34">
        <f t="shared" si="6"/>
        <v>0.10970024187470812</v>
      </c>
      <c r="O13" s="34">
        <f t="shared" si="7"/>
        <v>1.0286160832377407</v>
      </c>
      <c r="P13" s="32">
        <v>518627.076</v>
      </c>
      <c r="Q13" s="34">
        <f t="shared" si="8"/>
        <v>9.160159231171161E-2</v>
      </c>
      <c r="R13" s="34">
        <f t="shared" si="9"/>
        <v>0.26561963282456935</v>
      </c>
      <c r="S13" s="67"/>
      <c r="T13" s="3" t="s">
        <v>33</v>
      </c>
      <c r="U13" s="32">
        <v>141350</v>
      </c>
      <c r="V13" s="32">
        <v>85370.082999999999</v>
      </c>
      <c r="W13" s="32">
        <v>159609.508</v>
      </c>
      <c r="X13" s="32">
        <v>957807</v>
      </c>
      <c r="Y13" s="32">
        <v>1097838.054</v>
      </c>
      <c r="Z13" s="63">
        <f>+X13-Y13</f>
        <v>-140031.054</v>
      </c>
      <c r="AA13" s="68">
        <f>IF(X13=0,"",(Y13-X13)/ABS(X13)+1)</f>
        <v>1.1461996560893792</v>
      </c>
      <c r="AB13" s="32">
        <v>819526.64300000004</v>
      </c>
      <c r="AC13" s="34">
        <f>IF(AB13=0,"",(Y13-AB13)/ABS(AB13))</f>
        <v>0.33960019894069504</v>
      </c>
      <c r="AD13" s="53"/>
      <c r="AE13" s="53"/>
      <c r="AF13" s="53"/>
      <c r="AG13" s="53"/>
      <c r="AH13" s="53"/>
      <c r="AI13" s="55"/>
    </row>
    <row r="14" spans="1:35" x14ac:dyDescent="0.2">
      <c r="A14" s="38">
        <v>4170250500</v>
      </c>
      <c r="B14" s="3" t="s">
        <v>72</v>
      </c>
      <c r="C14" s="32">
        <v>0</v>
      </c>
      <c r="D14" s="34">
        <f t="shared" si="0"/>
        <v>0</v>
      </c>
      <c r="E14" s="32">
        <v>0</v>
      </c>
      <c r="F14" s="34">
        <f t="shared" si="1"/>
        <v>0</v>
      </c>
      <c r="G14" s="34" t="str">
        <f t="shared" si="2"/>
        <v/>
      </c>
      <c r="H14" s="32">
        <v>0</v>
      </c>
      <c r="I14" s="34">
        <f t="shared" si="3"/>
        <v>0</v>
      </c>
      <c r="J14" s="34" t="e">
        <f t="shared" si="4"/>
        <v>#DIV/0!</v>
      </c>
      <c r="K14" s="32">
        <v>0</v>
      </c>
      <c r="L14" s="34">
        <f t="shared" si="5"/>
        <v>0</v>
      </c>
      <c r="M14" s="32">
        <v>0</v>
      </c>
      <c r="N14" s="34">
        <f t="shared" si="6"/>
        <v>0</v>
      </c>
      <c r="O14" s="34" t="str">
        <f t="shared" si="7"/>
        <v/>
      </c>
      <c r="P14" s="32">
        <v>0</v>
      </c>
      <c r="Q14" s="34">
        <f t="shared" si="8"/>
        <v>0</v>
      </c>
      <c r="R14" s="34" t="str">
        <f t="shared" si="9"/>
        <v/>
      </c>
      <c r="S14" s="67"/>
      <c r="T14" s="3" t="s">
        <v>34</v>
      </c>
      <c r="U14" s="32">
        <v>12131</v>
      </c>
      <c r="V14" s="32">
        <v>13654.255999999999</v>
      </c>
      <c r="W14" s="32">
        <v>11074.069</v>
      </c>
      <c r="X14" s="32">
        <v>72366</v>
      </c>
      <c r="Y14" s="32">
        <v>79680.036999999997</v>
      </c>
      <c r="Z14" s="63">
        <f>+X14-Y14</f>
        <v>-7314.0369999999966</v>
      </c>
      <c r="AA14" s="68">
        <f>IF(X14=0,"",(Y14-X14)/ABS(X14)+1)</f>
        <v>1.1010700743443054</v>
      </c>
      <c r="AB14" s="32">
        <v>56369.468000000001</v>
      </c>
      <c r="AC14" s="34">
        <f>IF(AB14=0,"",(Y14-AB14)/ABS(AB14))</f>
        <v>0.41353182542010147</v>
      </c>
      <c r="AD14" s="53"/>
      <c r="AE14" s="53"/>
      <c r="AF14" s="53"/>
      <c r="AG14" s="53"/>
      <c r="AH14" s="53"/>
      <c r="AI14" s="55"/>
    </row>
    <row r="15" spans="1:35" x14ac:dyDescent="0.2">
      <c r="A15" s="38" t="s">
        <v>73</v>
      </c>
      <c r="B15" s="3" t="s">
        <v>74</v>
      </c>
      <c r="C15" s="32">
        <v>138662</v>
      </c>
      <c r="D15" s="34">
        <f t="shared" si="0"/>
        <v>0.13934366922987254</v>
      </c>
      <c r="E15" s="32">
        <v>129508.651</v>
      </c>
      <c r="F15" s="34">
        <f t="shared" si="1"/>
        <v>0.12696399767616701</v>
      </c>
      <c r="G15" s="34">
        <f t="shared" si="2"/>
        <v>0.93398805007860841</v>
      </c>
      <c r="H15" s="32">
        <v>125942.02800000001</v>
      </c>
      <c r="I15" s="34">
        <f t="shared" si="3"/>
        <v>0.1260863635742753</v>
      </c>
      <c r="J15" s="34">
        <f t="shared" si="4"/>
        <v>2.8319561441395816E-2</v>
      </c>
      <c r="K15" s="32">
        <v>852709</v>
      </c>
      <c r="L15" s="34">
        <f t="shared" si="5"/>
        <v>0.13725737957872555</v>
      </c>
      <c r="M15" s="32">
        <v>798540.201</v>
      </c>
      <c r="N15" s="34">
        <f t="shared" si="6"/>
        <v>0.13345842045734016</v>
      </c>
      <c r="O15" s="34">
        <f t="shared" si="7"/>
        <v>0.93647446080667618</v>
      </c>
      <c r="P15" s="32">
        <v>800923.17200000002</v>
      </c>
      <c r="Q15" s="34">
        <f t="shared" si="8"/>
        <v>0.14146164222738514</v>
      </c>
      <c r="R15" s="34">
        <f t="shared" si="9"/>
        <v>-2.9752803805756533E-3</v>
      </c>
      <c r="S15" s="67"/>
      <c r="T15" s="3" t="s">
        <v>35</v>
      </c>
      <c r="U15" s="32">
        <v>525655</v>
      </c>
      <c r="V15" s="32">
        <v>552023.88399999996</v>
      </c>
      <c r="W15" s="32">
        <v>494962.3</v>
      </c>
      <c r="X15" s="32">
        <v>2800000</v>
      </c>
      <c r="Y15" s="32">
        <v>2801886.4309999999</v>
      </c>
      <c r="Z15" s="63">
        <f>+X15-Y15</f>
        <v>-1886.4309999998659</v>
      </c>
      <c r="AA15" s="68">
        <f>IF(X15=0,"",(Y15-X15)/ABS(X15)+1)</f>
        <v>1.0006737253571427</v>
      </c>
      <c r="AB15" s="32">
        <v>2378989.1090000002</v>
      </c>
      <c r="AC15" s="34">
        <f>IF(AB15=0,"",(Y15-AB15)/ABS(AB15))</f>
        <v>0.1777634544017577</v>
      </c>
      <c r="AD15" s="53"/>
      <c r="AE15" s="53"/>
      <c r="AF15" s="53"/>
      <c r="AG15" s="53"/>
      <c r="AH15" s="53"/>
      <c r="AI15" s="55"/>
    </row>
    <row r="16" spans="1:35" x14ac:dyDescent="0.2">
      <c r="A16" s="38">
        <v>4155951000</v>
      </c>
      <c r="B16" s="3" t="s">
        <v>75</v>
      </c>
      <c r="C16" s="32">
        <v>0</v>
      </c>
      <c r="D16" s="34"/>
      <c r="E16" s="32">
        <v>0</v>
      </c>
      <c r="F16" s="34">
        <f t="shared" si="1"/>
        <v>0</v>
      </c>
      <c r="G16" s="34" t="str">
        <f t="shared" si="2"/>
        <v/>
      </c>
      <c r="H16" s="32">
        <v>0</v>
      </c>
      <c r="I16" s="34">
        <f t="shared" si="3"/>
        <v>0</v>
      </c>
      <c r="J16" s="34" t="e">
        <f t="shared" si="4"/>
        <v>#DIV/0!</v>
      </c>
      <c r="K16" s="32">
        <v>0</v>
      </c>
      <c r="L16" s="34">
        <f t="shared" si="5"/>
        <v>0</v>
      </c>
      <c r="M16" s="32">
        <v>0</v>
      </c>
      <c r="N16" s="34">
        <f t="shared" si="6"/>
        <v>0</v>
      </c>
      <c r="O16" s="34" t="str">
        <f t="shared" si="7"/>
        <v/>
      </c>
      <c r="P16" s="32">
        <v>0</v>
      </c>
      <c r="Q16" s="34">
        <f t="shared" si="8"/>
        <v>0</v>
      </c>
      <c r="R16" s="34" t="str">
        <f t="shared" si="9"/>
        <v/>
      </c>
      <c r="S16" s="67"/>
      <c r="T16" s="3" t="s">
        <v>36</v>
      </c>
      <c r="U16" s="32">
        <v>293853</v>
      </c>
      <c r="V16" s="32">
        <v>213742.07183</v>
      </c>
      <c r="W16" s="32">
        <v>323426.82020000002</v>
      </c>
      <c r="X16" s="32">
        <v>1841123</v>
      </c>
      <c r="Y16" s="32">
        <v>1560657.0004700001</v>
      </c>
      <c r="Z16" s="63">
        <f>+X16-Y16</f>
        <v>280465.99952999991</v>
      </c>
      <c r="AA16" s="68">
        <f>IF(X16=0,"",(Y16-X16)/ABS(X16)+1)</f>
        <v>0.84766579987866109</v>
      </c>
      <c r="AB16" s="32">
        <v>1561990.25826</v>
      </c>
      <c r="AC16" s="34">
        <f>IF(AB16=0,"",(Y16-AB16)/ABS(AB16))</f>
        <v>-8.5356344762684076E-4</v>
      </c>
      <c r="AD16" s="53"/>
      <c r="AE16" s="53"/>
      <c r="AF16" s="53"/>
      <c r="AG16" s="53"/>
      <c r="AH16" s="53"/>
      <c r="AI16" s="55"/>
    </row>
    <row r="17" spans="1:35" x14ac:dyDescent="0.2">
      <c r="A17" s="38">
        <v>4155951500</v>
      </c>
      <c r="B17" s="3" t="s">
        <v>76</v>
      </c>
      <c r="C17" s="32">
        <v>15340</v>
      </c>
      <c r="D17" s="34">
        <f>+C17/$C$20</f>
        <v>1.5415412196465108E-2</v>
      </c>
      <c r="E17" s="32">
        <v>8648.6419999999998</v>
      </c>
      <c r="F17" s="34">
        <f t="shared" si="1"/>
        <v>8.4787089843905514E-3</v>
      </c>
      <c r="G17" s="34">
        <f t="shared" si="2"/>
        <v>0.56379674054758799</v>
      </c>
      <c r="H17" s="32">
        <v>15268.773999999999</v>
      </c>
      <c r="I17" s="34">
        <f t="shared" si="3"/>
        <v>1.5286272743658231E-2</v>
      </c>
      <c r="J17" s="34">
        <f t="shared" si="4"/>
        <v>-0.4335732521812164</v>
      </c>
      <c r="K17" s="32">
        <v>104776</v>
      </c>
      <c r="L17" s="34">
        <f t="shared" si="5"/>
        <v>1.6865400978224161E-2</v>
      </c>
      <c r="M17" s="32">
        <v>93723.962</v>
      </c>
      <c r="N17" s="34">
        <f t="shared" si="6"/>
        <v>1.5663897586946623E-2</v>
      </c>
      <c r="O17" s="34">
        <f t="shared" si="7"/>
        <v>0.89451746583186986</v>
      </c>
      <c r="P17" s="32">
        <v>76228.722999999998</v>
      </c>
      <c r="Q17" s="34">
        <f t="shared" si="8"/>
        <v>1.3463763713501904E-2</v>
      </c>
      <c r="R17" s="34">
        <f t="shared" si="9"/>
        <v>0.229509800393744</v>
      </c>
      <c r="S17" s="67"/>
      <c r="T17" s="3" t="s">
        <v>37</v>
      </c>
      <c r="U17" s="32">
        <f t="shared" ref="U17:AB17" si="10">SUM(U13:U16)</f>
        <v>972989</v>
      </c>
      <c r="V17" s="32">
        <f>SUM(V13:V16)</f>
        <v>864790.29483000003</v>
      </c>
      <c r="W17" s="32">
        <f t="shared" si="10"/>
        <v>989072.69720000005</v>
      </c>
      <c r="X17" s="32">
        <f t="shared" si="10"/>
        <v>5671296</v>
      </c>
      <c r="Y17" s="32">
        <f>SUM(Y13:Y16)</f>
        <v>5540061.5224700002</v>
      </c>
      <c r="Z17" s="63">
        <f>+Y17-X17</f>
        <v>-131234.4775299998</v>
      </c>
      <c r="AA17" s="68">
        <f>IF(X17=0,"",(Y17-X17)/ABS(X17)+1)</f>
        <v>0.97685987867147128</v>
      </c>
      <c r="AB17" s="32">
        <f t="shared" si="10"/>
        <v>4816875.4782600002</v>
      </c>
      <c r="AC17" s="34">
        <f>IF(AB17=0,"",(Y17-AB17)/ABS(AB17))</f>
        <v>0.15013592264818862</v>
      </c>
      <c r="AD17" s="53"/>
      <c r="AE17" s="53"/>
      <c r="AF17" s="53"/>
      <c r="AG17" s="53"/>
      <c r="AH17" s="53"/>
      <c r="AI17" s="55"/>
    </row>
    <row r="18" spans="1:35" x14ac:dyDescent="0.2">
      <c r="A18" s="38" t="s">
        <v>77</v>
      </c>
      <c r="B18" s="3" t="s">
        <v>78</v>
      </c>
      <c r="C18" s="32">
        <v>162611</v>
      </c>
      <c r="D18" s="41">
        <f t="shared" ref="D18:D46" si="11">+C18/$C$20</f>
        <v>0.16341040369487533</v>
      </c>
      <c r="E18" s="32">
        <v>220513.40400000001</v>
      </c>
      <c r="F18" s="34">
        <f t="shared" si="1"/>
        <v>0.21618064196359887</v>
      </c>
      <c r="G18" s="34">
        <f t="shared" si="2"/>
        <v>1.3560792566308553</v>
      </c>
      <c r="H18" s="32">
        <v>151081.37700000001</v>
      </c>
      <c r="I18" s="34">
        <f t="shared" si="3"/>
        <v>0.1512545234679257</v>
      </c>
      <c r="J18" s="41">
        <f t="shared" si="4"/>
        <v>0.4595670782111021</v>
      </c>
      <c r="K18" s="32">
        <v>1004348</v>
      </c>
      <c r="L18" s="34">
        <f t="shared" si="5"/>
        <v>0.16166614245320951</v>
      </c>
      <c r="M18" s="32">
        <v>952642.01800000004</v>
      </c>
      <c r="N18" s="34">
        <f t="shared" si="6"/>
        <v>0.15921314772175513</v>
      </c>
      <c r="O18" s="34">
        <f t="shared" si="7"/>
        <v>0.94851786233456936</v>
      </c>
      <c r="P18" s="32">
        <v>791212.60199999996</v>
      </c>
      <c r="Q18" s="34">
        <f t="shared" si="8"/>
        <v>0.13974652993298894</v>
      </c>
      <c r="R18" s="41">
        <f t="shared" si="9"/>
        <v>0.20402786253902475</v>
      </c>
      <c r="S18" s="67"/>
      <c r="AD18" s="53"/>
      <c r="AE18" s="53"/>
      <c r="AF18" s="53"/>
      <c r="AG18" s="53"/>
      <c r="AH18" s="53"/>
      <c r="AI18" s="55"/>
    </row>
    <row r="19" spans="1:35" x14ac:dyDescent="0.2">
      <c r="A19" s="31" t="s">
        <v>79</v>
      </c>
      <c r="B19" s="3" t="s">
        <v>80</v>
      </c>
      <c r="C19" s="32">
        <v>62245</v>
      </c>
      <c r="D19" s="34">
        <f t="shared" si="11"/>
        <v>6.2550999489502643E-2</v>
      </c>
      <c r="E19" s="32">
        <v>55299.216</v>
      </c>
      <c r="F19" s="34">
        <f t="shared" si="1"/>
        <v>5.4212668246523994E-2</v>
      </c>
      <c r="G19" s="34">
        <f t="shared" si="2"/>
        <v>0.88841217768495462</v>
      </c>
      <c r="H19" s="32">
        <v>57480.216999999997</v>
      </c>
      <c r="I19" s="34"/>
      <c r="J19" s="34">
        <f t="shared" si="4"/>
        <v>-3.7943506719885847E-2</v>
      </c>
      <c r="K19" s="32">
        <v>371498</v>
      </c>
      <c r="L19" s="34">
        <f t="shared" si="5"/>
        <v>5.979864408460258E-2</v>
      </c>
      <c r="M19" s="32">
        <v>337366.109</v>
      </c>
      <c r="N19" s="34">
        <f t="shared" si="6"/>
        <v>5.6383320422184795E-2</v>
      </c>
      <c r="O19" s="34">
        <f t="shared" si="7"/>
        <v>0.9081236211231285</v>
      </c>
      <c r="P19" s="32">
        <v>344610.783</v>
      </c>
      <c r="Q19" s="34">
        <f t="shared" si="8"/>
        <v>6.0866271568485793E-2</v>
      </c>
      <c r="R19" s="34"/>
      <c r="S19" s="67"/>
      <c r="T19" s="3" t="s">
        <v>38</v>
      </c>
      <c r="U19" s="32">
        <f>U11-U17</f>
        <v>207982</v>
      </c>
      <c r="V19" s="32">
        <f>V11-V17</f>
        <v>-25939.172239999985</v>
      </c>
      <c r="W19" s="32">
        <f>W11-W17</f>
        <v>272144.99190999987</v>
      </c>
      <c r="X19" s="32">
        <f>X11-X17</f>
        <v>1272855</v>
      </c>
      <c r="Y19" s="32">
        <f>Y11-Y17</f>
        <v>996631.12158000004</v>
      </c>
      <c r="Z19" s="32">
        <f>+Y19-X19</f>
        <v>-276223.87841999996</v>
      </c>
      <c r="AA19" s="68">
        <f>IF(X19=0,"",(Y19-X19)/ABS(X19)+1)</f>
        <v>0.78298873130089452</v>
      </c>
      <c r="AB19" s="32">
        <f>AB11-AB17</f>
        <v>1890556.7587399995</v>
      </c>
      <c r="AC19" s="34">
        <f>IF(AB19=0,"",(Y19-AB19)/ABS(AB19))</f>
        <v>-0.47283723856869264</v>
      </c>
      <c r="AD19" s="53"/>
      <c r="AE19" s="53"/>
      <c r="AF19" s="53"/>
      <c r="AG19" s="53"/>
      <c r="AH19" s="53"/>
    </row>
    <row r="20" spans="1:35" x14ac:dyDescent="0.2">
      <c r="B20" s="20" t="s">
        <v>39</v>
      </c>
      <c r="C20" s="69">
        <f>SUM(C10:C19)</f>
        <v>995108</v>
      </c>
      <c r="D20" s="45">
        <f t="shared" si="11"/>
        <v>1</v>
      </c>
      <c r="E20" s="69">
        <f>SUM(E10:E19)</f>
        <v>1020042.3219999999</v>
      </c>
      <c r="F20" s="45">
        <f t="shared" si="1"/>
        <v>1</v>
      </c>
      <c r="G20" s="45">
        <f t="shared" si="2"/>
        <v>1.0250569003565442</v>
      </c>
      <c r="H20" s="69">
        <f>SUM(H10:H19)</f>
        <v>998855.26419999986</v>
      </c>
      <c r="I20" s="45">
        <f>+H22/$H$22</f>
        <v>1</v>
      </c>
      <c r="J20" s="45">
        <f t="shared" si="4"/>
        <v>2.1211339179324586E-2</v>
      </c>
      <c r="K20" s="69">
        <f>SUM(K10:K19)</f>
        <v>6212482</v>
      </c>
      <c r="L20" s="45">
        <f t="shared" si="5"/>
        <v>1</v>
      </c>
      <c r="M20" s="69">
        <f>SUM(M10:M19)</f>
        <v>5983438.1245000008</v>
      </c>
      <c r="N20" s="45">
        <f t="shared" si="6"/>
        <v>1</v>
      </c>
      <c r="O20" s="45">
        <f>IF(K20=0,"",(M20-K20)/ABS(K20)+1)</f>
        <v>0.96313166372152081</v>
      </c>
      <c r="P20" s="69">
        <f>SUM(P10:P19)</f>
        <v>5661769.2215999998</v>
      </c>
      <c r="Q20" s="45">
        <f t="shared" si="8"/>
        <v>1</v>
      </c>
      <c r="R20" s="45">
        <f>IF(P20=0,"",(M20-P20)/ABS(P20))</f>
        <v>5.6814202470989859E-2</v>
      </c>
      <c r="S20" s="67"/>
      <c r="T20" s="3"/>
      <c r="U20" s="32"/>
      <c r="V20" s="32"/>
      <c r="W20" s="32"/>
      <c r="X20" s="32"/>
      <c r="Y20" s="32"/>
      <c r="Z20" s="63"/>
      <c r="AA20" s="68"/>
      <c r="AB20" s="32"/>
      <c r="AC20" s="34" t="str">
        <f>IF(AB20=0,"",(Y20-AB20)/ABS(AB20))</f>
        <v/>
      </c>
      <c r="AD20" s="53"/>
      <c r="AE20" s="53"/>
      <c r="AF20" s="53"/>
      <c r="AG20" s="53"/>
      <c r="AH20" s="53"/>
      <c r="AI20" s="55"/>
    </row>
    <row r="21" spans="1:35" x14ac:dyDescent="0.2">
      <c r="B21" s="3"/>
      <c r="C21" s="32"/>
      <c r="D21" s="34"/>
      <c r="E21" s="32"/>
      <c r="F21" s="34"/>
      <c r="G21" s="34"/>
      <c r="H21" s="32"/>
      <c r="I21" s="34"/>
      <c r="J21" s="34"/>
      <c r="K21" s="32"/>
      <c r="L21" s="34"/>
      <c r="M21" s="32"/>
      <c r="N21" s="34"/>
      <c r="O21" s="34"/>
      <c r="P21" s="32"/>
      <c r="Q21" s="34"/>
      <c r="R21" s="34"/>
      <c r="S21" s="67"/>
      <c r="T21" s="3" t="s">
        <v>40</v>
      </c>
      <c r="U21" s="32">
        <f>+U10+U19</f>
        <v>226577</v>
      </c>
      <c r="V21" s="32">
        <f>+V10+V19</f>
        <v>-35859.172239999985</v>
      </c>
      <c r="W21" s="32">
        <f>+W10+W19</f>
        <v>378621.99190999987</v>
      </c>
      <c r="X21" s="32">
        <f>+X10+X19</f>
        <v>1318606</v>
      </c>
      <c r="Y21" s="32">
        <f>+Y10+Y19</f>
        <v>1042382.12158</v>
      </c>
      <c r="Z21" s="63">
        <f>+Y21-X21</f>
        <v>-276223.87841999996</v>
      </c>
      <c r="AA21" s="68">
        <f>IF(X21=0,"",(Y21-X21)/ABS(X21)+1)</f>
        <v>0.79051826063281982</v>
      </c>
      <c r="AB21" s="32">
        <f>+AB10+AB19</f>
        <v>1922664.7587399995</v>
      </c>
      <c r="AC21" s="34">
        <f>IF(AB21=0,"",(Y21-AB21)/ABS(AB21))</f>
        <v>-0.45784509918249322</v>
      </c>
      <c r="AD21" s="53"/>
      <c r="AE21" s="53"/>
      <c r="AF21" s="53"/>
      <c r="AG21" s="53"/>
      <c r="AH21" s="53"/>
      <c r="AI21" s="55"/>
    </row>
    <row r="22" spans="1:35" x14ac:dyDescent="0.2">
      <c r="A22" s="70"/>
      <c r="B22" s="3" t="s">
        <v>41</v>
      </c>
      <c r="C22" s="32">
        <v>97138</v>
      </c>
      <c r="D22" s="34">
        <f t="shared" si="11"/>
        <v>9.7615535198189538E-2</v>
      </c>
      <c r="E22" s="32">
        <v>141649.15886000003</v>
      </c>
      <c r="F22" s="34">
        <f>+E22/$E$20</f>
        <v>0.1388659625242491</v>
      </c>
      <c r="G22" s="34">
        <f>IF(C22=0,"",(E22-C22)/ABS(C22)+1)</f>
        <v>1.4582260172126256</v>
      </c>
      <c r="H22" s="32">
        <v>125710.36887000001</v>
      </c>
      <c r="I22" s="34">
        <f t="shared" ref="I22:I46" si="12">+H22/$H$20</f>
        <v>0.12585443895185713</v>
      </c>
      <c r="J22" s="34">
        <f>IF(H22=0,"",(E22-H22)/ABS(H22))</f>
        <v>0.12678977981905923</v>
      </c>
      <c r="K22" s="32">
        <v>604924</v>
      </c>
      <c r="L22" s="34">
        <f t="shared" si="5"/>
        <v>9.7372354559739568E-2</v>
      </c>
      <c r="M22" s="32">
        <v>718166.27770000009</v>
      </c>
      <c r="N22" s="34">
        <f>+M22/$M$20</f>
        <v>0.12002568803366924</v>
      </c>
      <c r="O22" s="34">
        <f>IF(K22=0,"",(M22-K22)/ABS(K22)+1)</f>
        <v>1.1872008346503033</v>
      </c>
      <c r="P22" s="32">
        <v>489923.83389999997</v>
      </c>
      <c r="Q22" s="34">
        <f t="shared" si="8"/>
        <v>8.653193281543696E-2</v>
      </c>
      <c r="R22" s="34">
        <f>IF(P22=0,"",(M22-P22)/ABS(P22))</f>
        <v>0.46587332153876693</v>
      </c>
      <c r="S22" s="67"/>
      <c r="T22" s="3"/>
      <c r="U22" s="32"/>
      <c r="V22" s="32"/>
      <c r="W22" s="32"/>
      <c r="X22" s="32"/>
      <c r="Y22" s="32"/>
      <c r="Z22" s="63"/>
      <c r="AA22" s="68"/>
      <c r="AB22" s="32"/>
      <c r="AC22" s="34"/>
      <c r="AD22" s="53"/>
      <c r="AE22" s="53"/>
      <c r="AF22" s="53"/>
      <c r="AG22" s="53"/>
      <c r="AH22" s="53"/>
      <c r="AI22" s="55"/>
    </row>
    <row r="23" spans="1:35" x14ac:dyDescent="0.2">
      <c r="A23" s="70"/>
      <c r="B23" s="3"/>
      <c r="C23" s="32"/>
      <c r="D23" s="34"/>
      <c r="E23" s="32"/>
      <c r="F23" s="34"/>
      <c r="G23" s="34"/>
      <c r="H23" s="32"/>
      <c r="I23" s="34"/>
      <c r="J23" s="34"/>
      <c r="K23" s="32"/>
      <c r="L23" s="34"/>
      <c r="M23" s="32"/>
      <c r="N23" s="34"/>
      <c r="O23" s="34"/>
      <c r="P23" s="32"/>
      <c r="Q23" s="34"/>
      <c r="R23" s="34"/>
      <c r="S23" s="67"/>
      <c r="T23" s="3" t="s">
        <v>42</v>
      </c>
      <c r="U23" s="32">
        <v>0</v>
      </c>
      <c r="V23" s="32">
        <v>0</v>
      </c>
      <c r="W23" s="32">
        <v>269.654</v>
      </c>
      <c r="X23" s="32">
        <v>81164</v>
      </c>
      <c r="Y23" s="32">
        <v>218004.28115</v>
      </c>
      <c r="Z23" s="63">
        <f>+Y23-X23</f>
        <v>136840.28115</v>
      </c>
      <c r="AA23" s="68">
        <f>IF(X23=0,"",(Y23-X23)/ABS(X23)+1)</f>
        <v>2.6859726128579173</v>
      </c>
      <c r="AB23" s="32">
        <v>37584.189570000002</v>
      </c>
      <c r="AC23" s="34">
        <f>IF(AB23=0,"",(Y23-AB23)/ABS(AB23))</f>
        <v>4.8004252225252912</v>
      </c>
      <c r="AD23" s="53"/>
      <c r="AE23" s="53"/>
      <c r="AF23" s="53"/>
      <c r="AG23" s="53"/>
      <c r="AH23" s="53"/>
      <c r="AI23" s="55"/>
    </row>
    <row r="24" spans="1:35" x14ac:dyDescent="0.2">
      <c r="B24" s="3" t="s">
        <v>43</v>
      </c>
      <c r="C24" s="32">
        <f>+C20-C22</f>
        <v>897970</v>
      </c>
      <c r="D24" s="34">
        <f t="shared" si="11"/>
        <v>0.90238446480181045</v>
      </c>
      <c r="E24" s="32">
        <f>+E20-E22</f>
        <v>878393.16313999984</v>
      </c>
      <c r="F24" s="34">
        <f>+E24/$E$20</f>
        <v>0.86113403747575079</v>
      </c>
      <c r="G24" s="34">
        <f>IF(C24=0,"",(E24-C24)/ABS(C24)+1)</f>
        <v>0.97819878519326908</v>
      </c>
      <c r="H24" s="32">
        <f>+H20-H22</f>
        <v>873144.89532999985</v>
      </c>
      <c r="I24" s="34">
        <f t="shared" si="12"/>
        <v>0.87414556104814289</v>
      </c>
      <c r="J24" s="34">
        <f>IF(H24=0,"",(E24-H24)/ABS(H24))</f>
        <v>6.0107638927631123E-3</v>
      </c>
      <c r="K24" s="32">
        <f>+K20-K22</f>
        <v>5607558</v>
      </c>
      <c r="L24" s="34">
        <f t="shared" si="5"/>
        <v>0.90262764544026042</v>
      </c>
      <c r="M24" s="32">
        <f>+M20-M22</f>
        <v>5265271.8468000004</v>
      </c>
      <c r="N24" s="34">
        <f>+M24/$M$20</f>
        <v>0.87997431196633069</v>
      </c>
      <c r="O24" s="34">
        <f>IF(K24=0,"",(M24-K24)/ABS(K24)+1)</f>
        <v>0.93895985503850343</v>
      </c>
      <c r="P24" s="32">
        <f>+P20-P22</f>
        <v>5171845.3876999998</v>
      </c>
      <c r="Q24" s="34">
        <f t="shared" si="8"/>
        <v>0.91346806718456308</v>
      </c>
      <c r="R24" s="34">
        <f>IF(P24=0,"",(M24-P24)/ABS(P24))</f>
        <v>1.8064433890887979E-2</v>
      </c>
      <c r="S24" s="67"/>
      <c r="T24" s="3"/>
      <c r="U24" s="32"/>
      <c r="V24" s="32"/>
      <c r="W24" s="32"/>
      <c r="X24" s="32"/>
      <c r="Y24" s="32"/>
      <c r="Z24" s="63"/>
      <c r="AA24" s="68"/>
      <c r="AB24" s="32"/>
      <c r="AC24" s="34"/>
      <c r="AD24" s="53"/>
      <c r="AE24" s="53"/>
      <c r="AF24" s="53"/>
      <c r="AG24" s="53"/>
      <c r="AH24" s="53"/>
      <c r="AI24" s="55"/>
    </row>
    <row r="25" spans="1:35" x14ac:dyDescent="0.2">
      <c r="B25" s="3"/>
      <c r="C25" s="32"/>
      <c r="D25" s="34"/>
      <c r="E25" s="32"/>
      <c r="F25" s="34"/>
      <c r="G25" s="34"/>
      <c r="H25" s="32"/>
      <c r="I25" s="34"/>
      <c r="J25" s="34"/>
      <c r="K25" s="32"/>
      <c r="L25" s="34"/>
      <c r="M25" s="32"/>
      <c r="N25" s="34"/>
      <c r="O25" s="34"/>
      <c r="P25" s="32"/>
      <c r="Q25" s="34"/>
      <c r="R25" s="34"/>
      <c r="S25" s="67"/>
      <c r="T25" s="3" t="s">
        <v>44</v>
      </c>
      <c r="U25" s="32">
        <v>55439</v>
      </c>
      <c r="V25" s="32">
        <v>54621.959390000004</v>
      </c>
      <c r="W25" s="32">
        <v>48545.032549999996</v>
      </c>
      <c r="X25" s="32">
        <v>1162205</v>
      </c>
      <c r="Y25" s="32">
        <v>1119966.24969</v>
      </c>
      <c r="Z25" s="63">
        <f>+Y25-X25</f>
        <v>-42238.750310000032</v>
      </c>
      <c r="AA25" s="68">
        <f>IF(X25=0,"",(Y25-X25)/ABS(X25)+1)</f>
        <v>0.9636563684461863</v>
      </c>
      <c r="AB25" s="32">
        <v>1122380.9293699998</v>
      </c>
      <c r="AC25" s="34">
        <f>IF(AB25=0,"",(Y25-AB25)/ABS(AB25))</f>
        <v>-2.1513905099538738E-3</v>
      </c>
      <c r="AD25" s="53"/>
      <c r="AE25" s="53"/>
      <c r="AF25" s="53"/>
      <c r="AG25" s="53"/>
      <c r="AH25" s="53"/>
      <c r="AI25" s="55"/>
    </row>
    <row r="26" spans="1:35" x14ac:dyDescent="0.2">
      <c r="B26" s="3" t="s">
        <v>45</v>
      </c>
      <c r="C26" s="32">
        <v>213638</v>
      </c>
      <c r="D26" s="34">
        <f t="shared" si="11"/>
        <v>0.21468825494318206</v>
      </c>
      <c r="E26" s="32">
        <v>208285.54980000001</v>
      </c>
      <c r="F26" s="34">
        <f>+E26/$E$20</f>
        <v>0.20419304700182825</v>
      </c>
      <c r="G26" s="34">
        <f>IF(C26=0,"",(E26-C26)/ABS(C26)+1)</f>
        <v>0.97494616968891301</v>
      </c>
      <c r="H26" s="32">
        <v>195018.31933000003</v>
      </c>
      <c r="I26" s="34">
        <f t="shared" si="12"/>
        <v>0.19524181963058834</v>
      </c>
      <c r="J26" s="34">
        <f>IF(H26=0,"",(E26-H26)/ABS(H26))</f>
        <v>6.803068817114484E-2</v>
      </c>
      <c r="K26" s="32">
        <v>1369235</v>
      </c>
      <c r="L26" s="34">
        <f t="shared" si="5"/>
        <v>0.22040063858535122</v>
      </c>
      <c r="M26" s="32">
        <v>1302222.4715799999</v>
      </c>
      <c r="N26" s="34">
        <f>+M26/$M$20</f>
        <v>0.21763782702922471</v>
      </c>
      <c r="O26" s="34">
        <f>IF(K26=0,"",(M26-K26)/ABS(K26)+1)</f>
        <v>0.95105841698466653</v>
      </c>
      <c r="P26" s="32">
        <v>1198567.9621700002</v>
      </c>
      <c r="Q26" s="34">
        <f t="shared" si="8"/>
        <v>0.21169495174713043</v>
      </c>
      <c r="R26" s="34">
        <f>IF(P26=0,"",(M26-P26)/ABS(P26))</f>
        <v>8.6481962376446161E-2</v>
      </c>
      <c r="S26" s="67"/>
      <c r="T26" s="3"/>
      <c r="U26" s="32"/>
      <c r="V26" s="32"/>
      <c r="W26" s="32"/>
      <c r="X26" s="32"/>
      <c r="Y26" s="32"/>
      <c r="Z26" s="63"/>
      <c r="AA26" s="68"/>
      <c r="AB26" s="32"/>
      <c r="AC26" s="34"/>
      <c r="AD26" s="53"/>
      <c r="AE26" s="53"/>
      <c r="AF26" s="53"/>
      <c r="AG26" s="53"/>
      <c r="AH26" s="53"/>
      <c r="AI26" s="55"/>
    </row>
    <row r="27" spans="1:35" x14ac:dyDescent="0.2">
      <c r="B27" s="3" t="s">
        <v>46</v>
      </c>
      <c r="C27" s="32">
        <v>337940</v>
      </c>
      <c r="D27" s="34">
        <f t="shared" si="11"/>
        <v>0.33960132970491647</v>
      </c>
      <c r="E27" s="32">
        <v>335573.76611999999</v>
      </c>
      <c r="F27" s="34">
        <f>+E27/$E$20</f>
        <v>0.32898023825329081</v>
      </c>
      <c r="G27" s="34">
        <f>IF(C27=0,"",(E27-C27)/ABS(C27)+1)</f>
        <v>0.99299806510031363</v>
      </c>
      <c r="H27" s="32">
        <v>317532.49116999999</v>
      </c>
      <c r="I27" s="34">
        <f t="shared" si="12"/>
        <v>0.31789639855812057</v>
      </c>
      <c r="J27" s="34">
        <f>IF(H27=0,"",(E27-H27)/ABS(H27))</f>
        <v>5.6817098884980197E-2</v>
      </c>
      <c r="K27" s="32">
        <v>2045797</v>
      </c>
      <c r="L27" s="34">
        <f t="shared" si="5"/>
        <v>0.32930429416133522</v>
      </c>
      <c r="M27" s="32">
        <v>2082639.4848499999</v>
      </c>
      <c r="N27" s="34">
        <f>+M27/$M$20</f>
        <v>0.34806735550959395</v>
      </c>
      <c r="O27" s="34">
        <f>IF(K27=0,"",(M27-K27)/ABS(K27)+1)</f>
        <v>1.0180088663977902</v>
      </c>
      <c r="P27" s="32">
        <v>1799061.5947100001</v>
      </c>
      <c r="Q27" s="34">
        <f t="shared" si="8"/>
        <v>0.31775608017480983</v>
      </c>
      <c r="R27" s="34">
        <f>IF(P27=0,"",(M27-P27)/ABS(P27))</f>
        <v>0.15762544816355281</v>
      </c>
      <c r="S27" s="67"/>
      <c r="T27" s="3" t="s">
        <v>47</v>
      </c>
      <c r="U27" s="32">
        <v>-106842</v>
      </c>
      <c r="V27" s="32">
        <v>-90756.882360000003</v>
      </c>
      <c r="W27" s="32">
        <v>193308</v>
      </c>
      <c r="X27" s="32">
        <v>-242454</v>
      </c>
      <c r="Y27" s="32">
        <v>-439391</v>
      </c>
      <c r="Z27" s="63">
        <f>+Y27-X27</f>
        <v>-196937</v>
      </c>
      <c r="AA27" s="68">
        <f>IF(X27=0,"",(Y27-X27)/ABS(X27)+1)</f>
        <v>0.18773458058023373</v>
      </c>
      <c r="AB27" s="32">
        <v>483340</v>
      </c>
      <c r="AC27" s="34">
        <f>IF(AB27=0,"",(Y27-AB27)/ABS(AB27))</f>
        <v>-1.9090722886580875</v>
      </c>
      <c r="AD27" s="53"/>
      <c r="AE27" s="53"/>
      <c r="AF27" s="53"/>
      <c r="AG27" s="53"/>
      <c r="AH27" s="53"/>
      <c r="AI27" s="55"/>
    </row>
    <row r="28" spans="1:35" x14ac:dyDescent="0.2">
      <c r="B28" s="3" t="s">
        <v>48</v>
      </c>
      <c r="C28" s="32">
        <f>SUM(C26:C27)</f>
        <v>551578</v>
      </c>
      <c r="D28" s="34">
        <f t="shared" si="11"/>
        <v>0.55428958464809852</v>
      </c>
      <c r="E28" s="32">
        <f>SUM(E26:E27)</f>
        <v>543859.31591999996</v>
      </c>
      <c r="F28" s="34">
        <f>+E28/$E$20</f>
        <v>0.53317328525511909</v>
      </c>
      <c r="G28" s="34">
        <f>IF(C28=0,"",(E28-C28)/ABS(C28)+1)</f>
        <v>0.98600617849152783</v>
      </c>
      <c r="H28" s="32">
        <f>SUM(H26:H27)</f>
        <v>512550.81050000002</v>
      </c>
      <c r="I28" s="34">
        <f t="shared" si="12"/>
        <v>0.51313821818870897</v>
      </c>
      <c r="J28" s="34">
        <f>IF(H28=0,"",(E28-H28)/ABS(H28))</f>
        <v>6.1083710685108636E-2</v>
      </c>
      <c r="K28" s="32">
        <f>SUM(K26:K27)</f>
        <v>3415032</v>
      </c>
      <c r="L28" s="34">
        <f t="shared" si="5"/>
        <v>0.54970493274668641</v>
      </c>
      <c r="M28" s="32">
        <f>SUM(M26:M27)</f>
        <v>3384861.9564299998</v>
      </c>
      <c r="N28" s="34">
        <f>+M28/$M$20</f>
        <v>0.56570518253881863</v>
      </c>
      <c r="O28" s="34">
        <f>IF(K28=0,"",(M28-K28)/ABS(K28)+1)</f>
        <v>0.99116551658373908</v>
      </c>
      <c r="P28" s="32">
        <f>SUM(P26:P27)</f>
        <v>2997629.55688</v>
      </c>
      <c r="Q28" s="34">
        <f t="shared" si="8"/>
        <v>0.52945103192194021</v>
      </c>
      <c r="R28" s="34">
        <f>IF(P28=0,"",(M28-P28)/ABS(P28))</f>
        <v>0.12917953743191668</v>
      </c>
      <c r="S28" s="67"/>
      <c r="T28" s="3" t="s">
        <v>49</v>
      </c>
      <c r="U28" s="32">
        <v>81250</v>
      </c>
      <c r="V28" s="32">
        <v>81286.6924</v>
      </c>
      <c r="W28" s="32">
        <v>86135.159430000014</v>
      </c>
      <c r="X28" s="32">
        <v>243750</v>
      </c>
      <c r="Y28" s="32">
        <v>233172.8554</v>
      </c>
      <c r="Z28" s="63">
        <f>+Y28-X28</f>
        <v>-10577.1446</v>
      </c>
      <c r="AA28" s="68">
        <f>IF(X28=0,"",(Y28-X28)/ABS(X28)+1)</f>
        <v>0.95660658625641026</v>
      </c>
      <c r="AB28" s="32">
        <v>228994.62210000001</v>
      </c>
      <c r="AC28" s="34">
        <f>IF(AB28=0,"",(Y28-AB28)/ABS(AB28))</f>
        <v>1.8245988755907959E-2</v>
      </c>
      <c r="AD28" s="53"/>
      <c r="AE28" s="53"/>
      <c r="AF28" s="53"/>
      <c r="AG28" s="53"/>
      <c r="AH28" s="53"/>
      <c r="AI28" s="55"/>
    </row>
    <row r="29" spans="1:35" x14ac:dyDescent="0.2">
      <c r="B29" s="3"/>
      <c r="C29" s="32"/>
      <c r="D29" s="34"/>
      <c r="E29" s="32"/>
      <c r="F29" s="34"/>
      <c r="G29" s="34"/>
      <c r="H29" s="32"/>
      <c r="I29" s="34"/>
      <c r="J29" s="34"/>
      <c r="K29" s="32"/>
      <c r="L29" s="34"/>
      <c r="M29" s="32"/>
      <c r="N29" s="34"/>
      <c r="O29" s="34"/>
      <c r="P29" s="32"/>
      <c r="Q29" s="34"/>
      <c r="R29" s="34"/>
      <c r="S29" s="67"/>
      <c r="AD29" s="53"/>
      <c r="AE29" s="53"/>
      <c r="AF29" s="53"/>
      <c r="AG29" s="53"/>
      <c r="AH29" s="53"/>
      <c r="AI29" s="55"/>
    </row>
    <row r="30" spans="1:35" x14ac:dyDescent="0.2">
      <c r="B30" s="3" t="s">
        <v>50</v>
      </c>
      <c r="C30" s="32">
        <v>59053</v>
      </c>
      <c r="D30" s="34">
        <f t="shared" si="11"/>
        <v>5.9343307460094787E-2</v>
      </c>
      <c r="E30" s="32">
        <v>55061.083259999999</v>
      </c>
      <c r="F30" s="34">
        <f>+E30/$E$20</f>
        <v>5.3979214462436788E-2</v>
      </c>
      <c r="G30" s="34">
        <f>IF(C30=0,"",(E30-C30)/ABS(C30)+1)</f>
        <v>0.93240111865612252</v>
      </c>
      <c r="H30" s="32">
        <v>50475.671000000002</v>
      </c>
      <c r="I30" s="34">
        <f t="shared" si="12"/>
        <v>5.0533518527758697E-2</v>
      </c>
      <c r="J30" s="34">
        <f>IF(H30=0,"",(E30-H30)/ABS(H30))</f>
        <v>9.0844007997436971E-2</v>
      </c>
      <c r="K30" s="32">
        <v>360152</v>
      </c>
      <c r="L30" s="34">
        <f t="shared" si="5"/>
        <v>5.7972320885597735E-2</v>
      </c>
      <c r="M30" s="32">
        <v>330996.72719000001</v>
      </c>
      <c r="N30" s="34">
        <f>+M30/$M$20</f>
        <v>5.5318818428937856E-2</v>
      </c>
      <c r="O30" s="34">
        <f>IF(K30=0,"",(M30-K30)/ABS(K30)+1)</f>
        <v>0.91904731110753235</v>
      </c>
      <c r="P30" s="32">
        <v>314289.47076</v>
      </c>
      <c r="Q30" s="34">
        <f t="shared" si="8"/>
        <v>5.5510823288410664E-2</v>
      </c>
      <c r="R30" s="34">
        <f>IF(P30=0,"",(M30-P30)/ABS(P30))</f>
        <v>5.3158816900863104E-2</v>
      </c>
      <c r="S30" s="67"/>
      <c r="T30" s="20" t="s">
        <v>51</v>
      </c>
      <c r="U30" s="69">
        <f>U21-U23-U25-U27-U28</f>
        <v>196730</v>
      </c>
      <c r="V30" s="69">
        <f>V21-V23-V25-V27-V28</f>
        <v>-81010.941669999986</v>
      </c>
      <c r="W30" s="69">
        <f>W21-W23-W25-W27-W28</f>
        <v>50364.145929999868</v>
      </c>
      <c r="X30" s="69">
        <f>X21-X23-X25-X27-X28</f>
        <v>73941</v>
      </c>
      <c r="Y30" s="69">
        <f>Y21-Y23-Y25-Y27-Y28</f>
        <v>-89370.26465999987</v>
      </c>
      <c r="Z30" s="71">
        <f>+Y30-X30</f>
        <v>-163311.26465999987</v>
      </c>
      <c r="AA30" s="72">
        <f>IF(U30=0,"",(V30-U30)/ABS(U30)+1)</f>
        <v>-0.41178743287754771</v>
      </c>
      <c r="AB30" s="69">
        <f>AB21-AB23-AB25-AB27-AB28</f>
        <v>50365.017699999764</v>
      </c>
      <c r="AC30" s="34">
        <f>IF(AB30=0,"",(Y30-AB30)/ABS(AB30))</f>
        <v>-2.7744511714923967</v>
      </c>
      <c r="AD30" s="54"/>
      <c r="AE30" s="54"/>
    </row>
    <row r="31" spans="1:35" x14ac:dyDescent="0.2">
      <c r="B31" s="3" t="s">
        <v>52</v>
      </c>
      <c r="C31" s="32">
        <v>206106</v>
      </c>
      <c r="D31" s="34">
        <f t="shared" si="11"/>
        <v>0.20711922725975471</v>
      </c>
      <c r="E31" s="32">
        <v>190909.87946</v>
      </c>
      <c r="F31" s="34">
        <f>+E31/$E$20</f>
        <v>0.18715878286861906</v>
      </c>
      <c r="G31" s="34">
        <f>IF(C31=0,"",(E31-C31)/ABS(C31)+1)</f>
        <v>0.92627036311412569</v>
      </c>
      <c r="H31" s="32">
        <v>203651.40686000002</v>
      </c>
      <c r="I31" s="34">
        <f t="shared" si="12"/>
        <v>0.20388480109088467</v>
      </c>
      <c r="J31" s="34">
        <f>IF(H31=0,"",(E31-H31)/ABS(H31))</f>
        <v>-6.2565378734452712E-2</v>
      </c>
      <c r="K31" s="32">
        <v>1200857</v>
      </c>
      <c r="L31" s="34">
        <f t="shared" si="5"/>
        <v>0.19329746146548191</v>
      </c>
      <c r="M31" s="32">
        <v>1154971.69154</v>
      </c>
      <c r="N31" s="34">
        <f>+M31/$M$20</f>
        <v>0.19302809981619287</v>
      </c>
      <c r="O31" s="34">
        <f>IF(K31=0,"",(M31-K31)/ABS(K31)+1)</f>
        <v>0.96178953159285419</v>
      </c>
      <c r="P31" s="32">
        <v>1065367.34552</v>
      </c>
      <c r="Q31" s="34">
        <f t="shared" si="8"/>
        <v>0.1881686278302474</v>
      </c>
      <c r="R31" s="34">
        <f>IF(P31=0,"",(M31-P31)/ABS(P31))</f>
        <v>8.4106525694444545E-2</v>
      </c>
      <c r="S31" s="67"/>
      <c r="T31" s="54"/>
      <c r="U31" s="58"/>
      <c r="V31" s="58"/>
      <c r="W31" s="54"/>
      <c r="X31" s="58"/>
      <c r="Y31" s="58"/>
      <c r="Z31" s="58"/>
      <c r="AA31" s="58"/>
      <c r="AB31" s="73"/>
      <c r="AC31" s="54"/>
      <c r="AD31" s="54"/>
      <c r="AE31" s="54"/>
    </row>
    <row r="32" spans="1:35" x14ac:dyDescent="0.2">
      <c r="B32" s="3" t="s">
        <v>53</v>
      </c>
      <c r="C32" s="32">
        <f>SUM(C30:C31)</f>
        <v>265159</v>
      </c>
      <c r="D32" s="34">
        <f t="shared" si="11"/>
        <v>0.26646253471984949</v>
      </c>
      <c r="E32" s="32">
        <f>SUM(E30:E31)</f>
        <v>245970.96272000001</v>
      </c>
      <c r="F32" s="34">
        <f>+E32/$E$20</f>
        <v>0.24113799733105587</v>
      </c>
      <c r="G32" s="34">
        <f>IF(C32=0,"",(E32-C32)/ABS(C32)+1)</f>
        <v>0.92763573071251593</v>
      </c>
      <c r="H32" s="32">
        <f>SUM(H30:H31)</f>
        <v>254127.07786000002</v>
      </c>
      <c r="I32" s="34">
        <f t="shared" si="12"/>
        <v>0.25441831961864336</v>
      </c>
      <c r="J32" s="34">
        <f>IF(H32=0,"",(E32-H32)/ABS(H32))</f>
        <v>-3.2094632373230438E-2</v>
      </c>
      <c r="K32" s="32">
        <f>SUM(K30:K31)</f>
        <v>1561009</v>
      </c>
      <c r="L32" s="34">
        <f t="shared" si="5"/>
        <v>0.25126978235107966</v>
      </c>
      <c r="M32" s="32">
        <f>SUM(M30:M31)</f>
        <v>1485968.41873</v>
      </c>
      <c r="N32" s="34">
        <f>+M32/$M$20</f>
        <v>0.24834691824513072</v>
      </c>
      <c r="O32" s="34">
        <f>IF(K32=0,"",(M32-K32)/ABS(K32)+1)</f>
        <v>0.95192815591069624</v>
      </c>
      <c r="P32" s="32">
        <f>SUM(P30:P31)</f>
        <v>1379656.8162799999</v>
      </c>
      <c r="Q32" s="34">
        <f t="shared" si="8"/>
        <v>0.24367945111865807</v>
      </c>
      <c r="R32" s="34">
        <f>IF(P32=0,"",(M32-P32)/ABS(P32))</f>
        <v>7.7056555801065449E-2</v>
      </c>
      <c r="S32" s="67"/>
      <c r="T32" s="54" t="s">
        <v>81</v>
      </c>
      <c r="U32" s="73"/>
      <c r="V32" s="73"/>
      <c r="W32" s="73" t="s">
        <v>82</v>
      </c>
      <c r="X32" s="73"/>
      <c r="Y32" s="73"/>
      <c r="Z32" s="73"/>
      <c r="AA32" s="73"/>
      <c r="AB32" s="73" t="s">
        <v>82</v>
      </c>
      <c r="AC32" s="54"/>
    </row>
    <row r="33" spans="1:29" x14ac:dyDescent="0.2">
      <c r="B33" s="3"/>
      <c r="C33" s="32"/>
      <c r="D33" s="34"/>
      <c r="E33" s="32"/>
      <c r="F33" s="34"/>
      <c r="G33" s="34"/>
      <c r="H33" s="32"/>
      <c r="I33" s="34"/>
      <c r="J33" s="34"/>
      <c r="K33" s="32"/>
      <c r="L33" s="34"/>
      <c r="M33" s="32"/>
      <c r="N33" s="34"/>
      <c r="O33" s="34"/>
      <c r="P33" s="32"/>
      <c r="Q33" s="34"/>
      <c r="R33" s="34"/>
      <c r="S33" s="67"/>
      <c r="T33" s="54"/>
      <c r="U33" s="73"/>
      <c r="V33" s="73"/>
      <c r="W33" s="73"/>
      <c r="X33" s="73"/>
      <c r="Y33" s="73"/>
      <c r="Z33" s="73"/>
      <c r="AA33" s="73"/>
      <c r="AB33" s="73"/>
      <c r="AC33" s="54"/>
    </row>
    <row r="34" spans="1:29" x14ac:dyDescent="0.2">
      <c r="B34" s="3" t="s">
        <v>54</v>
      </c>
      <c r="C34" s="32">
        <f>C28+C32</f>
        <v>816737</v>
      </c>
      <c r="D34" s="34">
        <f t="shared" si="11"/>
        <v>0.82075211936794801</v>
      </c>
      <c r="E34" s="32">
        <f>E28+E32</f>
        <v>789830.27863999992</v>
      </c>
      <c r="F34" s="34">
        <f>+E34/$E$20</f>
        <v>0.77431128258617488</v>
      </c>
      <c r="G34" s="34">
        <f>IF(C34=0,"",(E34-C34)/ABS(C34)+1)</f>
        <v>0.9670558314855332</v>
      </c>
      <c r="H34" s="32">
        <f>H28+H32</f>
        <v>766677.88835999998</v>
      </c>
      <c r="I34" s="34">
        <f t="shared" si="12"/>
        <v>0.76755653780735222</v>
      </c>
      <c r="J34" s="34">
        <f>IF(H34=0,"",(E34-H34)/ABS(H34))</f>
        <v>3.0198327917771561E-2</v>
      </c>
      <c r="K34" s="32">
        <f>K28+K32</f>
        <v>4976041</v>
      </c>
      <c r="L34" s="34">
        <f t="shared" si="5"/>
        <v>0.80097471509776608</v>
      </c>
      <c r="M34" s="32">
        <f>M28+M32</f>
        <v>4870830.3751599994</v>
      </c>
      <c r="N34" s="34">
        <f>+M34/$M$20</f>
        <v>0.8140521007839493</v>
      </c>
      <c r="O34" s="34">
        <f>IF(K34=0,"",(M34-K34)/ABS(K34)+1)</f>
        <v>0.97885655989570808</v>
      </c>
      <c r="P34" s="32">
        <f>P28+P32</f>
        <v>4377286.37316</v>
      </c>
      <c r="Q34" s="34">
        <f t="shared" si="8"/>
        <v>0.77313048304059828</v>
      </c>
      <c r="R34" s="34">
        <f>IF(P34=0,"",(M34-P34)/ABS(P34))</f>
        <v>0.11275113390484109</v>
      </c>
      <c r="S34" s="67"/>
      <c r="T34" s="53"/>
      <c r="U34" s="55"/>
      <c r="V34" s="55"/>
      <c r="W34" s="55"/>
      <c r="X34" s="73"/>
      <c r="Y34" s="73"/>
      <c r="Z34" s="73"/>
      <c r="AA34" s="73"/>
    </row>
    <row r="35" spans="1:29" x14ac:dyDescent="0.2">
      <c r="B35" s="3"/>
      <c r="C35" s="32"/>
      <c r="D35" s="34"/>
      <c r="E35" s="32"/>
      <c r="F35" s="34"/>
      <c r="G35" s="34"/>
      <c r="H35" s="32"/>
      <c r="I35" s="34"/>
      <c r="J35" s="34"/>
      <c r="K35" s="32"/>
      <c r="L35" s="34"/>
      <c r="M35" s="32"/>
      <c r="N35" s="34"/>
      <c r="O35" s="34"/>
      <c r="P35" s="32"/>
      <c r="Q35" s="34"/>
      <c r="R35" s="34"/>
      <c r="S35" s="67"/>
      <c r="T35" s="53"/>
      <c r="U35" s="55"/>
      <c r="V35" s="55"/>
      <c r="W35" s="55"/>
      <c r="X35" s="73"/>
      <c r="Y35" s="73"/>
      <c r="Z35" s="73"/>
      <c r="AA35" s="73"/>
    </row>
    <row r="36" spans="1:29" x14ac:dyDescent="0.2">
      <c r="B36" s="20" t="s">
        <v>55</v>
      </c>
      <c r="C36" s="69">
        <f>C24-C34</f>
        <v>81233</v>
      </c>
      <c r="D36" s="45">
        <f t="shared" si="11"/>
        <v>8.1632345433862455E-2</v>
      </c>
      <c r="E36" s="69">
        <f>E24-E34</f>
        <v>88562.884499999927</v>
      </c>
      <c r="F36" s="45">
        <f>+E36/$E$20</f>
        <v>8.6822754889575984E-2</v>
      </c>
      <c r="G36" s="45">
        <f>IF(C36=0,"",(E36-C36)/ABS(C36)+1)</f>
        <v>1.0902328425639818</v>
      </c>
      <c r="H36" s="69">
        <f>H24-H34</f>
        <v>106467.00696999987</v>
      </c>
      <c r="I36" s="45">
        <f t="shared" si="12"/>
        <v>0.10658902324079066</v>
      </c>
      <c r="J36" s="45">
        <f>IF(H36=0,"",(E36-H36)/ABS(H36))</f>
        <v>-0.16816592275431338</v>
      </c>
      <c r="K36" s="69">
        <f>K24-K34</f>
        <v>631517</v>
      </c>
      <c r="L36" s="45">
        <f t="shared" si="5"/>
        <v>0.10165293034249435</v>
      </c>
      <c r="M36" s="69">
        <f>+M24-M34</f>
        <v>394441.47164000105</v>
      </c>
      <c r="N36" s="45">
        <f>+M36/$M$20</f>
        <v>6.5922211182381382E-2</v>
      </c>
      <c r="O36" s="45">
        <f>IF(K36=0,"",(M36-K36)/ABS(K36)+1)</f>
        <v>0.62459359231818157</v>
      </c>
      <c r="P36" s="69">
        <f>P24-P34</f>
        <v>794559.01453999989</v>
      </c>
      <c r="Q36" s="45">
        <f t="shared" si="8"/>
        <v>0.14033758414396477</v>
      </c>
      <c r="R36" s="45">
        <f>IF(P36=0,"",(M36-P36)/ABS(P36))</f>
        <v>-0.50357183743191425</v>
      </c>
      <c r="S36" s="67"/>
      <c r="T36" s="53"/>
      <c r="W36" s="55"/>
      <c r="X36" s="73"/>
      <c r="Y36" s="73"/>
      <c r="Z36" s="73"/>
      <c r="AA36" s="73"/>
    </row>
    <row r="37" spans="1:29" x14ac:dyDescent="0.2">
      <c r="B37" s="3"/>
      <c r="C37" s="32"/>
      <c r="D37" s="34"/>
      <c r="E37" s="32"/>
      <c r="F37" s="34"/>
      <c r="G37" s="34"/>
      <c r="H37" s="32"/>
      <c r="I37" s="34"/>
      <c r="J37" s="34"/>
      <c r="K37" s="32"/>
      <c r="L37" s="34"/>
      <c r="M37" s="32"/>
      <c r="N37" s="34"/>
      <c r="O37" s="34"/>
      <c r="P37" s="32"/>
      <c r="Q37" s="34"/>
      <c r="R37" s="34"/>
      <c r="S37" s="67"/>
      <c r="W37" s="55"/>
      <c r="X37" s="73"/>
      <c r="Y37" s="73"/>
      <c r="Z37" s="73"/>
      <c r="AA37" s="73"/>
    </row>
    <row r="38" spans="1:29" x14ac:dyDescent="0.2">
      <c r="B38" s="3" t="s">
        <v>56</v>
      </c>
      <c r="C38" s="32">
        <v>321</v>
      </c>
      <c r="D38" s="34">
        <f t="shared" si="11"/>
        <v>3.2257805182955016E-4</v>
      </c>
      <c r="E38" s="32">
        <v>1135.6504600000001</v>
      </c>
      <c r="F38" s="34">
        <f>+E38/$E$20</f>
        <v>1.1133366091843394E-3</v>
      </c>
      <c r="G38" s="34">
        <f>IF(C38=0,"",(E38-C38)/ABS(C38)+1)</f>
        <v>3.5378519003115265</v>
      </c>
      <c r="H38" s="32">
        <v>916.20844</v>
      </c>
      <c r="I38" s="34">
        <f t="shared" si="12"/>
        <v>9.172584585954071E-4</v>
      </c>
      <c r="J38" s="34">
        <f>IF(H38=0,"",(E38-H38)/ABS(H38))</f>
        <v>0.23951102218617423</v>
      </c>
      <c r="K38" s="32">
        <v>1926</v>
      </c>
      <c r="L38" s="34">
        <f t="shared" si="5"/>
        <v>3.1002101897438094E-4</v>
      </c>
      <c r="M38" s="32">
        <v>3730.31943</v>
      </c>
      <c r="N38" s="34">
        <f>+M38/$M$20</f>
        <v>6.234407964754745E-4</v>
      </c>
      <c r="O38" s="34">
        <f>IF(K38=0,"",(M38-K38)/ABS(K38)+1)</f>
        <v>1.9368221339563862</v>
      </c>
      <c r="P38" s="32">
        <v>4398.0709400000005</v>
      </c>
      <c r="Q38" s="34">
        <f t="shared" si="8"/>
        <v>7.7680152048958267E-4</v>
      </c>
      <c r="R38" s="34">
        <f>IF(P38=0,"",(M38-P38)/ABS(P38))</f>
        <v>-0.15182827178317421</v>
      </c>
      <c r="S38" s="67"/>
      <c r="T38" s="53"/>
      <c r="X38" s="73"/>
      <c r="Y38" s="73"/>
      <c r="Z38" s="73"/>
      <c r="AA38" s="73"/>
    </row>
    <row r="39" spans="1:29" x14ac:dyDescent="0.2">
      <c r="B39" s="3" t="s">
        <v>57</v>
      </c>
      <c r="C39" s="32">
        <v>34478</v>
      </c>
      <c r="D39" s="34">
        <f t="shared" si="11"/>
        <v>3.4647495548221899E-2</v>
      </c>
      <c r="E39" s="32">
        <v>26384.17109</v>
      </c>
      <c r="F39" s="34">
        <f>+E39/$E$20</f>
        <v>2.5865761175740708E-2</v>
      </c>
      <c r="G39" s="34">
        <f>IF(C39=0,"",(E39-C39)/ABS(C39)+1)</f>
        <v>0.76524656563605775</v>
      </c>
      <c r="H39" s="32">
        <v>33744.270520000005</v>
      </c>
      <c r="I39" s="34">
        <f t="shared" si="12"/>
        <v>3.3782943064355142E-2</v>
      </c>
      <c r="J39" s="34">
        <f>IF(H39=0,"",(E39-H39)/ABS(H39))</f>
        <v>-0.2181140477058979</v>
      </c>
      <c r="K39" s="32">
        <v>191158</v>
      </c>
      <c r="L39" s="34">
        <f t="shared" si="5"/>
        <v>3.0769988548860181E-2</v>
      </c>
      <c r="M39" s="32">
        <v>180836.96293000001</v>
      </c>
      <c r="N39" s="34">
        <f>+M39/$M$20</f>
        <v>3.0222918523973446E-2</v>
      </c>
      <c r="O39" s="34">
        <f>IF(K39=0,"",(M39-K39)/ABS(K39)+1)</f>
        <v>0.94600782038941611</v>
      </c>
      <c r="P39" s="32">
        <v>163543.76475</v>
      </c>
      <c r="Q39" s="34">
        <f t="shared" si="8"/>
        <v>2.8885628917206731E-2</v>
      </c>
      <c r="R39" s="34">
        <f>IF(P39=0,"",(M39-P39)/ABS(P39))</f>
        <v>0.10574049219446018</v>
      </c>
      <c r="S39" s="67"/>
      <c r="T39" s="53"/>
      <c r="X39" s="73"/>
      <c r="Y39" s="73"/>
      <c r="Z39" s="73"/>
      <c r="AA39" s="73"/>
    </row>
    <row r="40" spans="1:29" x14ac:dyDescent="0.2">
      <c r="B40" s="3"/>
      <c r="C40" s="32"/>
      <c r="D40" s="34"/>
      <c r="E40" s="32"/>
      <c r="F40" s="34"/>
      <c r="G40" s="34"/>
      <c r="H40" s="32"/>
      <c r="I40" s="34"/>
      <c r="J40" s="34"/>
      <c r="K40" s="32"/>
      <c r="L40" s="34"/>
      <c r="M40" s="32"/>
      <c r="N40" s="34"/>
      <c r="O40" s="34"/>
      <c r="P40" s="32"/>
      <c r="Q40" s="34"/>
      <c r="R40" s="34"/>
      <c r="S40" s="67"/>
      <c r="T40" s="53"/>
      <c r="X40" s="73"/>
      <c r="Y40" s="73"/>
      <c r="Z40" s="73"/>
      <c r="AA40" s="73"/>
    </row>
    <row r="41" spans="1:29" x14ac:dyDescent="0.2">
      <c r="B41" s="3" t="s">
        <v>58</v>
      </c>
      <c r="C41" s="32">
        <f>C36+C38-C39</f>
        <v>47076</v>
      </c>
      <c r="D41" s="34">
        <f t="shared" si="11"/>
        <v>4.7307427937470101E-2</v>
      </c>
      <c r="E41" s="32">
        <f>E36+E38-E39</f>
        <v>63314.363869999928</v>
      </c>
      <c r="F41" s="34">
        <f>+E41/$E$20</f>
        <v>6.2070330323019611E-2</v>
      </c>
      <c r="G41" s="34">
        <f>IF(C41=0,"",(E41-C41)/ABS(C41)+1)</f>
        <v>1.344939329382274</v>
      </c>
      <c r="H41" s="32">
        <f>H36+H38-H39</f>
        <v>73638.944889999868</v>
      </c>
      <c r="I41" s="34">
        <f t="shared" si="12"/>
        <v>7.3723338635030916E-2</v>
      </c>
      <c r="J41" s="34">
        <f>IF(H41=0,"",(E41-H41)/ABS(H41))</f>
        <v>-0.14020544476054833</v>
      </c>
      <c r="K41" s="32">
        <f>K36+K38-K39</f>
        <v>442285</v>
      </c>
      <c r="L41" s="34">
        <f t="shared" si="5"/>
        <v>7.1192962812608548E-2</v>
      </c>
      <c r="M41" s="32">
        <f>M36+M38-M39</f>
        <v>217334.82814000102</v>
      </c>
      <c r="N41" s="34">
        <f>+M41/$M$20</f>
        <v>3.6322733454883412E-2</v>
      </c>
      <c r="O41" s="34">
        <f>IF(K41=0,"",(M41-K41)/ABS(K41)+1)</f>
        <v>0.49139090889358905</v>
      </c>
      <c r="P41" s="32">
        <f>P36+P38-P39</f>
        <v>635413.32072999992</v>
      </c>
      <c r="Q41" s="34">
        <f t="shared" si="8"/>
        <v>0.11222875674724762</v>
      </c>
      <c r="R41" s="34">
        <f>IF(P41=0,"",(M41-P41)/ABS(P41))</f>
        <v>-0.65796305955576428</v>
      </c>
      <c r="S41" s="67"/>
      <c r="T41" s="53"/>
      <c r="X41" s="73"/>
      <c r="Y41" s="73"/>
      <c r="Z41" s="73"/>
      <c r="AA41" s="73"/>
    </row>
    <row r="42" spans="1:29" x14ac:dyDescent="0.2">
      <c r="B42" s="3" t="s">
        <v>44</v>
      </c>
      <c r="C42" s="32">
        <v>20186</v>
      </c>
      <c r="D42" s="34">
        <f t="shared" si="11"/>
        <v>2.0285235371437071E-2</v>
      </c>
      <c r="E42" s="32">
        <v>20768.593000000001</v>
      </c>
      <c r="F42" s="34">
        <f>+E42/$E$20</f>
        <v>2.0360520884348171E-2</v>
      </c>
      <c r="G42" s="34">
        <f>IF(C42=0,"",(E42-C42)/ABS(C42)+1)</f>
        <v>1.0288612404636877</v>
      </c>
      <c r="H42" s="32">
        <v>27947.322</v>
      </c>
      <c r="I42" s="34">
        <f t="shared" si="12"/>
        <v>2.7979350964710072E-2</v>
      </c>
      <c r="J42" s="34">
        <f>IF(H42=0,"",(E42-H42)/ABS(H42))</f>
        <v>-0.25686643607569981</v>
      </c>
      <c r="K42" s="32">
        <v>180550</v>
      </c>
      <c r="L42" s="34">
        <f t="shared" si="5"/>
        <v>2.906245845058384E-2</v>
      </c>
      <c r="M42" s="32">
        <v>120944.734</v>
      </c>
      <c r="N42" s="34">
        <f>+M42/$M$20</f>
        <v>2.0213250556527916E-2</v>
      </c>
      <c r="O42" s="34">
        <f>IF(K42=0,"",(M42-K42)/ABS(K42)+1)</f>
        <v>0.66986836887288836</v>
      </c>
      <c r="P42" s="32">
        <v>223401.37100000001</v>
      </c>
      <c r="Q42" s="34">
        <f t="shared" si="8"/>
        <v>3.9457873017450087E-2</v>
      </c>
      <c r="R42" s="34">
        <f>IF(P42=0,"",(M42-P42)/ABS(P42))</f>
        <v>-0.45862134391288051</v>
      </c>
      <c r="S42" s="67"/>
      <c r="X42" s="73"/>
      <c r="Y42" s="73"/>
      <c r="Z42" s="73"/>
      <c r="AA42" s="73"/>
    </row>
    <row r="43" spans="1:29" x14ac:dyDescent="0.2">
      <c r="B43" s="20" t="s">
        <v>59</v>
      </c>
      <c r="C43" s="69">
        <f>+C41-C42</f>
        <v>26890</v>
      </c>
      <c r="D43" s="45">
        <f t="shared" si="11"/>
        <v>2.7022192566033033E-2</v>
      </c>
      <c r="E43" s="69">
        <f>E41-E42</f>
        <v>42545.770869999928</v>
      </c>
      <c r="F43" s="45">
        <f>+E43/$E$20</f>
        <v>4.170980943867144E-2</v>
      </c>
      <c r="G43" s="45">
        <f>IF(C43=0,"",(E43-C43)/ABS(C43)+1)</f>
        <v>1.5822153540349544</v>
      </c>
      <c r="H43" s="69">
        <f>+H41-H42</f>
        <v>45691.622889999868</v>
      </c>
      <c r="I43" s="45">
        <f t="shared" si="12"/>
        <v>4.5743987670320847E-2</v>
      </c>
      <c r="J43" s="45">
        <f>IF(H43=0,"",(E43-H43)/ABS(H43))</f>
        <v>-6.8849645099571324E-2</v>
      </c>
      <c r="K43" s="69">
        <f>+K41-K42</f>
        <v>261735</v>
      </c>
      <c r="L43" s="45">
        <f t="shared" si="5"/>
        <v>4.2130504362024708E-2</v>
      </c>
      <c r="M43" s="69">
        <f>+M41-M42</f>
        <v>96390.09414000102</v>
      </c>
      <c r="N43" s="45">
        <f>+M43/$M$20</f>
        <v>1.6109482898355492E-2</v>
      </c>
      <c r="O43" s="45">
        <f>IF(K43=0,"",(M43-K43)/ABS(K43)+1)</f>
        <v>0.36827361315835105</v>
      </c>
      <c r="P43" s="69">
        <f>P41-P42</f>
        <v>412011.94972999988</v>
      </c>
      <c r="Q43" s="45">
        <f t="shared" si="8"/>
        <v>7.2770883729797536E-2</v>
      </c>
      <c r="R43" s="45">
        <f>IF(P43=0,"",(M43-P43)/ABS(P43))</f>
        <v>-0.76605024635045793</v>
      </c>
      <c r="S43" s="67"/>
      <c r="T43" s="74"/>
      <c r="W43" s="55"/>
      <c r="X43" s="73"/>
      <c r="Y43" s="73"/>
      <c r="Z43" s="73"/>
      <c r="AA43" s="73"/>
    </row>
    <row r="44" spans="1:29" x14ac:dyDescent="0.2">
      <c r="B44" s="3"/>
      <c r="C44" s="32"/>
      <c r="D44" s="34"/>
      <c r="E44" s="32"/>
      <c r="F44" s="34"/>
      <c r="G44" s="34"/>
      <c r="H44" s="32"/>
      <c r="I44" s="34"/>
      <c r="J44" s="34"/>
      <c r="K44" s="32"/>
      <c r="L44" s="34"/>
      <c r="M44" s="32"/>
      <c r="N44" s="34"/>
      <c r="O44" s="34"/>
      <c r="P44" s="32"/>
      <c r="Q44" s="34"/>
      <c r="R44" s="34"/>
      <c r="S44" s="67"/>
      <c r="W44" s="55"/>
      <c r="X44" s="73"/>
      <c r="Y44" s="73"/>
      <c r="Z44" s="73"/>
      <c r="AA44" s="73"/>
    </row>
    <row r="45" spans="1:29" x14ac:dyDescent="0.2">
      <c r="A45" s="38" t="s">
        <v>83</v>
      </c>
      <c r="B45" s="3" t="s">
        <v>84</v>
      </c>
      <c r="C45" s="32">
        <v>130081</v>
      </c>
      <c r="D45" s="34">
        <f t="shared" si="11"/>
        <v>0.13072048461071561</v>
      </c>
      <c r="E45" s="32">
        <v>135870.17770999993</v>
      </c>
      <c r="F45" s="34">
        <f>+E45/$E$20</f>
        <v>0.1332005298011546</v>
      </c>
      <c r="G45" s="34">
        <f>IF(C45=0,"",(E45-C45)/ABS(C45)+1)</f>
        <v>1.0445044065620646</v>
      </c>
      <c r="H45" s="32">
        <v>90763.269769999868</v>
      </c>
      <c r="I45" s="34">
        <f t="shared" si="12"/>
        <v>9.0867288808547969E-2</v>
      </c>
      <c r="J45" s="34">
        <f>IF(H45=0,"",(E45-H45)/ABS(H45))</f>
        <v>0.49697314843663026</v>
      </c>
      <c r="K45" s="32">
        <v>931055</v>
      </c>
      <c r="L45" s="34">
        <f t="shared" si="5"/>
        <v>0.14986844227476231</v>
      </c>
      <c r="M45" s="32">
        <v>680386.18116000108</v>
      </c>
      <c r="N45" s="34">
        <f>+M45/$M$20</f>
        <v>0.11371157635508378</v>
      </c>
      <c r="O45" s="34">
        <f>IF(K45=0,"",(M45-K45)/ABS(K45)+1)</f>
        <v>0.73076905355752464</v>
      </c>
      <c r="P45" s="32">
        <v>1066172.9124399999</v>
      </c>
      <c r="Q45" s="34">
        <f t="shared" si="8"/>
        <v>0.18831090966627256</v>
      </c>
      <c r="R45" s="34">
        <f>IF(P45=0,"",(M45-P45)/ABS(P45))</f>
        <v>-0.36184255553548345</v>
      </c>
      <c r="S45" s="67"/>
      <c r="X45" s="73"/>
      <c r="Y45" s="73"/>
      <c r="Z45" s="73"/>
      <c r="AA45" s="73"/>
    </row>
    <row r="46" spans="1:29" x14ac:dyDescent="0.2">
      <c r="A46" s="75"/>
      <c r="B46" s="3" t="s">
        <v>35</v>
      </c>
      <c r="C46" s="32">
        <v>429067</v>
      </c>
      <c r="D46" s="34">
        <f t="shared" si="11"/>
        <v>0.43117631453068411</v>
      </c>
      <c r="E46" s="32">
        <v>414524.92200000002</v>
      </c>
      <c r="F46" s="34">
        <f>+E46/$E$20</f>
        <v>0.40638012076522451</v>
      </c>
      <c r="G46" s="34">
        <f>IF(C46=0,"",(E46-C46)/ABS(C46)+1)</f>
        <v>0.96610767549124033</v>
      </c>
      <c r="H46" s="32">
        <v>391015.929</v>
      </c>
      <c r="I46" s="34">
        <f t="shared" si="12"/>
        <v>0.39146405191463979</v>
      </c>
      <c r="J46" s="34">
        <f>IF(H46=0,"",(E46-H46)/ABS(H46))</f>
        <v>6.012285243755381E-2</v>
      </c>
      <c r="K46" s="32">
        <v>2592582</v>
      </c>
      <c r="L46" s="34">
        <f t="shared" si="5"/>
        <v>0.41731823126409057</v>
      </c>
      <c r="M46" s="32">
        <v>2602959.34</v>
      </c>
      <c r="N46" s="34">
        <f>+M46/$M$20</f>
        <v>0.43502736818516247</v>
      </c>
      <c r="O46" s="34">
        <f>IF(K46=0,"",(M46-K46)/ABS(K46)+1)</f>
        <v>1.0040027046396218</v>
      </c>
      <c r="P46" s="32">
        <v>2241971.1198</v>
      </c>
      <c r="Q46" s="34">
        <f t="shared" si="8"/>
        <v>0.39598419364158144</v>
      </c>
      <c r="R46" s="34">
        <f>IF(P46=0,"",(M46-P46)/ABS(P46))</f>
        <v>0.16101376909449333</v>
      </c>
      <c r="S46" s="67"/>
      <c r="X46" s="73"/>
      <c r="Y46" s="73"/>
      <c r="Z46" s="73"/>
      <c r="AA46" s="73"/>
    </row>
    <row r="47" spans="1:29" x14ac:dyDescent="0.2">
      <c r="B47" s="3" t="s">
        <v>81</v>
      </c>
      <c r="C47" s="32"/>
      <c r="J47" s="32"/>
      <c r="K47" s="32"/>
      <c r="L47" s="32"/>
      <c r="M47" s="32"/>
      <c r="N47" s="32"/>
      <c r="O47" s="32"/>
      <c r="P47" s="32"/>
      <c r="Q47" s="32"/>
      <c r="S47" s="67"/>
      <c r="X47" s="73"/>
      <c r="Y47" s="73"/>
      <c r="Z47" s="73"/>
      <c r="AA47" s="73"/>
    </row>
    <row r="48" spans="1:29" x14ac:dyDescent="0.2"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S48" s="67"/>
      <c r="X48" s="73"/>
      <c r="Y48" s="73"/>
      <c r="Z48" s="73"/>
      <c r="AA48" s="73"/>
    </row>
    <row r="49" spans="1:27" x14ac:dyDescent="0.2"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X49" s="73"/>
      <c r="Y49" s="73"/>
      <c r="Z49" s="73"/>
      <c r="AA49" s="73"/>
    </row>
    <row r="50" spans="1:27" x14ac:dyDescent="0.2"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76"/>
    </row>
    <row r="51" spans="1:27" x14ac:dyDescent="0.2"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</row>
    <row r="52" spans="1:27" x14ac:dyDescent="0.2"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</row>
    <row r="53" spans="1:27" x14ac:dyDescent="0.2"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</row>
    <row r="54" spans="1:27" x14ac:dyDescent="0.2">
      <c r="J54" s="32"/>
      <c r="K54" s="32"/>
      <c r="L54" s="32"/>
      <c r="M54" s="32"/>
      <c r="N54" s="32"/>
      <c r="O54" s="32"/>
      <c r="P54" s="32"/>
      <c r="Q54" s="32"/>
      <c r="R54" s="32"/>
      <c r="S54" s="32"/>
    </row>
    <row r="55" spans="1:27" x14ac:dyDescent="0.2">
      <c r="A55" s="31" t="s">
        <v>85</v>
      </c>
    </row>
    <row r="56" spans="1:27" x14ac:dyDescent="0.2">
      <c r="C56" s="53"/>
    </row>
  </sheetData>
  <conditionalFormatting sqref="D9:D46 AC10:AC11 G10:G46 J10:J46 AC13:AC17 AC19:AC28 AC30">
    <cfRule type="cellIs" dxfId="9" priority="2" operator="lessThan">
      <formula>0</formula>
    </cfRule>
  </conditionalFormatting>
  <conditionalFormatting sqref="R10:R46">
    <cfRule type="cellIs" dxfId="8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4CDF9E-6A83-459C-B4AC-56140C2B6CE0}">
  <sheetPr>
    <tabColor theme="2" tint="-0.249977111117893"/>
  </sheetPr>
  <dimension ref="A1:V48"/>
  <sheetViews>
    <sheetView showGridLines="0" zoomScale="93" zoomScaleNormal="93" workbookViewId="0">
      <selection activeCell="M10" sqref="M10"/>
    </sheetView>
  </sheetViews>
  <sheetFormatPr baseColWidth="10" defaultRowHeight="12.75" x14ac:dyDescent="0.2"/>
  <cols>
    <col min="1" max="1" width="4.140625" style="78" customWidth="1"/>
    <col min="2" max="2" width="33" style="2" customWidth="1"/>
    <col min="3" max="6" width="10" style="2" customWidth="1"/>
    <col min="7" max="7" width="8.140625" style="2" bestFit="1" customWidth="1"/>
    <col min="8" max="8" width="10" style="2" customWidth="1"/>
    <col min="9" max="9" width="7.85546875" style="2" hidden="1" customWidth="1"/>
    <col min="10" max="10" width="7.5703125" style="2" bestFit="1" customWidth="1"/>
    <col min="11" max="11" width="10.42578125" style="2" bestFit="1" customWidth="1"/>
    <col min="12" max="12" width="6.5703125" style="2" customWidth="1"/>
    <col min="13" max="13" width="9.85546875" style="2" bestFit="1" customWidth="1"/>
    <col min="14" max="14" width="7.85546875" style="2" bestFit="1" customWidth="1"/>
    <col min="15" max="15" width="8.140625" style="2" bestFit="1" customWidth="1"/>
    <col min="16" max="16" width="8.140625" style="2" customWidth="1"/>
    <col min="17" max="19" width="10.42578125" style="2" customWidth="1"/>
    <col min="20" max="20" width="11.42578125" style="2" customWidth="1"/>
    <col min="21" max="21" width="11.7109375" style="2" customWidth="1"/>
    <col min="22" max="16384" width="11.42578125" style="2"/>
  </cols>
  <sheetData>
    <row r="1" spans="1:22" s="51" customFormat="1" ht="18.75" customHeight="1" x14ac:dyDescent="0.2">
      <c r="A1" s="77"/>
      <c r="B1" s="50"/>
      <c r="S1" s="2"/>
      <c r="T1" s="2"/>
      <c r="U1" s="2"/>
      <c r="V1" s="2"/>
    </row>
    <row r="2" spans="1:22" ht="15.75" customHeight="1" x14ac:dyDescent="0.2"/>
    <row r="3" spans="1:22" ht="18" x14ac:dyDescent="0.25">
      <c r="B3" s="16" t="s">
        <v>86</v>
      </c>
      <c r="T3" s="18"/>
    </row>
    <row r="4" spans="1:22" x14ac:dyDescent="0.2">
      <c r="B4" s="3" t="s">
        <v>87</v>
      </c>
    </row>
    <row r="5" spans="1:22" x14ac:dyDescent="0.2">
      <c r="A5" s="78" t="str">
        <f>+Paramet!A3</f>
        <v>202301</v>
      </c>
      <c r="B5" s="3" t="s">
        <v>22</v>
      </c>
    </row>
    <row r="6" spans="1:22" ht="13.5" thickBot="1" x14ac:dyDescent="0.25">
      <c r="A6" s="78" t="str">
        <f>+Paramet!A4</f>
        <v>202306</v>
      </c>
      <c r="B6" s="79" t="str">
        <f>+'COLOMB$ '!B6</f>
        <v>JUNIO de 2024</v>
      </c>
      <c r="K6" s="21" t="s">
        <v>23</v>
      </c>
      <c r="L6" s="21"/>
      <c r="M6" s="21"/>
      <c r="N6" s="21"/>
      <c r="O6" s="21"/>
      <c r="P6" s="21"/>
      <c r="Q6" s="21"/>
      <c r="R6" s="21"/>
    </row>
    <row r="7" spans="1:22" x14ac:dyDescent="0.2">
      <c r="A7" s="78" t="str">
        <f>+Paramet!B3</f>
        <v>202401</v>
      </c>
      <c r="B7" s="3"/>
      <c r="C7" s="54" t="str">
        <f>+'COLOMB$ '!D7:D7</f>
        <v>Ppto 2024</v>
      </c>
      <c r="D7" s="54"/>
      <c r="E7" s="54" t="str">
        <f>+'COLOMB$ '!F7:F7</f>
        <v>Real 2024</v>
      </c>
      <c r="F7" s="54"/>
      <c r="G7" s="51" t="s">
        <v>24</v>
      </c>
      <c r="H7" s="54" t="str">
        <f>+'COLOMB$ '!I7:I7</f>
        <v>Real 2023</v>
      </c>
      <c r="I7" s="54"/>
      <c r="J7" s="51" t="s">
        <v>25</v>
      </c>
      <c r="K7" s="54" t="str">
        <f>+C7</f>
        <v>Ppto 2024</v>
      </c>
      <c r="L7" s="54"/>
      <c r="M7" s="54" t="str">
        <f>+E7</f>
        <v>Real 2024</v>
      </c>
      <c r="N7" s="54"/>
      <c r="O7" s="51" t="s">
        <v>24</v>
      </c>
      <c r="P7" s="2" t="str">
        <f>+H7</f>
        <v>Real 2023</v>
      </c>
      <c r="R7" s="51" t="s">
        <v>25</v>
      </c>
    </row>
    <row r="8" spans="1:22" ht="13.5" thickBot="1" x14ac:dyDescent="0.25">
      <c r="A8" s="78" t="str">
        <f>+Paramet!B4</f>
        <v>202406</v>
      </c>
      <c r="B8" s="29" t="s">
        <v>27</v>
      </c>
      <c r="C8" s="30" t="s">
        <v>28</v>
      </c>
      <c r="D8" s="30" t="s">
        <v>29</v>
      </c>
      <c r="E8" s="30" t="s">
        <v>28</v>
      </c>
      <c r="F8" s="30" t="s">
        <v>29</v>
      </c>
      <c r="G8" s="30" t="s">
        <v>30</v>
      </c>
      <c r="H8" s="30" t="s">
        <v>28</v>
      </c>
      <c r="I8" s="30" t="s">
        <v>29</v>
      </c>
      <c r="J8" s="30" t="s">
        <v>30</v>
      </c>
      <c r="K8" s="30" t="s">
        <v>28</v>
      </c>
      <c r="L8" s="30" t="s">
        <v>29</v>
      </c>
      <c r="M8" s="30" t="s">
        <v>28</v>
      </c>
      <c r="N8" s="30" t="s">
        <v>29</v>
      </c>
      <c r="O8" s="30" t="s">
        <v>30</v>
      </c>
      <c r="P8" s="30" t="s">
        <v>28</v>
      </c>
      <c r="Q8" s="30" t="s">
        <v>29</v>
      </c>
      <c r="R8" s="30" t="s">
        <v>30</v>
      </c>
    </row>
    <row r="9" spans="1:22" ht="15.75" customHeight="1" x14ac:dyDescent="0.2">
      <c r="A9" s="80" t="s">
        <v>88</v>
      </c>
    </row>
    <row r="10" spans="1:22" x14ac:dyDescent="0.2">
      <c r="B10" s="3" t="str">
        <f>+'COLOMB$ '!B10</f>
        <v>Musical Experience  (Ambiental)</v>
      </c>
      <c r="C10" s="32">
        <v>0</v>
      </c>
      <c r="D10" s="68">
        <f t="shared" ref="D10:D18" si="0">+C10/$C$20</f>
        <v>0</v>
      </c>
      <c r="E10" s="32"/>
      <c r="F10" s="68">
        <f t="shared" ref="F10:F20" si="1">IF($E$20=0,0,E10/$E$20)</f>
        <v>0</v>
      </c>
      <c r="G10" s="68" t="str">
        <f t="shared" ref="G10:G17" si="2">IF(C10=0,"",(E10-C10)/ABS(C10)+1)</f>
        <v/>
      </c>
      <c r="H10" s="32"/>
      <c r="I10" s="68" t="e">
        <f t="shared" ref="I10:I16" si="3">+H10/$H$20</f>
        <v>#DIV/0!</v>
      </c>
      <c r="J10" s="68" t="str">
        <f t="shared" ref="J10:J46" si="4">IF(H10&lt;=0,"",(E10-H10)/ABS(H10))</f>
        <v/>
      </c>
      <c r="K10" s="32"/>
      <c r="L10" s="68">
        <f t="shared" ref="L10:L20" si="5">+K10/$K$20</f>
        <v>0</v>
      </c>
      <c r="M10" s="32">
        <v>34.454000000000001</v>
      </c>
      <c r="N10" s="68">
        <f t="shared" ref="N10:N20" si="6">IF($M$20=0,0,M10/$M$20)</f>
        <v>1.1521446965864025E-2</v>
      </c>
      <c r="O10" s="68" t="str">
        <f t="shared" ref="O10:O17" si="7">IF(K10=0,"",(M10-K10)/ABS(K10)+1)</f>
        <v/>
      </c>
      <c r="P10" s="32"/>
      <c r="Q10" s="68">
        <f t="shared" ref="Q10:Q17" si="8">+P10/$P$20</f>
        <v>0</v>
      </c>
      <c r="R10" s="34" t="str">
        <f t="shared" ref="R10:R45" si="9">IF(P10&lt;=0,"",(M10-P10)/ABS(P10))</f>
        <v/>
      </c>
    </row>
    <row r="11" spans="1:22" ht="15.75" customHeight="1" x14ac:dyDescent="0.2">
      <c r="B11" s="3" t="str">
        <f>+'COLOMB$ '!B11</f>
        <v>Instalaciones</v>
      </c>
      <c r="C11" s="32">
        <v>0</v>
      </c>
      <c r="D11" s="68">
        <f t="shared" si="0"/>
        <v>0</v>
      </c>
      <c r="E11" s="32"/>
      <c r="F11" s="68">
        <f t="shared" si="1"/>
        <v>0</v>
      </c>
      <c r="G11" s="68" t="str">
        <f t="shared" si="2"/>
        <v/>
      </c>
      <c r="H11" s="32"/>
      <c r="I11" s="68" t="e">
        <f t="shared" si="3"/>
        <v>#DIV/0!</v>
      </c>
      <c r="J11" s="68" t="str">
        <f t="shared" si="4"/>
        <v/>
      </c>
      <c r="K11" s="32"/>
      <c r="L11" s="68">
        <f t="shared" si="5"/>
        <v>0</v>
      </c>
      <c r="M11" s="32">
        <v>0</v>
      </c>
      <c r="N11" s="68">
        <f t="shared" si="6"/>
        <v>0</v>
      </c>
      <c r="O11" s="68" t="str">
        <f t="shared" si="7"/>
        <v/>
      </c>
      <c r="P11" s="32"/>
      <c r="Q11" s="68">
        <f t="shared" si="8"/>
        <v>0</v>
      </c>
      <c r="R11" s="34" t="str">
        <f t="shared" si="9"/>
        <v/>
      </c>
    </row>
    <row r="12" spans="1:22" ht="15" customHeight="1" x14ac:dyDescent="0.2">
      <c r="B12" s="3" t="str">
        <f>+'COLOMB$ '!B12</f>
        <v>Voice Experience (Publihold)</v>
      </c>
      <c r="C12" s="32">
        <v>0</v>
      </c>
      <c r="D12" s="68">
        <f t="shared" si="0"/>
        <v>0</v>
      </c>
      <c r="E12" s="32"/>
      <c r="F12" s="68">
        <f t="shared" si="1"/>
        <v>0</v>
      </c>
      <c r="G12" s="68" t="str">
        <f t="shared" si="2"/>
        <v/>
      </c>
      <c r="H12" s="32"/>
      <c r="I12" s="68" t="e">
        <f t="shared" si="3"/>
        <v>#DIV/0!</v>
      </c>
      <c r="J12" s="68" t="str">
        <f t="shared" si="4"/>
        <v/>
      </c>
      <c r="K12" s="32"/>
      <c r="L12" s="68">
        <f t="shared" si="5"/>
        <v>0</v>
      </c>
      <c r="M12" s="32">
        <v>0</v>
      </c>
      <c r="N12" s="68">
        <f t="shared" si="6"/>
        <v>0</v>
      </c>
      <c r="O12" s="68" t="str">
        <f t="shared" si="7"/>
        <v/>
      </c>
      <c r="P12" s="32">
        <f>+H12+T13</f>
        <v>0</v>
      </c>
      <c r="Q12" s="68">
        <f t="shared" si="8"/>
        <v>0</v>
      </c>
      <c r="R12" s="34" t="str">
        <f t="shared" si="9"/>
        <v/>
      </c>
    </row>
    <row r="13" spans="1:22" x14ac:dyDescent="0.2">
      <c r="B13" s="3" t="str">
        <f>+'COLOMB$ '!B13</f>
        <v>Service &amp; Equipment Experience</v>
      </c>
      <c r="C13" s="32">
        <v>375</v>
      </c>
      <c r="D13" s="68">
        <f t="shared" si="0"/>
        <v>0.10002667377967459</v>
      </c>
      <c r="E13" s="32">
        <v>0</v>
      </c>
      <c r="F13" s="68">
        <f t="shared" si="1"/>
        <v>0</v>
      </c>
      <c r="G13" s="68">
        <f t="shared" si="2"/>
        <v>0</v>
      </c>
      <c r="H13" s="32">
        <v>0</v>
      </c>
      <c r="I13" s="68" t="e">
        <f t="shared" si="3"/>
        <v>#DIV/0!</v>
      </c>
      <c r="J13" s="68" t="str">
        <f t="shared" si="4"/>
        <v/>
      </c>
      <c r="K13" s="32">
        <v>2344</v>
      </c>
      <c r="L13" s="68">
        <f t="shared" si="5"/>
        <v>0.10003841065255431</v>
      </c>
      <c r="M13" s="32">
        <v>2955.9690000000001</v>
      </c>
      <c r="N13" s="68">
        <f t="shared" si="6"/>
        <v>0.9884785530341359</v>
      </c>
      <c r="O13" s="68">
        <f t="shared" si="7"/>
        <v>1.2610789249146759</v>
      </c>
      <c r="P13" s="32">
        <v>1382.5540000000001</v>
      </c>
      <c r="Q13" s="68">
        <f t="shared" si="8"/>
        <v>1</v>
      </c>
      <c r="R13" s="34">
        <f t="shared" si="9"/>
        <v>1.1380495807035385</v>
      </c>
    </row>
    <row r="14" spans="1:22" x14ac:dyDescent="0.2">
      <c r="B14" s="3" t="str">
        <f>+'COLOMB$ '!B14</f>
        <v>POP Satelital</v>
      </c>
      <c r="C14" s="32">
        <v>0</v>
      </c>
      <c r="D14" s="68">
        <f t="shared" si="0"/>
        <v>0</v>
      </c>
      <c r="E14" s="32"/>
      <c r="F14" s="68">
        <f t="shared" si="1"/>
        <v>0</v>
      </c>
      <c r="G14" s="68" t="str">
        <f t="shared" si="2"/>
        <v/>
      </c>
      <c r="H14" s="32"/>
      <c r="I14" s="68" t="e">
        <f t="shared" si="3"/>
        <v>#DIV/0!</v>
      </c>
      <c r="J14" s="68" t="str">
        <f t="shared" si="4"/>
        <v/>
      </c>
      <c r="K14" s="32"/>
      <c r="L14" s="68">
        <f t="shared" si="5"/>
        <v>0</v>
      </c>
      <c r="M14" s="32">
        <v>0</v>
      </c>
      <c r="N14" s="68">
        <f t="shared" si="6"/>
        <v>0</v>
      </c>
      <c r="O14" s="68" t="str">
        <f t="shared" si="7"/>
        <v/>
      </c>
      <c r="P14" s="32">
        <f>+H14+T15</f>
        <v>0</v>
      </c>
      <c r="Q14" s="68">
        <f t="shared" si="8"/>
        <v>0</v>
      </c>
      <c r="R14" s="34" t="str">
        <f t="shared" si="9"/>
        <v/>
      </c>
    </row>
    <row r="15" spans="1:22" ht="15" customHeight="1" x14ac:dyDescent="0.2">
      <c r="B15" s="3" t="str">
        <f>+'COLOMB$ '!B15</f>
        <v>Voice Experience (Audicóm)</v>
      </c>
      <c r="C15" s="32">
        <v>0</v>
      </c>
      <c r="D15" s="68">
        <f t="shared" si="0"/>
        <v>0</v>
      </c>
      <c r="E15" s="32"/>
      <c r="F15" s="68">
        <f t="shared" si="1"/>
        <v>0</v>
      </c>
      <c r="G15" s="68" t="str">
        <f t="shared" si="2"/>
        <v/>
      </c>
      <c r="H15" s="32"/>
      <c r="I15" s="68" t="e">
        <f t="shared" si="3"/>
        <v>#DIV/0!</v>
      </c>
      <c r="J15" s="68" t="str">
        <f t="shared" si="4"/>
        <v/>
      </c>
      <c r="K15" s="32"/>
      <c r="L15" s="68">
        <f t="shared" si="5"/>
        <v>0</v>
      </c>
      <c r="M15" s="32">
        <v>0</v>
      </c>
      <c r="N15" s="68">
        <f t="shared" si="6"/>
        <v>0</v>
      </c>
      <c r="O15" s="68" t="str">
        <f t="shared" si="7"/>
        <v/>
      </c>
      <c r="P15" s="32"/>
      <c r="Q15" s="68">
        <f t="shared" si="8"/>
        <v>0</v>
      </c>
      <c r="R15" s="34" t="str">
        <f t="shared" si="9"/>
        <v/>
      </c>
    </row>
    <row r="16" spans="1:22" ht="15" customHeight="1" x14ac:dyDescent="0.2">
      <c r="B16" s="3" t="str">
        <f>+'COLOMB$ '!B16</f>
        <v>Fact. Servicio Satelital</v>
      </c>
      <c r="C16" s="32">
        <v>0</v>
      </c>
      <c r="D16" s="68">
        <f t="shared" si="0"/>
        <v>0</v>
      </c>
      <c r="E16" s="32"/>
      <c r="F16" s="68">
        <f t="shared" si="1"/>
        <v>0</v>
      </c>
      <c r="G16" s="68" t="str">
        <f t="shared" si="2"/>
        <v/>
      </c>
      <c r="H16" s="32"/>
      <c r="I16" s="68" t="e">
        <f t="shared" si="3"/>
        <v>#DIV/0!</v>
      </c>
      <c r="J16" s="68" t="str">
        <f t="shared" si="4"/>
        <v/>
      </c>
      <c r="K16" s="32"/>
      <c r="L16" s="68">
        <f t="shared" si="5"/>
        <v>0</v>
      </c>
      <c r="M16" s="32">
        <v>0</v>
      </c>
      <c r="N16" s="68">
        <f t="shared" si="6"/>
        <v>0</v>
      </c>
      <c r="O16" s="68" t="str">
        <f t="shared" si="7"/>
        <v/>
      </c>
      <c r="P16" s="32"/>
      <c r="Q16" s="68">
        <f t="shared" si="8"/>
        <v>0</v>
      </c>
      <c r="R16" s="34" t="str">
        <f t="shared" si="9"/>
        <v/>
      </c>
    </row>
    <row r="17" spans="2:21" ht="15" customHeight="1" x14ac:dyDescent="0.2">
      <c r="B17" s="3" t="str">
        <f>+'COLOMB$ '!B17</f>
        <v>Visual Experience</v>
      </c>
      <c r="C17" s="32">
        <v>0</v>
      </c>
      <c r="D17" s="68">
        <f t="shared" si="0"/>
        <v>0</v>
      </c>
      <c r="E17" s="32"/>
      <c r="F17" s="68">
        <f t="shared" si="1"/>
        <v>0</v>
      </c>
      <c r="G17" s="68" t="str">
        <f t="shared" si="2"/>
        <v/>
      </c>
      <c r="H17" s="32">
        <v>0</v>
      </c>
      <c r="I17" s="68"/>
      <c r="J17" s="68" t="str">
        <f t="shared" si="4"/>
        <v/>
      </c>
      <c r="K17" s="32"/>
      <c r="L17" s="68">
        <f t="shared" si="5"/>
        <v>0</v>
      </c>
      <c r="M17" s="32">
        <v>0</v>
      </c>
      <c r="N17" s="68">
        <f t="shared" si="6"/>
        <v>0</v>
      </c>
      <c r="O17" s="68" t="str">
        <f t="shared" si="7"/>
        <v/>
      </c>
      <c r="P17" s="32"/>
      <c r="Q17" s="68">
        <f t="shared" si="8"/>
        <v>0</v>
      </c>
      <c r="R17" s="34" t="str">
        <f t="shared" si="9"/>
        <v/>
      </c>
    </row>
    <row r="18" spans="2:21" x14ac:dyDescent="0.2">
      <c r="B18" s="3" t="str">
        <f>+'COLOMB$ '!B18</f>
        <v>Olfa Experience</v>
      </c>
      <c r="C18" s="32">
        <v>3374</v>
      </c>
      <c r="D18" s="68">
        <f t="shared" si="0"/>
        <v>0.89997332622032544</v>
      </c>
      <c r="E18" s="32"/>
      <c r="F18" s="68">
        <f t="shared" si="1"/>
        <v>0</v>
      </c>
      <c r="G18" s="68"/>
      <c r="H18" s="32"/>
      <c r="I18" s="68"/>
      <c r="J18" s="68" t="str">
        <f t="shared" si="4"/>
        <v/>
      </c>
      <c r="K18" s="32">
        <v>21087</v>
      </c>
      <c r="L18" s="68">
        <f t="shared" si="5"/>
        <v>0.89996158934744575</v>
      </c>
      <c r="M18" s="32">
        <v>12094.364</v>
      </c>
      <c r="N18" s="68">
        <f t="shared" si="6"/>
        <v>4.0443656298791169</v>
      </c>
      <c r="O18" s="68"/>
      <c r="P18" s="32"/>
      <c r="Q18" s="68"/>
      <c r="R18" s="34" t="str">
        <f t="shared" si="9"/>
        <v/>
      </c>
    </row>
    <row r="19" spans="2:21" x14ac:dyDescent="0.2">
      <c r="B19" s="3" t="str">
        <f>+'COLOMB$ '!B19</f>
        <v>Locutor virtual</v>
      </c>
      <c r="C19" s="32"/>
      <c r="D19" s="68"/>
      <c r="E19" s="32"/>
      <c r="F19" s="68">
        <f t="shared" si="1"/>
        <v>0</v>
      </c>
      <c r="G19" s="68"/>
      <c r="H19" s="32"/>
      <c r="I19" s="68"/>
      <c r="J19" s="68" t="str">
        <f t="shared" si="4"/>
        <v/>
      </c>
      <c r="K19" s="32"/>
      <c r="L19" s="68">
        <f t="shared" si="5"/>
        <v>0</v>
      </c>
      <c r="M19" s="32"/>
      <c r="N19" s="68">
        <f t="shared" si="6"/>
        <v>0</v>
      </c>
      <c r="O19" s="68"/>
      <c r="P19" s="32"/>
      <c r="Q19" s="68"/>
      <c r="R19" s="34" t="str">
        <f t="shared" si="9"/>
        <v/>
      </c>
    </row>
    <row r="20" spans="2:21" x14ac:dyDescent="0.2">
      <c r="B20" s="20" t="s">
        <v>39</v>
      </c>
      <c r="C20" s="69">
        <f>SUM(C10:C19)</f>
        <v>3749</v>
      </c>
      <c r="D20" s="72">
        <f>+C20/$C$20</f>
        <v>1</v>
      </c>
      <c r="E20" s="69">
        <f>SUM(E10:E17)</f>
        <v>0</v>
      </c>
      <c r="F20" s="72">
        <f t="shared" si="1"/>
        <v>0</v>
      </c>
      <c r="G20" s="72">
        <f>IF(C20=0,"",(E20-C20)/ABS(C20)+1)</f>
        <v>0</v>
      </c>
      <c r="H20" s="69">
        <f>SUM(H10:H19)</f>
        <v>0</v>
      </c>
      <c r="I20" s="72">
        <f>+H22/$H$22</f>
        <v>1</v>
      </c>
      <c r="J20" s="68" t="str">
        <f t="shared" si="4"/>
        <v/>
      </c>
      <c r="K20" s="69">
        <f>SUM(K10:K19)</f>
        <v>23431</v>
      </c>
      <c r="L20" s="72">
        <f t="shared" si="5"/>
        <v>1</v>
      </c>
      <c r="M20" s="69">
        <f>SUM(M10:M17)</f>
        <v>2990.4230000000002</v>
      </c>
      <c r="N20" s="68">
        <f t="shared" si="6"/>
        <v>1</v>
      </c>
      <c r="O20" s="72">
        <f>IF(K20=0,"",(M20-K20)/ABS(K20)+1)</f>
        <v>0.12762677649268062</v>
      </c>
      <c r="P20" s="69">
        <f>SUM(P10:P17)</f>
        <v>1382.5540000000001</v>
      </c>
      <c r="Q20" s="72">
        <f>+P20/$P$20</f>
        <v>1</v>
      </c>
      <c r="R20" s="34">
        <f t="shared" si="9"/>
        <v>1.1629701263024808</v>
      </c>
    </row>
    <row r="21" spans="2:21" x14ac:dyDescent="0.2">
      <c r="J21" s="68" t="str">
        <f t="shared" si="4"/>
        <v/>
      </c>
      <c r="R21" s="34" t="str">
        <f t="shared" si="9"/>
        <v/>
      </c>
      <c r="S21" s="79"/>
      <c r="T21" s="81"/>
      <c r="U21" s="81"/>
    </row>
    <row r="22" spans="2:21" x14ac:dyDescent="0.2">
      <c r="B22" s="3" t="s">
        <v>41</v>
      </c>
      <c r="C22" s="32">
        <v>2306</v>
      </c>
      <c r="D22" s="68">
        <f>+C22/$C$20</f>
        <v>0.61509735929581222</v>
      </c>
      <c r="E22" s="32">
        <v>-964.6721</v>
      </c>
      <c r="F22" s="68">
        <f>IF($E$20=0,0,E22/$E$20)</f>
        <v>0</v>
      </c>
      <c r="G22" s="68">
        <f>IF(C22=0,"",(E22-C22)/ABS(C22)+1)</f>
        <v>-0.41833135299219415</v>
      </c>
      <c r="H22" s="32">
        <v>787.47</v>
      </c>
      <c r="I22" s="68" t="e">
        <f>+H22/$H$20</f>
        <v>#DIV/0!</v>
      </c>
      <c r="J22" s="68">
        <f t="shared" si="4"/>
        <v>-2.2250271121439544</v>
      </c>
      <c r="K22" s="32">
        <v>14412</v>
      </c>
      <c r="L22" s="68">
        <f>+K22/$K$20</f>
        <v>0.61508258290299178</v>
      </c>
      <c r="M22" s="32">
        <v>4617.10725</v>
      </c>
      <c r="N22" s="68">
        <f>IF($M$20=0,0,M22/$M$20)</f>
        <v>1.5439645996569715</v>
      </c>
      <c r="O22" s="68">
        <f>IF(K22=0,"",(M22-K22)/ABS(K22)+1)</f>
        <v>0.32036547668609494</v>
      </c>
      <c r="P22" s="63">
        <v>1681.6669999999999</v>
      </c>
      <c r="Q22" s="68"/>
      <c r="R22" s="34">
        <f t="shared" si="9"/>
        <v>1.7455538165403734</v>
      </c>
    </row>
    <row r="23" spans="2:21" x14ac:dyDescent="0.2">
      <c r="J23" s="68" t="str">
        <f t="shared" si="4"/>
        <v/>
      </c>
      <c r="R23" s="34" t="str">
        <f t="shared" si="9"/>
        <v/>
      </c>
      <c r="T23" s="53"/>
      <c r="U23" s="53"/>
    </row>
    <row r="24" spans="2:21" x14ac:dyDescent="0.2">
      <c r="B24" s="3" t="s">
        <v>43</v>
      </c>
      <c r="C24" s="32">
        <f>+C20-C22</f>
        <v>1443</v>
      </c>
      <c r="D24" s="68">
        <f>+C24/$C$20</f>
        <v>0.38490264070418778</v>
      </c>
      <c r="E24" s="32">
        <f>+E20-E22</f>
        <v>964.6721</v>
      </c>
      <c r="F24" s="68">
        <f>IF($E$20=0,0,E24/$E$20)</f>
        <v>0</v>
      </c>
      <c r="G24" s="68">
        <f>IF(C24=0,"",(E24-C24)/ABS(C24)+1)</f>
        <v>0.66851843381843379</v>
      </c>
      <c r="H24" s="32">
        <f>+H20-H22</f>
        <v>-787.47</v>
      </c>
      <c r="I24" s="68" t="e">
        <f>+H24/$H$20</f>
        <v>#DIV/0!</v>
      </c>
      <c r="J24" s="68" t="str">
        <f t="shared" si="4"/>
        <v/>
      </c>
      <c r="K24" s="32">
        <f>+K20-K22</f>
        <v>9019</v>
      </c>
      <c r="L24" s="68">
        <f>+K24/$K$20</f>
        <v>0.38491741709700822</v>
      </c>
      <c r="M24" s="32">
        <f>+M20-M22</f>
        <v>-1626.6842499999998</v>
      </c>
      <c r="N24" s="68">
        <f>IF($M$20=0,0,M24/$M$20)</f>
        <v>-0.54396459965697153</v>
      </c>
      <c r="O24" s="68">
        <f>IF(K24=0,"",(M24-K24)/ABS(K24)+1)</f>
        <v>-0.18036193036922055</v>
      </c>
      <c r="P24" s="32">
        <f>+P20-P22</f>
        <v>-299.11299999999983</v>
      </c>
      <c r="Q24" s="68">
        <f>+P24/$P$20</f>
        <v>-0.21634814987335019</v>
      </c>
      <c r="R24" s="34" t="str">
        <f t="shared" si="9"/>
        <v/>
      </c>
    </row>
    <row r="25" spans="2:21" x14ac:dyDescent="0.2">
      <c r="J25" s="68" t="str">
        <f t="shared" si="4"/>
        <v/>
      </c>
      <c r="R25" s="34" t="str">
        <f t="shared" si="9"/>
        <v/>
      </c>
      <c r="T25" s="53"/>
      <c r="U25" s="53"/>
    </row>
    <row r="26" spans="2:21" x14ac:dyDescent="0.2">
      <c r="B26" s="3" t="s">
        <v>45</v>
      </c>
      <c r="C26" s="32">
        <v>11</v>
      </c>
      <c r="D26" s="68">
        <f>+C26/$C$20</f>
        <v>2.9341157642037877E-3</v>
      </c>
      <c r="E26" s="32">
        <v>289.48397</v>
      </c>
      <c r="F26" s="68">
        <f>IF($E$20=0,0,E26/$E$20)</f>
        <v>0</v>
      </c>
      <c r="G26" s="68">
        <f>IF(C26=0,"",(E26-C26)/ABS(C26)+1)</f>
        <v>26.316724545454544</v>
      </c>
      <c r="H26" s="32">
        <v>289.47399999999999</v>
      </c>
      <c r="I26" s="68" t="e">
        <f>+H26/$H$20</f>
        <v>#DIV/0!</v>
      </c>
      <c r="J26" s="68">
        <f t="shared" si="4"/>
        <v>3.4441780609000478E-5</v>
      </c>
      <c r="K26" s="32">
        <v>74</v>
      </c>
      <c r="L26" s="68">
        <f>+K26/$K$20</f>
        <v>3.1582092100209125E-3</v>
      </c>
      <c r="M26" s="32">
        <v>1892.1762900000001</v>
      </c>
      <c r="N26" s="68">
        <f>IF($M$20=0,0,M26/$M$20)</f>
        <v>0.63274536411738402</v>
      </c>
      <c r="O26" s="68">
        <f>IF(K26=0,"",(M26-K26)/ABS(K26)+1)</f>
        <v>25.569949864864867</v>
      </c>
      <c r="P26" s="32">
        <v>1744.61897</v>
      </c>
      <c r="Q26" s="68">
        <f>+P26/$P$20</f>
        <v>1.2618812502079484</v>
      </c>
      <c r="R26" s="34">
        <f t="shared" si="9"/>
        <v>8.4578536939788132E-2</v>
      </c>
    </row>
    <row r="27" spans="2:21" x14ac:dyDescent="0.2">
      <c r="B27" s="3" t="s">
        <v>46</v>
      </c>
      <c r="C27" s="32">
        <v>0</v>
      </c>
      <c r="D27" s="68">
        <f>+C27/$C$20</f>
        <v>0</v>
      </c>
      <c r="E27" s="32">
        <v>0</v>
      </c>
      <c r="F27" s="68">
        <f>IF($E$20=0,0,E27/$E$20)</f>
        <v>0</v>
      </c>
      <c r="G27" s="68" t="str">
        <f>IF(C27=0,"",(E27-C27)/ABS(C27)+1)</f>
        <v/>
      </c>
      <c r="H27" s="32">
        <v>0</v>
      </c>
      <c r="I27" s="68" t="e">
        <f>+H27/$H$20</f>
        <v>#DIV/0!</v>
      </c>
      <c r="J27" s="68" t="str">
        <f t="shared" si="4"/>
        <v/>
      </c>
      <c r="K27" s="32">
        <v>0</v>
      </c>
      <c r="L27" s="68">
        <f>+K27/$K$20</f>
        <v>0</v>
      </c>
      <c r="M27" s="32">
        <v>0</v>
      </c>
      <c r="N27" s="68">
        <f>IF($M$20=0,0,M27/$M$20)</f>
        <v>0</v>
      </c>
      <c r="O27" s="68" t="str">
        <f>IF(K27=0,"",(M27-K27)/ABS(K27)+1)</f>
        <v/>
      </c>
      <c r="P27" s="32">
        <v>0</v>
      </c>
      <c r="Q27" s="68">
        <f>+P27/$P$20</f>
        <v>0</v>
      </c>
      <c r="R27" s="34" t="str">
        <f t="shared" si="9"/>
        <v/>
      </c>
      <c r="S27" s="53"/>
      <c r="T27" s="53"/>
      <c r="U27" s="53"/>
    </row>
    <row r="28" spans="2:21" x14ac:dyDescent="0.2">
      <c r="B28" s="3" t="s">
        <v>48</v>
      </c>
      <c r="C28" s="32">
        <f>SUM(C26:C27)</f>
        <v>11</v>
      </c>
      <c r="D28" s="68">
        <f>+C28/$C$20</f>
        <v>2.9341157642037877E-3</v>
      </c>
      <c r="E28" s="32">
        <f>SUM(E26:E27)</f>
        <v>289.48397</v>
      </c>
      <c r="F28" s="68">
        <f>IF($E$20=0,0,E28/$E$20)</f>
        <v>0</v>
      </c>
      <c r="G28" s="68">
        <f>IF(C28=0,"",(E28-C28)/ABS(C28)+1)</f>
        <v>26.316724545454544</v>
      </c>
      <c r="H28" s="32">
        <f>SUM(H26:H27)</f>
        <v>289.47399999999999</v>
      </c>
      <c r="I28" s="68" t="e">
        <f>+H28/$H$20</f>
        <v>#DIV/0!</v>
      </c>
      <c r="J28" s="68">
        <f t="shared" si="4"/>
        <v>3.4441780609000478E-5</v>
      </c>
      <c r="K28" s="32">
        <f>SUM(K26:K27)</f>
        <v>74</v>
      </c>
      <c r="L28" s="68">
        <f>+K28/$K$20</f>
        <v>3.1582092100209125E-3</v>
      </c>
      <c r="M28" s="32">
        <f>SUM(M26:M27)</f>
        <v>1892.1762900000001</v>
      </c>
      <c r="N28" s="68">
        <f>IF($M$20=0,0,M28/$M$20)</f>
        <v>0.63274536411738402</v>
      </c>
      <c r="O28" s="68">
        <f>IF(K28=0,"",(M28-K28)/ABS(K28)+1)</f>
        <v>25.569949864864867</v>
      </c>
      <c r="P28" s="32">
        <f>SUM(P26:P27)</f>
        <v>1744.61897</v>
      </c>
      <c r="Q28" s="68">
        <f>+P28/$P$20</f>
        <v>1.2618812502079484</v>
      </c>
      <c r="R28" s="34">
        <f t="shared" si="9"/>
        <v>8.4578536939788132E-2</v>
      </c>
      <c r="S28" s="53"/>
      <c r="T28" s="53"/>
      <c r="U28" s="53"/>
    </row>
    <row r="29" spans="2:21" x14ac:dyDescent="0.2">
      <c r="J29" s="68" t="str">
        <f t="shared" si="4"/>
        <v/>
      </c>
      <c r="R29" s="34" t="str">
        <f t="shared" si="9"/>
        <v/>
      </c>
      <c r="S29" s="53"/>
      <c r="T29" s="53"/>
      <c r="U29" s="53"/>
    </row>
    <row r="30" spans="2:21" x14ac:dyDescent="0.2">
      <c r="B30" s="3" t="s">
        <v>50</v>
      </c>
      <c r="C30" s="32">
        <v>0</v>
      </c>
      <c r="D30" s="68">
        <f>+C30/$C$20</f>
        <v>0</v>
      </c>
      <c r="E30" s="32">
        <v>4.2045300000000001</v>
      </c>
      <c r="F30" s="68">
        <f>IF($E$20=0,0,E30/$E$20)</f>
        <v>0</v>
      </c>
      <c r="G30" s="68" t="str">
        <f>IF(C30=0,"",(E30-C30)/ABS(C30)+1)</f>
        <v/>
      </c>
      <c r="H30" s="32">
        <v>586.92511000000002</v>
      </c>
      <c r="I30" s="68"/>
      <c r="J30" s="68">
        <f t="shared" si="4"/>
        <v>-0.99283634329429182</v>
      </c>
      <c r="K30" s="32">
        <v>0</v>
      </c>
      <c r="L30" s="68">
        <f>+K30/$K$20</f>
        <v>0</v>
      </c>
      <c r="M30" s="32">
        <v>25.2255</v>
      </c>
      <c r="N30" s="68">
        <f>IF($M$20=0,0,M30/$M$20)</f>
        <v>8.4354287002206714E-3</v>
      </c>
      <c r="O30" s="68" t="str">
        <f>IF(K30=0,"",(M30-K30)/ABS(K30)+1)</f>
        <v/>
      </c>
      <c r="P30" s="32">
        <v>3521.5531099999998</v>
      </c>
      <c r="Q30" s="68">
        <f>+P30/$P$20</f>
        <v>2.5471360322996421</v>
      </c>
      <c r="R30" s="34">
        <f t="shared" si="9"/>
        <v>-0.99283682534039652</v>
      </c>
    </row>
    <row r="31" spans="2:21" x14ac:dyDescent="0.2">
      <c r="B31" s="3" t="s">
        <v>52</v>
      </c>
      <c r="C31" s="32"/>
      <c r="D31" s="68"/>
      <c r="E31" s="32">
        <v>0</v>
      </c>
      <c r="F31" s="68">
        <f>IF($E$20=0,0,E31/$E$20)</f>
        <v>0</v>
      </c>
      <c r="G31" s="68" t="str">
        <f>IF(C31=0,"",(E31-C31)/ABS(C31)+1)</f>
        <v/>
      </c>
      <c r="H31" s="32">
        <v>0</v>
      </c>
      <c r="I31" s="68"/>
      <c r="J31" s="68" t="str">
        <f>IF(H31&lt;=0,"",(E31-H31)/ABS(H31))</f>
        <v/>
      </c>
      <c r="K31" s="32">
        <v>0</v>
      </c>
      <c r="L31" s="68">
        <f>+K31/$K$20</f>
        <v>0</v>
      </c>
      <c r="M31" s="32">
        <v>0</v>
      </c>
      <c r="N31" s="68">
        <f>IF($M$20=0,0,M31/$M$20)</f>
        <v>0</v>
      </c>
      <c r="O31" s="68" t="str">
        <f>IF(K31=0,"",(M31-K31)/ABS(K31)+1)</f>
        <v/>
      </c>
      <c r="P31" s="32">
        <v>0</v>
      </c>
      <c r="Q31" s="68">
        <f>+P39/$P$20</f>
        <v>10.003766218173032</v>
      </c>
      <c r="R31" s="34" t="str">
        <f>IF(P31&lt;=0,"",(M31-P31)/ABS(P31))</f>
        <v/>
      </c>
      <c r="S31" s="53"/>
      <c r="T31" s="53"/>
      <c r="U31" s="53"/>
    </row>
    <row r="32" spans="2:21" x14ac:dyDescent="0.2">
      <c r="B32" s="3" t="s">
        <v>53</v>
      </c>
      <c r="C32" s="32">
        <f>SUM(C30:C31)</f>
        <v>0</v>
      </c>
      <c r="D32" s="68">
        <f>+C32/$C$20</f>
        <v>0</v>
      </c>
      <c r="E32" s="32">
        <f>SUM(E30:E31)</f>
        <v>4.2045300000000001</v>
      </c>
      <c r="F32" s="68">
        <f>IF($E$20=0,0,E32/$E$20)</f>
        <v>0</v>
      </c>
      <c r="G32" s="68" t="str">
        <f>IF(C32=0,"",(E32-C32)/ABS(C32)+1)</f>
        <v/>
      </c>
      <c r="H32" s="32">
        <f>SUM(H30:H31)</f>
        <v>586.92511000000002</v>
      </c>
      <c r="I32" s="68" t="e">
        <f>+H32/$H$20</f>
        <v>#DIV/0!</v>
      </c>
      <c r="J32" s="68">
        <f>IF(H32&lt;=0,"",(E32-H32)/ABS(H32))</f>
        <v>-0.99283634329429182</v>
      </c>
      <c r="K32" s="32">
        <f>SUM(K30:K31)</f>
        <v>0</v>
      </c>
      <c r="L32" s="68">
        <f>+K32/$K$20</f>
        <v>0</v>
      </c>
      <c r="M32" s="32">
        <f>SUM(M30:M31)</f>
        <v>25.2255</v>
      </c>
      <c r="N32" s="68">
        <f>IF($M$20=0,0,M32/$M$20)</f>
        <v>8.4354287002206714E-3</v>
      </c>
      <c r="O32" s="68" t="str">
        <f>IF(K32=0,"",(M32-K32)/ABS(K32)+1)</f>
        <v/>
      </c>
      <c r="P32" s="32">
        <f>+P30+P31</f>
        <v>3521.5531099999998</v>
      </c>
      <c r="Q32" s="68">
        <f>+P32/$P$20</f>
        <v>2.5471360322996421</v>
      </c>
      <c r="R32" s="34">
        <f>IF(P32&lt;=0,"",(M32-P32)/ABS(P32))</f>
        <v>-0.99283682534039652</v>
      </c>
    </row>
    <row r="33" spans="1:21" x14ac:dyDescent="0.2">
      <c r="S33" s="53"/>
      <c r="T33" s="53"/>
      <c r="U33" s="53"/>
    </row>
    <row r="34" spans="1:21" x14ac:dyDescent="0.2">
      <c r="B34" s="3" t="s">
        <v>54</v>
      </c>
      <c r="C34" s="32">
        <f>C28+C32</f>
        <v>11</v>
      </c>
      <c r="D34" s="68">
        <f>+C34/$C$20</f>
        <v>2.9341157642037877E-3</v>
      </c>
      <c r="E34" s="32">
        <f>E28+E32</f>
        <v>293.68849999999998</v>
      </c>
      <c r="F34" s="68">
        <f>IF($E$20=0,0,E34/$E$20)</f>
        <v>0</v>
      </c>
      <c r="G34" s="68">
        <f>IF(C34=0,"",(E34-C34)/ABS(C34)+1)</f>
        <v>26.698954545454544</v>
      </c>
      <c r="H34" s="32">
        <f>+H32+H28</f>
        <v>876.39911000000006</v>
      </c>
      <c r="I34" s="68" t="e">
        <f>+H34/$H$20</f>
        <v>#DIV/0!</v>
      </c>
      <c r="J34" s="68">
        <f>IF(H34&lt;=0,"",(E34-H34)/ABS(H34))</f>
        <v>-0.66489183221557591</v>
      </c>
      <c r="K34" s="32">
        <f>K28+K32</f>
        <v>74</v>
      </c>
      <c r="L34" s="68">
        <f>+K34/$K$20</f>
        <v>3.1582092100209125E-3</v>
      </c>
      <c r="M34" s="32">
        <f>M28+M32</f>
        <v>1917.4017900000001</v>
      </c>
      <c r="N34" s="68">
        <f>IF($M$20=0,0,M34/$M$20)</f>
        <v>0.64118079281760476</v>
      </c>
      <c r="O34" s="68">
        <f>IF(K34=0,"",(M34-K34)/ABS(K34)+1)</f>
        <v>25.910835000000002</v>
      </c>
      <c r="P34" s="32">
        <f>P28+P32</f>
        <v>5266.1720800000003</v>
      </c>
      <c r="Q34" s="68">
        <f>+P34/$P$20</f>
        <v>3.809017282507591</v>
      </c>
      <c r="R34" s="34">
        <f>IF(P34&lt;=0,"",(M34-P34)/ABS(P34))</f>
        <v>-0.63590217697557661</v>
      </c>
      <c r="S34" s="53"/>
      <c r="T34" s="53"/>
      <c r="U34" s="53"/>
    </row>
    <row r="35" spans="1:21" x14ac:dyDescent="0.2">
      <c r="J35" s="68" t="str">
        <f t="shared" si="4"/>
        <v/>
      </c>
      <c r="R35" s="34" t="str">
        <f t="shared" si="9"/>
        <v/>
      </c>
      <c r="S35" s="53"/>
      <c r="T35" s="53"/>
      <c r="U35" s="53"/>
    </row>
    <row r="36" spans="1:21" x14ac:dyDescent="0.2">
      <c r="B36" s="20" t="s">
        <v>55</v>
      </c>
      <c r="C36" s="69">
        <f>C24-C34</f>
        <v>1432</v>
      </c>
      <c r="D36" s="72">
        <f>+C36/$C$20</f>
        <v>0.38196852493998401</v>
      </c>
      <c r="E36" s="69">
        <f>E24-E34</f>
        <v>670.98360000000002</v>
      </c>
      <c r="F36" s="72">
        <f>IF($E$20=0,0,E36/$E$20)</f>
        <v>0</v>
      </c>
      <c r="G36" s="72">
        <f>IF(C36=0,"",(E36-C36)/ABS(C36)+1)</f>
        <v>0.46856396648044696</v>
      </c>
      <c r="H36" s="69">
        <f>+H24-H34</f>
        <v>-1663.8691100000001</v>
      </c>
      <c r="I36" s="72" t="e">
        <f>+H36/$H$20</f>
        <v>#DIV/0!</v>
      </c>
      <c r="J36" s="72" t="str">
        <f t="shared" si="4"/>
        <v/>
      </c>
      <c r="K36" s="69">
        <f>K24-K34</f>
        <v>8945</v>
      </c>
      <c r="L36" s="72">
        <f>+K36/$K$20</f>
        <v>0.38175920788698731</v>
      </c>
      <c r="M36" s="69">
        <f>M24-M34</f>
        <v>-3544.0860400000001</v>
      </c>
      <c r="N36" s="72">
        <f>IF($M$20=0,0,M36/$M$20)</f>
        <v>-1.1851453924745763</v>
      </c>
      <c r="O36" s="72">
        <f>IF(K36=0,"",(M36-K36)/ABS(K36)+1)</f>
        <v>-0.39620861263275575</v>
      </c>
      <c r="P36" s="69">
        <f>P24-P34</f>
        <v>-5565.2850799999997</v>
      </c>
      <c r="Q36" s="72">
        <f>+P36/$P$20</f>
        <v>-4.0253654323809407</v>
      </c>
      <c r="R36" s="45" t="str">
        <f t="shared" si="9"/>
        <v/>
      </c>
    </row>
    <row r="37" spans="1:21" x14ac:dyDescent="0.2">
      <c r="A37" s="80"/>
      <c r="J37" s="68" t="str">
        <f t="shared" si="4"/>
        <v/>
      </c>
      <c r="R37" s="34" t="str">
        <f t="shared" si="9"/>
        <v/>
      </c>
      <c r="S37" s="53"/>
      <c r="T37" s="53"/>
      <c r="U37" s="53"/>
    </row>
    <row r="38" spans="1:21" x14ac:dyDescent="0.2">
      <c r="B38" s="3" t="s">
        <v>56</v>
      </c>
      <c r="C38" s="32"/>
      <c r="D38" s="68">
        <f>+C38/$C$20</f>
        <v>0</v>
      </c>
      <c r="E38" s="32">
        <v>0</v>
      </c>
      <c r="F38" s="68">
        <f>IF($E$20=0,0,E38/$E$20)</f>
        <v>0</v>
      </c>
      <c r="G38" s="68" t="str">
        <f>IF(C38=0,"",(E38-C38)/ABS(C38)+1)</f>
        <v/>
      </c>
      <c r="H38" s="32">
        <v>0</v>
      </c>
      <c r="I38" s="68" t="e">
        <f>+H38/$H$20</f>
        <v>#DIV/0!</v>
      </c>
      <c r="J38" s="68" t="str">
        <f t="shared" si="4"/>
        <v/>
      </c>
      <c r="K38" s="32"/>
      <c r="L38" s="68">
        <f>+K38/$K$20</f>
        <v>0</v>
      </c>
      <c r="M38" s="32">
        <v>62.902000000000001</v>
      </c>
      <c r="N38" s="68">
        <f>IF($M$20=0,0,M38/$M$20)</f>
        <v>2.1034482412688772E-2</v>
      </c>
      <c r="O38" s="68" t="str">
        <f>IF(K38=0,"",(M38-K38)/ABS(K38)+1)</f>
        <v/>
      </c>
      <c r="P38" s="32">
        <v>30</v>
      </c>
      <c r="Q38" s="68">
        <f>+P38/$P$20</f>
        <v>2.1698971613405334E-2</v>
      </c>
      <c r="R38" s="34">
        <f t="shared" si="9"/>
        <v>1.0967333333333333</v>
      </c>
    </row>
    <row r="39" spans="1:21" x14ac:dyDescent="0.2">
      <c r="B39" s="3" t="s">
        <v>57</v>
      </c>
      <c r="C39" s="32"/>
      <c r="D39" s="68"/>
      <c r="E39" s="32">
        <v>0</v>
      </c>
      <c r="F39" s="68">
        <f>IF($E$20=0,0,E39/$E$20)</f>
        <v>0</v>
      </c>
      <c r="G39" s="68" t="str">
        <f>IF(C39=0,"",(E39-C39)/ABS(C39)+1)</f>
        <v/>
      </c>
      <c r="H39" s="32">
        <v>1956.4</v>
      </c>
      <c r="I39" s="68"/>
      <c r="J39" s="68">
        <f t="shared" si="4"/>
        <v>-1</v>
      </c>
      <c r="K39" s="32">
        <v>0</v>
      </c>
      <c r="L39" s="68">
        <f>+K39/$K$20</f>
        <v>0</v>
      </c>
      <c r="M39" s="32">
        <v>3010.2809999999999</v>
      </c>
      <c r="N39" s="68">
        <f>IF($M$20=0,0,M39/$M$20)</f>
        <v>1.0066405321253882</v>
      </c>
      <c r="O39" s="68" t="str">
        <f>IF(K39=0,"",(M39-K39)/ABS(K39)+1)</f>
        <v/>
      </c>
      <c r="P39" s="32">
        <v>13830.746999999999</v>
      </c>
      <c r="Q39" s="68">
        <f>+P39/$P$20</f>
        <v>10.003766218173032</v>
      </c>
      <c r="R39" s="34">
        <f t="shared" si="9"/>
        <v>-0.78234863236237351</v>
      </c>
      <c r="S39" s="53"/>
      <c r="T39" s="53"/>
      <c r="U39" s="53"/>
    </row>
    <row r="40" spans="1:21" x14ac:dyDescent="0.2">
      <c r="J40" s="68" t="str">
        <f t="shared" si="4"/>
        <v/>
      </c>
      <c r="R40" s="34" t="str">
        <f t="shared" si="9"/>
        <v/>
      </c>
      <c r="S40" s="53"/>
      <c r="T40" s="53"/>
      <c r="U40" s="53"/>
    </row>
    <row r="41" spans="1:21" x14ac:dyDescent="0.2">
      <c r="B41" s="3" t="s">
        <v>58</v>
      </c>
      <c r="C41" s="32">
        <f>+C36-C39</f>
        <v>1432</v>
      </c>
      <c r="D41" s="68">
        <f>+C41/$C$20</f>
        <v>0.38196852493998401</v>
      </c>
      <c r="E41" s="32">
        <f>+E36-E39</f>
        <v>670.98360000000002</v>
      </c>
      <c r="F41" s="68">
        <f>IF($E$20=0,0,E41/$E$20)</f>
        <v>0</v>
      </c>
      <c r="G41" s="68">
        <f>IF(C41=0,"",(E41-C41)/ABS(C41)+1)</f>
        <v>0.46856396648044696</v>
      </c>
      <c r="H41" s="32">
        <f>+H36+H38-H39</f>
        <v>-3620.2691100000002</v>
      </c>
      <c r="I41" s="68" t="e">
        <f>+H41/$H$20</f>
        <v>#DIV/0!</v>
      </c>
      <c r="J41" s="68" t="str">
        <f t="shared" si="4"/>
        <v/>
      </c>
      <c r="K41" s="32">
        <f>K36+K38-K39</f>
        <v>8945</v>
      </c>
      <c r="L41" s="68">
        <f>+K41/$K$20</f>
        <v>0.38175920788698731</v>
      </c>
      <c r="M41" s="32">
        <f>M36+M38-M39</f>
        <v>-6491.46504</v>
      </c>
      <c r="N41" s="68">
        <f>IF($M$20=0,0,M41/$M$20)</f>
        <v>-2.1707514421872758</v>
      </c>
      <c r="O41" s="68">
        <f>IF(K41=0,"",(M41-K41)/ABS(K41)+1)</f>
        <v>-0.72570878032420327</v>
      </c>
      <c r="P41" s="32">
        <f>+P36-P39</f>
        <v>-19396.032079999997</v>
      </c>
      <c r="Q41" s="68">
        <f>+P41/$P$20</f>
        <v>-14.029131650553971</v>
      </c>
      <c r="R41" s="34" t="str">
        <f t="shared" si="9"/>
        <v/>
      </c>
    </row>
    <row r="42" spans="1:21" x14ac:dyDescent="0.2">
      <c r="B42" s="3" t="s">
        <v>44</v>
      </c>
      <c r="C42" s="32">
        <v>535</v>
      </c>
      <c r="D42" s="68">
        <f>+C42/$C$20</f>
        <v>0.14270472125900241</v>
      </c>
      <c r="E42" s="32"/>
      <c r="F42" s="68">
        <f>IF($E$20=0,0,E42/$E$20)</f>
        <v>0</v>
      </c>
      <c r="G42" s="68">
        <f>IF(C42=0,"",(E42-C42)/ABS(C42)+1)</f>
        <v>0</v>
      </c>
      <c r="H42" s="32"/>
      <c r="I42" s="68" t="e">
        <f>+I41*33%</f>
        <v>#DIV/0!</v>
      </c>
      <c r="J42" s="68" t="str">
        <f t="shared" si="4"/>
        <v/>
      </c>
      <c r="K42" s="32">
        <v>3344</v>
      </c>
      <c r="L42" s="68">
        <f>+K42/$K$20</f>
        <v>0.14271691349067475</v>
      </c>
      <c r="M42" s="32">
        <f>+U43+E42</f>
        <v>0</v>
      </c>
      <c r="N42" s="68">
        <f>IF($M$20=0,0,M42/$M$20)</f>
        <v>0</v>
      </c>
      <c r="O42" s="68">
        <f>IF(K42=0,"",(M42-K42)/ABS(K42)+1)</f>
        <v>0</v>
      </c>
      <c r="P42" s="32">
        <v>0</v>
      </c>
      <c r="Q42" s="68">
        <f>+P42/$P$20</f>
        <v>0</v>
      </c>
      <c r="R42" s="34" t="str">
        <f t="shared" si="9"/>
        <v/>
      </c>
      <c r="S42" s="53"/>
      <c r="T42" s="53"/>
      <c r="U42" s="53"/>
    </row>
    <row r="43" spans="1:21" x14ac:dyDescent="0.2">
      <c r="B43" s="20" t="s">
        <v>59</v>
      </c>
      <c r="C43" s="69">
        <f>+C41</f>
        <v>1432</v>
      </c>
      <c r="D43" s="72">
        <f>+C43/$C$20</f>
        <v>0.38196852493998401</v>
      </c>
      <c r="E43" s="69">
        <f>E41-E42</f>
        <v>670.98360000000002</v>
      </c>
      <c r="F43" s="72">
        <f>IF($E$20=0,0,E43/$E$20)</f>
        <v>0</v>
      </c>
      <c r="G43" s="72">
        <f>IF(C43=0,"",(E43-C43)/ABS(C43)+1)</f>
        <v>0.46856396648044696</v>
      </c>
      <c r="H43" s="69">
        <f>+H41-H42</f>
        <v>-3620.2691100000002</v>
      </c>
      <c r="I43" s="72" t="e">
        <f>+H43/$H$20</f>
        <v>#DIV/0!</v>
      </c>
      <c r="J43" s="68" t="str">
        <f t="shared" si="4"/>
        <v/>
      </c>
      <c r="K43" s="69">
        <f>K41-K42</f>
        <v>5601</v>
      </c>
      <c r="L43" s="72">
        <f>+K43/$K$20</f>
        <v>0.23904229439631258</v>
      </c>
      <c r="M43" s="69">
        <f>+M41-M42</f>
        <v>-6491.46504</v>
      </c>
      <c r="N43" s="72">
        <f>IF($M$20=0,0,M43/$M$20)</f>
        <v>-2.1707514421872758</v>
      </c>
      <c r="O43" s="72">
        <f>IF(K43=0,"",(M43-K43)/ABS(K43)+1)</f>
        <v>-1.15898322442421</v>
      </c>
      <c r="P43" s="69">
        <f>P41-P42</f>
        <v>-19396.032079999997</v>
      </c>
      <c r="Q43" s="72">
        <f>+P43/$P$20</f>
        <v>-14.029131650553971</v>
      </c>
      <c r="R43" s="34" t="str">
        <f t="shared" si="9"/>
        <v/>
      </c>
      <c r="S43" s="53"/>
      <c r="T43" s="53"/>
      <c r="U43" s="53"/>
    </row>
    <row r="44" spans="1:21" x14ac:dyDescent="0.2">
      <c r="J44" s="68" t="str">
        <f t="shared" si="4"/>
        <v/>
      </c>
      <c r="R44" s="34" t="str">
        <f t="shared" si="9"/>
        <v/>
      </c>
      <c r="S44" s="53"/>
      <c r="T44" s="53"/>
      <c r="U44" s="53"/>
    </row>
    <row r="45" spans="1:21" x14ac:dyDescent="0.2">
      <c r="B45" s="3" t="s">
        <v>60</v>
      </c>
      <c r="C45" s="32">
        <v>1432</v>
      </c>
      <c r="D45" s="68">
        <f>+C45/$C$20</f>
        <v>0.38196852493998401</v>
      </c>
      <c r="E45" s="32">
        <v>964.6721</v>
      </c>
      <c r="F45" s="68">
        <f>IF($E$20=0,0,E45/$E$20)</f>
        <v>0</v>
      </c>
      <c r="G45" s="68">
        <f>IF(C45=0,"",(E45-C45)/ABS(C45)+1)</f>
        <v>0.67365370111731848</v>
      </c>
      <c r="H45" s="32">
        <v>-2743.8700000000003</v>
      </c>
      <c r="I45" s="68" t="e">
        <f>+H45/$H$20</f>
        <v>#DIV/0!</v>
      </c>
      <c r="J45" s="68" t="str">
        <f t="shared" si="4"/>
        <v/>
      </c>
      <c r="K45" s="32">
        <v>8945</v>
      </c>
      <c r="L45" s="68">
        <f>+K45/$K$20</f>
        <v>0.38175920788698731</v>
      </c>
      <c r="M45" s="32">
        <v>-1781.9462500000002</v>
      </c>
      <c r="N45" s="68">
        <f>IF($M$20=0,0,M45/$M$20)</f>
        <v>-0.59588434479001806</v>
      </c>
      <c r="O45" s="68">
        <f>IF(K45=0,"",(M45-K45)/ABS(K45)+1)</f>
        <v>-0.19921143096702076</v>
      </c>
      <c r="P45" s="32">
        <v>-300.62099999999919</v>
      </c>
      <c r="Q45" s="68">
        <f>+P45/$P$20</f>
        <v>-0.21743888484645024</v>
      </c>
      <c r="R45" s="34" t="str">
        <f t="shared" si="9"/>
        <v/>
      </c>
    </row>
    <row r="46" spans="1:21" x14ac:dyDescent="0.2">
      <c r="B46" s="3" t="s">
        <v>35</v>
      </c>
      <c r="C46" s="32">
        <v>0</v>
      </c>
      <c r="D46" s="68">
        <f>+C46/$C$20</f>
        <v>0</v>
      </c>
      <c r="E46" s="32">
        <v>0</v>
      </c>
      <c r="F46" s="68">
        <f>IF($E$20=0,0,E46/$E$20)</f>
        <v>0</v>
      </c>
      <c r="G46" s="68" t="str">
        <f>IF(C46=0,"",(E46-C46)/ABS(C46)+1)</f>
        <v/>
      </c>
      <c r="H46" s="32">
        <v>0</v>
      </c>
      <c r="I46" s="68" t="e">
        <f>+H46/$H$20</f>
        <v>#DIV/0!</v>
      </c>
      <c r="J46" s="68" t="str">
        <f t="shared" si="4"/>
        <v/>
      </c>
      <c r="K46" s="32">
        <v>0</v>
      </c>
      <c r="L46" s="68">
        <f>+K46/$K$20</f>
        <v>0</v>
      </c>
      <c r="M46" s="32">
        <v>0</v>
      </c>
      <c r="N46" s="68">
        <f>IF($M$20=0,0,M46/$M$20)</f>
        <v>0</v>
      </c>
      <c r="O46" s="68" t="str">
        <f>IF(K46=0,"",(M46-K46)/ABS(K46)+1)</f>
        <v/>
      </c>
      <c r="P46" s="32">
        <v>0</v>
      </c>
      <c r="Q46" s="32">
        <f>+P46/$P$20</f>
        <v>0</v>
      </c>
      <c r="R46" s="34" t="str">
        <f>IF(P46=0,"",(M46-P46)/ABS(P46))</f>
        <v/>
      </c>
      <c r="S46" s="53"/>
      <c r="T46" s="53"/>
      <c r="U46" s="53"/>
    </row>
    <row r="48" spans="1:21" x14ac:dyDescent="0.2">
      <c r="M48" s="55" t="s">
        <v>61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AC1F38-9815-4AD5-930C-000FA28ED57C}">
  <sheetPr>
    <tabColor theme="2" tint="-9.9978637043366805E-2"/>
  </sheetPr>
  <dimension ref="A3:AJ48"/>
  <sheetViews>
    <sheetView showGridLines="0" topLeftCell="X1" zoomScale="91" zoomScaleNormal="91" workbookViewId="0">
      <selection activeCell="AK10" sqref="AK10"/>
    </sheetView>
  </sheetViews>
  <sheetFormatPr baseColWidth="10" defaultRowHeight="12.75" x14ac:dyDescent="0.2"/>
  <cols>
    <col min="1" max="1" width="4.5703125" style="13" customWidth="1"/>
    <col min="2" max="2" width="29.28515625" style="13" customWidth="1"/>
    <col min="3" max="3" width="14.42578125" style="13" customWidth="1"/>
    <col min="4" max="4" width="8" style="13" customWidth="1"/>
    <col min="5" max="5" width="10.28515625" style="13" bestFit="1" customWidth="1"/>
    <col min="6" max="6" width="6.28515625" style="13" bestFit="1" customWidth="1"/>
    <col min="7" max="7" width="6.5703125" style="13" bestFit="1" customWidth="1"/>
    <col min="8" max="8" width="11.28515625" style="13" customWidth="1"/>
    <col min="9" max="9" width="6.42578125" style="13" customWidth="1"/>
    <col min="10" max="10" width="8.140625" style="13" customWidth="1"/>
    <col min="11" max="11" width="13.28515625" style="13" customWidth="1"/>
    <col min="12" max="12" width="6.7109375" style="13" customWidth="1"/>
    <col min="13" max="15" width="10.140625" style="13" customWidth="1"/>
    <col min="16" max="16" width="11.5703125" style="13" customWidth="1"/>
    <col min="17" max="17" width="8.5703125" style="13" customWidth="1"/>
    <col min="18" max="18" width="9.42578125" style="13" customWidth="1"/>
    <col min="19" max="19" width="8.42578125" style="13" customWidth="1"/>
    <col min="20" max="21" width="11.42578125" style="13" hidden="1" customWidth="1"/>
    <col min="22" max="22" width="25.5703125" style="13" customWidth="1"/>
    <col min="23" max="24" width="11.42578125" style="13"/>
    <col min="25" max="25" width="12.5703125" style="13" customWidth="1"/>
    <col min="26" max="27" width="11.42578125" style="13"/>
    <col min="28" max="28" width="12.42578125" style="13" customWidth="1"/>
    <col min="29" max="29" width="8.42578125" style="13" customWidth="1"/>
    <col min="30" max="30" width="10.28515625" style="13" bestFit="1" customWidth="1"/>
    <col min="31" max="31" width="9.140625" style="13" customWidth="1"/>
    <col min="32" max="32" width="11.42578125" style="13"/>
    <col min="33" max="33" width="27" style="13" customWidth="1"/>
    <col min="34" max="34" width="11.5703125" style="13" customWidth="1"/>
    <col min="35" max="16384" width="11.42578125" style="13"/>
  </cols>
  <sheetData>
    <row r="3" spans="1:36" s="10" customFormat="1" ht="18" x14ac:dyDescent="0.25">
      <c r="B3" s="16" t="s">
        <v>89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82"/>
      <c r="V3" s="13" t="str">
        <f>+B3</f>
        <v>MUSICAR  COLOMBIA</v>
      </c>
    </row>
    <row r="4" spans="1:36" ht="17.25" customHeight="1" x14ac:dyDescent="0.2">
      <c r="A4" s="10"/>
      <c r="B4" s="19" t="s">
        <v>90</v>
      </c>
      <c r="V4" s="19" t="str">
        <f>+'COLOMB$ '!T4</f>
        <v xml:space="preserve">Flujo de Caja </v>
      </c>
      <c r="Z4" s="15"/>
      <c r="AA4" s="15"/>
    </row>
    <row r="5" spans="1:36" x14ac:dyDescent="0.2">
      <c r="B5" s="19" t="s">
        <v>91</v>
      </c>
      <c r="V5" s="19" t="s">
        <v>91</v>
      </c>
      <c r="AI5" s="83">
        <f>+Paramet!G3-Paramet!G4</f>
        <v>-794.67999999999984</v>
      </c>
      <c r="AJ5" s="84">
        <f>+AI5/Paramet!G4</f>
        <v>-0.17020346969372452</v>
      </c>
    </row>
    <row r="6" spans="1:36" ht="13.5" thickBot="1" x14ac:dyDescent="0.25">
      <c r="B6" s="42" t="str">
        <f>+'COLOMB$ '!B6</f>
        <v>JUNIO de 2024</v>
      </c>
      <c r="C6" s="85"/>
      <c r="K6" s="86" t="s">
        <v>23</v>
      </c>
      <c r="L6" s="86"/>
      <c r="M6" s="86"/>
      <c r="N6" s="86"/>
      <c r="O6" s="86"/>
      <c r="P6" s="86"/>
      <c r="Q6" s="86"/>
      <c r="R6" s="86"/>
      <c r="V6" s="42" t="str">
        <f>+B6</f>
        <v>JUNIO de 2024</v>
      </c>
      <c r="Z6" s="21" t="s">
        <v>23</v>
      </c>
      <c r="AA6" s="21"/>
      <c r="AB6" s="21"/>
      <c r="AC6" s="21"/>
      <c r="AD6" s="21"/>
      <c r="AE6" s="21"/>
    </row>
    <row r="7" spans="1:36" ht="15.75" customHeight="1" x14ac:dyDescent="0.2">
      <c r="C7" s="22" t="str">
        <f>+'COLOMB$ '!D7:D7</f>
        <v>Ppto 2024</v>
      </c>
      <c r="D7" s="22"/>
      <c r="E7" s="22" t="str">
        <f>+'COLOMB$ '!F7:F7</f>
        <v>Real 2024</v>
      </c>
      <c r="F7" s="22"/>
      <c r="G7" s="22" t="s">
        <v>24</v>
      </c>
      <c r="H7" s="22" t="str">
        <f>+'COLOMB$ '!I7:I7</f>
        <v>Real 2023</v>
      </c>
      <c r="I7" s="22"/>
      <c r="J7" s="22" t="s">
        <v>25</v>
      </c>
      <c r="K7" s="22" t="str">
        <f>+C7</f>
        <v>Ppto 2024</v>
      </c>
      <c r="L7" s="22"/>
      <c r="M7" s="22" t="str">
        <f>+E7</f>
        <v>Real 2024</v>
      </c>
      <c r="N7" s="22"/>
      <c r="O7" s="22" t="s">
        <v>24</v>
      </c>
      <c r="P7" s="22" t="str">
        <f>+H7</f>
        <v>Real 2023</v>
      </c>
      <c r="Q7" s="22"/>
      <c r="R7" s="22" t="s">
        <v>25</v>
      </c>
      <c r="T7" s="10"/>
      <c r="W7" s="15" t="str">
        <f>+C7</f>
        <v>Ppto 2024</v>
      </c>
      <c r="X7" s="15" t="str">
        <f>+M7</f>
        <v>Real 2024</v>
      </c>
      <c r="Y7" s="15" t="str">
        <f>+H7</f>
        <v>Real 2023</v>
      </c>
      <c r="Z7" s="15" t="str">
        <f>+W7</f>
        <v>Ppto 2024</v>
      </c>
      <c r="AA7" s="15" t="str">
        <f>+X7</f>
        <v>Real 2024</v>
      </c>
      <c r="AB7" s="15" t="s">
        <v>26</v>
      </c>
      <c r="AC7" s="15" t="s">
        <v>24</v>
      </c>
      <c r="AD7" s="15" t="str">
        <f>+Y7</f>
        <v>Real 2023</v>
      </c>
      <c r="AE7" s="15" t="s">
        <v>25</v>
      </c>
      <c r="AI7" s="13" t="s">
        <v>92</v>
      </c>
    </row>
    <row r="8" spans="1:36" ht="13.5" thickBot="1" x14ac:dyDescent="0.25">
      <c r="B8" s="87" t="s">
        <v>27</v>
      </c>
      <c r="C8" s="88" t="s">
        <v>28</v>
      </c>
      <c r="D8" s="88" t="s">
        <v>29</v>
      </c>
      <c r="E8" s="88" t="s">
        <v>28</v>
      </c>
      <c r="F8" s="88" t="s">
        <v>29</v>
      </c>
      <c r="G8" s="88" t="s">
        <v>30</v>
      </c>
      <c r="H8" s="88" t="s">
        <v>28</v>
      </c>
      <c r="I8" s="88" t="s">
        <v>29</v>
      </c>
      <c r="J8" s="88" t="s">
        <v>30</v>
      </c>
      <c r="K8" s="88" t="s">
        <v>28</v>
      </c>
      <c r="L8" s="88" t="s">
        <v>29</v>
      </c>
      <c r="M8" s="88" t="s">
        <v>28</v>
      </c>
      <c r="N8" s="88" t="s">
        <v>29</v>
      </c>
      <c r="O8" s="88" t="s">
        <v>30</v>
      </c>
      <c r="P8" s="88" t="s">
        <v>28</v>
      </c>
      <c r="Q8" s="88" t="s">
        <v>29</v>
      </c>
      <c r="R8" s="88" t="s">
        <v>30</v>
      </c>
      <c r="T8" s="17" t="s">
        <v>93</v>
      </c>
      <c r="U8" s="17"/>
      <c r="V8" s="29"/>
      <c r="W8" s="30"/>
      <c r="X8" s="30"/>
      <c r="Y8" s="30"/>
      <c r="Z8" s="30"/>
      <c r="AA8" s="30"/>
      <c r="AB8" s="30"/>
      <c r="AC8" s="30" t="s">
        <v>30</v>
      </c>
      <c r="AD8" s="30"/>
      <c r="AE8" s="30" t="s">
        <v>30</v>
      </c>
    </row>
    <row r="9" spans="1:36" x14ac:dyDescent="0.2">
      <c r="T9" s="37"/>
      <c r="U9" s="17" t="s">
        <v>94</v>
      </c>
      <c r="AH9" s="83"/>
    </row>
    <row r="10" spans="1:36" x14ac:dyDescent="0.2">
      <c r="B10" s="19" t="str">
        <f>+'COLOMB$ '!B10</f>
        <v>Musical Experience  (Ambiental)</v>
      </c>
      <c r="C10" s="35">
        <f>+'COL. CONS.$'!C10/Paramet!$G$5*1000</f>
        <v>91227.019609177412</v>
      </c>
      <c r="D10" s="33">
        <f t="shared" ref="D10:D15" si="0">+C10/$C$20</f>
        <v>0.42957926251579459</v>
      </c>
      <c r="E10" s="35">
        <f>+'COL. CONS.$'!E10/Paramet!$G$3*1000</f>
        <v>102760.18656177084</v>
      </c>
      <c r="F10" s="33">
        <f t="shared" ref="F10:F18" si="1">+E10/$E$20</f>
        <v>0.41267550244614026</v>
      </c>
      <c r="G10" s="33">
        <f t="shared" ref="G10:G18" si="2">IF(C10=0,"",(E10-C10)/ABS(C10)+1)</f>
        <v>1.1264227089956713</v>
      </c>
      <c r="H10" s="35">
        <f>+'COL. CONS.$'!H10/Paramet!$G$4*1000</f>
        <v>85700.171342899979</v>
      </c>
      <c r="I10" s="33">
        <f t="shared" ref="I10:I18" si="3">+H10/$H$20</f>
        <v>0.39879385546445839</v>
      </c>
      <c r="J10" s="34">
        <f t="shared" ref="J10:J18" si="4">IF(H10=0,"",(E10-H10)/ABS(H10))</f>
        <v>0.19906629066832354</v>
      </c>
      <c r="K10" s="35">
        <f>+'COL. CONS.$'!K10/Paramet!$G$5*1000</f>
        <v>566271.53436993191</v>
      </c>
      <c r="L10" s="33">
        <f t="shared" ref="L10:L18" si="5">+K10/$K$20</f>
        <v>0.42570196686284995</v>
      </c>
      <c r="M10" s="35">
        <f>+'COL. CONS.$'!M10/Paramet!$G$3*1000</f>
        <v>624612.42979413155</v>
      </c>
      <c r="N10" s="33">
        <f t="shared" ref="N10:N18" si="6">+M10/$M$20</f>
        <v>0.41923772423732247</v>
      </c>
      <c r="O10" s="33">
        <f t="shared" ref="O10:O18" si="7">IF(K10=0,"",(M10-K10)/ABS(K10)+1)</f>
        <v>1.1030263608237225</v>
      </c>
      <c r="P10" s="35">
        <f>+'COL. CONS.$'!P10/Paramet!$G$4*1000</f>
        <v>499461.58449346753</v>
      </c>
      <c r="Q10" s="33">
        <f t="shared" ref="Q10:Q18" si="8">+P10/$P$20</f>
        <v>0.51509100661702723</v>
      </c>
      <c r="R10" s="34">
        <f t="shared" ref="R10:R18" si="9">IF(P10=0,"",(M10-P10)/ABS(P10))</f>
        <v>0.25057151377835518</v>
      </c>
      <c r="T10" s="37"/>
      <c r="U10" s="36" t="s">
        <v>95</v>
      </c>
      <c r="V10" s="19" t="s">
        <v>31</v>
      </c>
      <c r="W10" s="35">
        <f>+'COL. CONS.$'!U10/Paramet!G5*1000</f>
        <v>4217.8444648588575</v>
      </c>
      <c r="X10" s="35">
        <f>'COLOMB$ '!V10/Paramet!$G$3*1000</f>
        <v>-2560.4493175576617</v>
      </c>
      <c r="Y10" s="35">
        <f>'COLOMB$ '!W10/Paramet!$G$4*1000</f>
        <v>22805.097451274363</v>
      </c>
      <c r="Z10" s="35">
        <f>'COLOMB$ '!X10/Paramet!$G$5*1000</f>
        <v>10377.553219239451</v>
      </c>
      <c r="AA10" s="35">
        <f>+'COL. CONS.$'!Y10/Paramet!G3*1000</f>
        <v>11808.781928183525</v>
      </c>
      <c r="AB10" s="36">
        <f>+AA10-Z10</f>
        <v>1431.2287089440742</v>
      </c>
      <c r="AC10" s="37">
        <f>IF(Z10=0,"",(AA10-Z10)/ABS(Z10)+1)</f>
        <v>1.1379158149042927</v>
      </c>
      <c r="AD10" s="35">
        <f>'COLOMB$ '!AB10/Paramet!$G$4*1000</f>
        <v>6876.847290640394</v>
      </c>
      <c r="AE10" s="34">
        <f>IF(Y10=0,"",(AA10-AD10)/ABS(AD10))</f>
        <v>0.7171796070352835</v>
      </c>
      <c r="AF10" s="83"/>
    </row>
    <row r="11" spans="1:36" x14ac:dyDescent="0.2">
      <c r="B11" s="19" t="str">
        <f>+'COLOMB$ '!B11</f>
        <v>Instalaciones</v>
      </c>
      <c r="C11" s="35">
        <f>+'COL. CONS.$'!C11/Paramet!$G$5*1000</f>
        <v>9416.4880405566328</v>
      </c>
      <c r="D11" s="33">
        <f t="shared" si="0"/>
        <v>4.4341336648733173E-2</v>
      </c>
      <c r="E11" s="35">
        <f>+'COL. CONS.$'!E11/Paramet!$G$3*1000</f>
        <v>15326.783022569121</v>
      </c>
      <c r="F11" s="33">
        <f t="shared" si="1"/>
        <v>6.1550957587252243E-2</v>
      </c>
      <c r="G11" s="33">
        <f t="shared" si="2"/>
        <v>1.6276538510490282</v>
      </c>
      <c r="H11" s="35">
        <f>+'COL. CONS.$'!H11/Paramet!$G$4*1000</f>
        <v>8141.2135360890989</v>
      </c>
      <c r="I11" s="33">
        <f t="shared" si="3"/>
        <v>3.788400750362543E-2</v>
      </c>
      <c r="J11" s="34">
        <f t="shared" si="4"/>
        <v>0.88261651099399219</v>
      </c>
      <c r="K11" s="35">
        <f>+'COL. CONS.$'!K11/Paramet!$G$5*1000</f>
        <v>64737.051024690103</v>
      </c>
      <c r="L11" s="33">
        <f t="shared" si="5"/>
        <v>4.8666917331055187E-2</v>
      </c>
      <c r="M11" s="35">
        <f>+'COL. CONS.$'!M11/Paramet!$G$3*1000</f>
        <v>93385.069121807173</v>
      </c>
      <c r="N11" s="33">
        <f t="shared" si="6"/>
        <v>6.2679738648933517E-2</v>
      </c>
      <c r="O11" s="33">
        <f t="shared" si="7"/>
        <v>1.4425289327156867</v>
      </c>
      <c r="P11" s="35">
        <f>+'COL. CONS.$'!P11/Paramet!$G$4*1000</f>
        <v>53806.17027200685</v>
      </c>
      <c r="Q11" s="33">
        <f t="shared" si="8"/>
        <v>5.548990206268338E-2</v>
      </c>
      <c r="R11" s="34">
        <f t="shared" si="9"/>
        <v>0.73558290154673223</v>
      </c>
      <c r="T11" s="37">
        <f>+E22/C22</f>
        <v>1.6098216322341978</v>
      </c>
      <c r="U11" s="36" t="s">
        <v>96</v>
      </c>
      <c r="V11" s="19" t="s">
        <v>32</v>
      </c>
      <c r="W11" s="35">
        <f>'COLOMB$ '!U11/Paramet!$G$5*1000</f>
        <v>267875.88037154236</v>
      </c>
      <c r="X11" s="35">
        <f>'COLOMB$ '!V11/Paramet!$G$3*1000</f>
        <v>216515.70406935926</v>
      </c>
      <c r="Y11" s="35">
        <f>'COLOMB$ '!W11/Paramet!$G$4*1000</f>
        <v>270125.87044549151</v>
      </c>
      <c r="Z11" s="35">
        <f>'COLOMB$ '!X11/Paramet!$G$5*1000</f>
        <v>1575119.5944336702</v>
      </c>
      <c r="AA11" s="35">
        <f>'COLOMB$ '!Y11/Paramet!$G$3*1000</f>
        <v>1687184.4979377026</v>
      </c>
      <c r="AB11" s="36">
        <f>+AA11-Z11</f>
        <v>112064.90350403241</v>
      </c>
      <c r="AC11" s="37">
        <f>IF(Z11=0,"",(AA11-Z11)/ABS(Z11)+1)</f>
        <v>1.0711469172880965</v>
      </c>
      <c r="AD11" s="35">
        <f>'COLOMB$ '!AB11/Paramet!$G$4*1000</f>
        <v>1436588.6136217604</v>
      </c>
      <c r="AE11" s="34">
        <f>IF(AD11=0,"",(AA11-AD11)/ABS(AD11))</f>
        <v>0.1744381668765764</v>
      </c>
      <c r="AF11" s="83"/>
    </row>
    <row r="12" spans="1:36" x14ac:dyDescent="0.2">
      <c r="B12" s="19" t="str">
        <f>+'COLOMB$ '!B12</f>
        <v>Voice Experience (Publihold)</v>
      </c>
      <c r="C12" s="35">
        <f>+'COL. CONS.$'!C12/Paramet!$G$5*1000</f>
        <v>17999.841221235529</v>
      </c>
      <c r="D12" s="33">
        <f t="shared" si="0"/>
        <v>8.4759521360510223E-2</v>
      </c>
      <c r="E12" s="35">
        <f>+'COL. CONS.$'!E12/Paramet!$G$3*1000</f>
        <v>15454.749994837803</v>
      </c>
      <c r="F12" s="33">
        <f t="shared" si="1"/>
        <v>6.2064861233639114E-2</v>
      </c>
      <c r="G12" s="33">
        <f t="shared" si="2"/>
        <v>0.85860479572480208</v>
      </c>
      <c r="H12" s="35">
        <f>+'COL. CONS.$'!H12/Paramet!$G$4*1000</f>
        <v>18604.101563503962</v>
      </c>
      <c r="I12" s="33">
        <f t="shared" si="3"/>
        <v>8.6571605093724982E-2</v>
      </c>
      <c r="J12" s="34">
        <f t="shared" si="4"/>
        <v>-0.16928264758800851</v>
      </c>
      <c r="K12" s="35">
        <f>+'COL. CONS.$'!K12/Paramet!$G$5*1000</f>
        <v>104143.2184455559</v>
      </c>
      <c r="L12" s="33">
        <f t="shared" si="5"/>
        <v>7.8291014534271536E-2</v>
      </c>
      <c r="M12" s="35">
        <f>+'COL. CONS.$'!M12/Paramet!$G$3*1000</f>
        <v>112329.08484585681</v>
      </c>
      <c r="N12" s="33">
        <f t="shared" si="6"/>
        <v>7.53948971395903E-2</v>
      </c>
      <c r="O12" s="33">
        <f t="shared" si="7"/>
        <v>1.0786020109852887</v>
      </c>
      <c r="P12" s="35">
        <f>+'COL. CONS.$'!P12/Paramet!$G$4*1000</f>
        <v>117147.08044549153</v>
      </c>
      <c r="Q12" s="33">
        <f t="shared" si="8"/>
        <v>0.12081291026638168</v>
      </c>
      <c r="R12" s="34">
        <f t="shared" si="9"/>
        <v>-4.1127747967022857E-2</v>
      </c>
      <c r="T12" s="37">
        <f>+E24/C24</f>
        <v>1.120598923797631</v>
      </c>
      <c r="U12" s="89">
        <v>1208</v>
      </c>
      <c r="AE12" s="2"/>
      <c r="AF12" s="83"/>
    </row>
    <row r="13" spans="1:36" x14ac:dyDescent="0.2">
      <c r="B13" s="19" t="str">
        <f>+'COLOMB$ '!B13</f>
        <v>Service &amp; Equipment Experience</v>
      </c>
      <c r="C13" s="35">
        <f>+'COL. CONS.$'!C13/Paramet!$G$5*1000</f>
        <v>21138.670568087739</v>
      </c>
      <c r="D13" s="33">
        <f t="shared" si="0"/>
        <v>9.9539966910087943E-2</v>
      </c>
      <c r="E13" s="35">
        <f>+'COL. CONS.$'!E13/Paramet!$G$3*1000</f>
        <v>22891.514898098249</v>
      </c>
      <c r="F13" s="33">
        <f t="shared" si="1"/>
        <v>9.1930228315101323E-2</v>
      </c>
      <c r="G13" s="33">
        <f t="shared" si="2"/>
        <v>1.0829212189273962</v>
      </c>
      <c r="H13" s="35">
        <f>+'COL. CONS.$'!H13/Paramet!$G$4*1000</f>
        <v>26574.189762261729</v>
      </c>
      <c r="I13" s="33">
        <f t="shared" si="3"/>
        <v>0.12365930458567836</v>
      </c>
      <c r="J13" s="34">
        <f t="shared" si="4"/>
        <v>-0.13858088984497596</v>
      </c>
      <c r="K13" s="35">
        <f>+'COL. CONS.$'!K13/Paramet!$G$5*1000</f>
        <v>145275.31103625827</v>
      </c>
      <c r="L13" s="33">
        <f t="shared" si="5"/>
        <v>0.10921259835806299</v>
      </c>
      <c r="M13" s="35">
        <f>+'COL. CONS.$'!M13/Paramet!$G$3*1000</f>
        <v>170182.2715986289</v>
      </c>
      <c r="N13" s="33">
        <f t="shared" si="6"/>
        <v>0.11422575800174611</v>
      </c>
      <c r="O13" s="33">
        <f t="shared" si="7"/>
        <v>1.1714466166667115</v>
      </c>
      <c r="P13" s="35">
        <f>+'COL. CONS.$'!P13/Paramet!$G$4*1000</f>
        <v>111374.94752623688</v>
      </c>
      <c r="Q13" s="33">
        <f t="shared" si="8"/>
        <v>0.11486015264094503</v>
      </c>
      <c r="R13" s="34">
        <f t="shared" si="9"/>
        <v>0.52801213718676387</v>
      </c>
      <c r="T13" s="37">
        <f>+E26/C26</f>
        <v>1.1108913663114732</v>
      </c>
      <c r="U13" s="36" t="s">
        <v>97</v>
      </c>
      <c r="V13" s="19" t="s">
        <v>33</v>
      </c>
      <c r="W13" s="35">
        <f>'COLOMB$ '!U13/Paramet!$G$5*1000</f>
        <v>32061.96908350629</v>
      </c>
      <c r="X13" s="35">
        <f>'COLOMB$ '!V13/Paramet!$G$3*1000</f>
        <v>22034.855923103922</v>
      </c>
      <c r="Y13" s="35">
        <f>'COLOMB$ '!W13/Paramet!$G$4*1000</f>
        <v>34184.944956093379</v>
      </c>
      <c r="Z13" s="35">
        <f>'COLOMB$ '!X13/Paramet!$G$5*1000</f>
        <v>217256.30294988264</v>
      </c>
      <c r="AA13" s="35">
        <f>'COLOMB$ '!Y13/Paramet!$G$3*1000</f>
        <v>283362.77178963018</v>
      </c>
      <c r="AB13" s="36">
        <f>+Z13-AA13</f>
        <v>-66106.46883974754</v>
      </c>
      <c r="AC13" s="37">
        <f>IF(Z13=0,"",(AA13-Z13)/ABS(Z13)+1)</f>
        <v>1.304278715701966</v>
      </c>
      <c r="AD13" s="35">
        <f>'COLOMB$ '!AB13/Paramet!$G$4*1000</f>
        <v>175525.08952666525</v>
      </c>
      <c r="AE13" s="34">
        <f>IF(AD13=0,"",(AA13-AD13)/ABS(AD13))</f>
        <v>0.61437189722431418</v>
      </c>
      <c r="AF13" s="83"/>
      <c r="AG13" s="40"/>
    </row>
    <row r="14" spans="1:36" x14ac:dyDescent="0.2">
      <c r="B14" s="19" t="str">
        <f>+'COLOMB$ '!B14</f>
        <v>POP Satelital</v>
      </c>
      <c r="C14" s="35">
        <f>+'COL. CONS.$'!C14/Paramet!$G$5*1000</f>
        <v>0</v>
      </c>
      <c r="D14" s="33">
        <f t="shared" si="0"/>
        <v>0</v>
      </c>
      <c r="E14" s="35">
        <f>+'COL. CONS.$'!E14/Paramet!$G$3*1000</f>
        <v>0</v>
      </c>
      <c r="F14" s="33">
        <f t="shared" si="1"/>
        <v>0</v>
      </c>
      <c r="G14" s="33" t="str">
        <f t="shared" si="2"/>
        <v/>
      </c>
      <c r="H14" s="35">
        <f>+'COL. CONS.$'!H14/Paramet!$G$4*1000</f>
        <v>0</v>
      </c>
      <c r="I14" s="33">
        <f t="shared" si="3"/>
        <v>0</v>
      </c>
      <c r="J14" s="34" t="str">
        <f t="shared" si="4"/>
        <v/>
      </c>
      <c r="K14" s="35">
        <f>+'COL. CONS.$'!K14/Paramet!$G$5*1000</f>
        <v>0</v>
      </c>
      <c r="L14" s="33">
        <f t="shared" si="5"/>
        <v>0</v>
      </c>
      <c r="M14" s="35">
        <f>+'COL. CONS.$'!M14/Paramet!$G$3*1000</f>
        <v>0</v>
      </c>
      <c r="N14" s="33">
        <f t="shared" si="6"/>
        <v>0</v>
      </c>
      <c r="O14" s="33" t="str">
        <f t="shared" si="7"/>
        <v/>
      </c>
      <c r="P14" s="35">
        <f>+'COL. CONS.$'!P14/Paramet!$G$4*1000</f>
        <v>0</v>
      </c>
      <c r="Q14" s="33">
        <f t="shared" si="8"/>
        <v>0</v>
      </c>
      <c r="R14" s="34" t="str">
        <f t="shared" si="9"/>
        <v/>
      </c>
      <c r="T14" s="37"/>
      <c r="U14" s="36"/>
      <c r="V14" s="19" t="s">
        <v>34</v>
      </c>
      <c r="W14" s="35">
        <f>'COLOMB$ '!U14/Paramet!$G$5*1000</f>
        <v>2751.6359883411023</v>
      </c>
      <c r="X14" s="35">
        <f>'COLOMB$ '!V14/Paramet!$G$3*1000</f>
        <v>3524.2974250965331</v>
      </c>
      <c r="Y14" s="35">
        <f>'COLOMB$ '!W14/Paramet!$G$4*1000</f>
        <v>2371.8288712786466</v>
      </c>
      <c r="Z14" s="35">
        <f>'COLOMB$ '!X14/Paramet!$G$5*1000</f>
        <v>16414.548671361983</v>
      </c>
      <c r="AA14" s="35">
        <f>'COLOMB$ '!Y14/Paramet!$G$3*1000</f>
        <v>20566.199229800324</v>
      </c>
      <c r="AB14" s="36">
        <f>+Z14-AA14</f>
        <v>-4151.6505584383412</v>
      </c>
      <c r="AC14" s="37">
        <f>IF(Z14=0,"",(AA14-Z14)/ABS(Z14)+1)</f>
        <v>1.2529250509142305</v>
      </c>
      <c r="AD14" s="35">
        <f>'COLOMB$ '!AB14/Paramet!$G$4*1000</f>
        <v>12073.135146712359</v>
      </c>
      <c r="AE14" s="34">
        <f>IF(AD14=0,"",(AA14-AD14)/ABS(AD14))</f>
        <v>0.70346798738525806</v>
      </c>
      <c r="AF14" s="83"/>
    </row>
    <row r="15" spans="1:36" x14ac:dyDescent="0.2">
      <c r="B15" s="19" t="str">
        <f>+'COLOMB$ '!B15</f>
        <v>Voice Experience (Audicóm)</v>
      </c>
      <c r="C15" s="35">
        <f>+'COL. CONS.$'!C15/Paramet!$G$5*1000</f>
        <v>31452.25862792465</v>
      </c>
      <c r="D15" s="33">
        <f t="shared" si="0"/>
        <v>0.14810566128021005</v>
      </c>
      <c r="E15" s="35">
        <f>+'COL. CONS.$'!E15/Paramet!$G$3*1000</f>
        <v>33427.453333746307</v>
      </c>
      <c r="F15" s="33">
        <f t="shared" si="1"/>
        <v>0.13424159260071455</v>
      </c>
      <c r="G15" s="33">
        <f t="shared" si="2"/>
        <v>1.062799773116071</v>
      </c>
      <c r="H15" s="35">
        <f>+'COL. CONS.$'!H15/Paramet!$G$4*1000</f>
        <v>26974.090383379738</v>
      </c>
      <c r="I15" s="33">
        <f t="shared" si="3"/>
        <v>0.12552018663526246</v>
      </c>
      <c r="J15" s="34">
        <f t="shared" si="4"/>
        <v>0.23924302390351782</v>
      </c>
      <c r="K15" s="35">
        <f>+'COL. CONS.$'!K15/Paramet!$G$5*1000</f>
        <v>193417.25925169836</v>
      </c>
      <c r="L15" s="33">
        <f t="shared" si="5"/>
        <v>0.14540393202049989</v>
      </c>
      <c r="M15" s="35">
        <f>+'COL. CONS.$'!M15/Paramet!$G$3*1000</f>
        <v>209241.39874868366</v>
      </c>
      <c r="N15" s="33">
        <f t="shared" si="6"/>
        <v>0.1404421104084414</v>
      </c>
      <c r="O15" s="33">
        <f t="shared" si="7"/>
        <v>1.0818134822001224</v>
      </c>
      <c r="P15" s="35">
        <f>+'COL. CONS.$'!P15/Paramet!$G$4*1000</f>
        <v>171540.62368815593</v>
      </c>
      <c r="Q15" s="33">
        <f t="shared" si="8"/>
        <v>0.17690856569250435</v>
      </c>
      <c r="R15" s="34">
        <f t="shared" si="9"/>
        <v>0.21977753286629087</v>
      </c>
      <c r="T15" s="37"/>
      <c r="U15" s="89"/>
      <c r="V15" s="19" t="s">
        <v>35</v>
      </c>
      <c r="W15" s="35">
        <f>'COLOMB$ '!U15/Paramet!$G$5*1000</f>
        <v>119232.64491397595</v>
      </c>
      <c r="X15" s="35">
        <f>'COLOMB$ '!V15/Paramet!$G$3*1000</f>
        <v>142482.77994590017</v>
      </c>
      <c r="Y15" s="35">
        <f>'COLOMB$ '!W15/Paramet!$G$4*1000</f>
        <v>106010.3448275862</v>
      </c>
      <c r="Z15" s="35">
        <f>'COLOMB$ '!X15/Paramet!$G$5*1000</f>
        <v>635115.05789754237</v>
      </c>
      <c r="AA15" s="35">
        <f>'COLOMB$ '!Y15/Paramet!$G$3*1000</f>
        <v>723194.37501290545</v>
      </c>
      <c r="AB15" s="36">
        <f>+Z15-AA15</f>
        <v>-88079.317115363083</v>
      </c>
      <c r="AC15" s="37">
        <f>IF(Z15=0,"",(AA15-Z15)/ABS(Z15)+1)</f>
        <v>1.1386824576430876</v>
      </c>
      <c r="AD15" s="35">
        <f>'COLOMB$ '!AB15/Paramet!$G$4*1000</f>
        <v>509528.61619190406</v>
      </c>
      <c r="AE15" s="34">
        <f>IF(AD15=0,"",(AA15-AD15)/ABS(AD15))</f>
        <v>0.41934005673300268</v>
      </c>
      <c r="AF15" s="83"/>
    </row>
    <row r="16" spans="1:36" x14ac:dyDescent="0.2">
      <c r="B16" s="19" t="str">
        <f>+'COLOMB$ '!B16</f>
        <v>Fact. Servicio Satelital</v>
      </c>
      <c r="C16" s="35">
        <f>+'COL. CONS.$'!C16/Paramet!$G$3*1000</f>
        <v>0</v>
      </c>
      <c r="D16" s="33"/>
      <c r="E16" s="35">
        <f>+'COL. CONS.$'!E16/Paramet!$G$3*1000</f>
        <v>0</v>
      </c>
      <c r="F16" s="33">
        <f t="shared" si="1"/>
        <v>0</v>
      </c>
      <c r="G16" s="33" t="str">
        <f t="shared" si="2"/>
        <v/>
      </c>
      <c r="H16" s="35">
        <f>+'COL. CONS.$'!H16/Paramet!$G$4*1000</f>
        <v>0</v>
      </c>
      <c r="I16" s="33">
        <f t="shared" si="3"/>
        <v>0</v>
      </c>
      <c r="J16" s="34" t="str">
        <f t="shared" si="4"/>
        <v/>
      </c>
      <c r="K16" s="35">
        <f>+'COL. CONS.$'!K16/Paramet!$G$3*1000</f>
        <v>0</v>
      </c>
      <c r="L16" s="33">
        <f t="shared" si="5"/>
        <v>0</v>
      </c>
      <c r="M16" s="35">
        <f>+'COL. CONS.$'!M16/Paramet!$G$3*1000</f>
        <v>0</v>
      </c>
      <c r="N16" s="33">
        <f t="shared" si="6"/>
        <v>0</v>
      </c>
      <c r="O16" s="33" t="str">
        <f t="shared" si="7"/>
        <v/>
      </c>
      <c r="P16" s="35">
        <f>+'COL. CONS.$'!P16/Paramet!$G$4*1000</f>
        <v>0</v>
      </c>
      <c r="Q16" s="33">
        <f t="shared" si="8"/>
        <v>0</v>
      </c>
      <c r="R16" s="34" t="str">
        <f t="shared" si="9"/>
        <v/>
      </c>
      <c r="V16" s="19" t="s">
        <v>36</v>
      </c>
      <c r="W16" s="35">
        <f>'COLOMB$ '!U16/Paramet!$G$5*1000</f>
        <v>66653.737538702335</v>
      </c>
      <c r="X16" s="35">
        <f>'COLOMB$ '!V16/Paramet!$G$3*1000</f>
        <v>55168.9255998472</v>
      </c>
      <c r="Y16" s="35">
        <f>'COLOMB$ '!W16/Paramet!$G$4*1000</f>
        <v>69271.111629899344</v>
      </c>
      <c r="Z16" s="35">
        <f>'COLOMB$ '!X16/Paramet!$G$5*1000</f>
        <v>417616.05026482034</v>
      </c>
      <c r="AA16" s="35">
        <f>'COLOMB$ '!Y16/Paramet!$G$3*1000</f>
        <v>402820.88223739906</v>
      </c>
      <c r="AB16" s="36">
        <f>+Z16-AA16</f>
        <v>14795.168027421285</v>
      </c>
      <c r="AC16" s="37">
        <f>IF(Z16=0,"",(AA16-Z16)/ABS(Z16)+1)</f>
        <v>0.96457231943542565</v>
      </c>
      <c r="AD16" s="35">
        <f>'COLOMB$ '!AB16/Paramet!$G$4*1000</f>
        <v>334544.92573570361</v>
      </c>
      <c r="AE16" s="34">
        <f>IF(AD16=0,"",(AA16-AD16)/ABS(AD16))</f>
        <v>0.20408606213813762</v>
      </c>
      <c r="AF16" s="83"/>
    </row>
    <row r="17" spans="2:33" x14ac:dyDescent="0.2">
      <c r="B17" s="19" t="str">
        <f>+'COLOMB$ '!B17</f>
        <v>Visual Experience</v>
      </c>
      <c r="C17" s="35">
        <f>+'COL. CONS.$'!C17/Paramet!$G$5*1000</f>
        <v>3479.5232100529643</v>
      </c>
      <c r="D17" s="33"/>
      <c r="E17" s="35">
        <f>+'COL. CONS.$'!E17/Paramet!$G$3*1000</f>
        <v>2232.299345433521</v>
      </c>
      <c r="F17" s="33">
        <f t="shared" si="1"/>
        <v>8.9647098240057278E-3</v>
      </c>
      <c r="G17" s="33">
        <f t="shared" si="2"/>
        <v>0.64155322746059262</v>
      </c>
      <c r="H17" s="35">
        <f>+'COL. CONS.$'!H17/Paramet!$G$4*1000</f>
        <v>3270.2450203469689</v>
      </c>
      <c r="I17" s="33">
        <f t="shared" si="3"/>
        <v>1.5217631418255727E-2</v>
      </c>
      <c r="J17" s="34">
        <f t="shared" si="4"/>
        <v>-0.31739079746487103</v>
      </c>
      <c r="K17" s="35">
        <f>+'COL. CONS.$'!K17/Paramet!$G$5*1000</f>
        <v>23766.005466526036</v>
      </c>
      <c r="L17" s="33">
        <f t="shared" si="5"/>
        <v>1.7866402701718756E-2</v>
      </c>
      <c r="M17" s="35">
        <f>+'COL. CONS.$'!M17/Paramet!$G$3*1000</f>
        <v>24191.074046542362</v>
      </c>
      <c r="N17" s="33">
        <f t="shared" si="6"/>
        <v>1.6236966071058904E-2</v>
      </c>
      <c r="O17" s="33">
        <f t="shared" si="7"/>
        <v>1.0178855710781951</v>
      </c>
      <c r="P17" s="35">
        <f>+'COL. CONS.$'!P17/Paramet!$G$4*1000</f>
        <v>16326.563075605054</v>
      </c>
      <c r="Q17" s="33">
        <f t="shared" si="8"/>
        <v>1.6837462720458305E-2</v>
      </c>
      <c r="R17" s="34">
        <f t="shared" si="9"/>
        <v>0.48170033916619975</v>
      </c>
      <c r="V17" s="19" t="s">
        <v>37</v>
      </c>
      <c r="W17" s="35">
        <f>'COLOMB$ '!U17/Paramet!$G$5*1000</f>
        <v>220699.98752452564</v>
      </c>
      <c r="X17" s="35">
        <f>'COLOMB$ '!V17/Paramet!$G$3*1000</f>
        <v>223210.85889394782</v>
      </c>
      <c r="Y17" s="35">
        <f>'COLOMB$ '!W17/Paramet!$G$4*1000</f>
        <v>211838.23028485759</v>
      </c>
      <c r="Z17" s="35">
        <f>'COLOMB$ '!X17/Paramet!$G$5*1000</f>
        <v>1286401.9597836072</v>
      </c>
      <c r="AA17" s="35">
        <f>'COLOMB$ '!Y17/Paramet!$G$3*1000</f>
        <v>1429944.2282697351</v>
      </c>
      <c r="AB17" s="36">
        <f>+AA17-Z17</f>
        <v>143542.26848612796</v>
      </c>
      <c r="AC17" s="37">
        <f>IF(Z17=0,"",(AA17-Z17)/ABS(Z17)+1)</f>
        <v>1.1115843048857559</v>
      </c>
      <c r="AD17" s="35">
        <f>'COLOMB$ '!AB17/Paramet!$G$4*1000</f>
        <v>1031671.7666009852</v>
      </c>
      <c r="AE17" s="34">
        <f>IF(AD17=0,"",(AA17-AD17)/ABS(AD17))</f>
        <v>0.38604571198155885</v>
      </c>
      <c r="AF17" s="83"/>
    </row>
    <row r="18" spans="2:33" x14ac:dyDescent="0.2">
      <c r="B18" s="19" t="str">
        <f>+'COL. CONS.$'!B18</f>
        <v>Olfa Experience</v>
      </c>
      <c r="C18" s="35">
        <f>+'COL. CONS.$'!C18/Paramet!$G$5*1000</f>
        <v>37649.847458972697</v>
      </c>
      <c r="D18" s="33"/>
      <c r="E18" s="35">
        <f>+'COL. CONS.$'!E18/Paramet!$G$3*1000</f>
        <v>56916.672861302111</v>
      </c>
      <c r="F18" s="33">
        <f t="shared" si="1"/>
        <v>0.22857214799314668</v>
      </c>
      <c r="G18" s="33">
        <f t="shared" si="2"/>
        <v>1.5117371437779292</v>
      </c>
      <c r="H18" s="35">
        <f>+'COL. CONS.$'!H18/Paramet!$G$4*1000</f>
        <v>33323.379310344826</v>
      </c>
      <c r="I18" s="33">
        <f t="shared" si="3"/>
        <v>0.15506572162037979</v>
      </c>
      <c r="J18" s="41">
        <f t="shared" si="4"/>
        <v>0.70801023303278976</v>
      </c>
      <c r="K18" s="35">
        <f>+'COL. CONS.$'!K18/Paramet!$G$5*1000</f>
        <v>232596.14621255943</v>
      </c>
      <c r="L18" s="33">
        <f t="shared" si="5"/>
        <v>0.17485716819154171</v>
      </c>
      <c r="M18" s="35">
        <f>+'COL. CONS.$'!M18/Paramet!$G$3*1000</f>
        <v>255935.16358999774</v>
      </c>
      <c r="N18" s="33">
        <f t="shared" si="6"/>
        <v>0.17178280549290725</v>
      </c>
      <c r="O18" s="33">
        <f t="shared" si="7"/>
        <v>1.1003413760609335</v>
      </c>
      <c r="P18" s="35">
        <f>+'COL. CONS.$'!P18/Paramet!$G$4*1000</f>
        <v>169460.82715784965</v>
      </c>
      <c r="Q18" s="33">
        <f t="shared" si="8"/>
        <v>0.17476368704394818</v>
      </c>
      <c r="R18" s="41">
        <f t="shared" si="9"/>
        <v>0.51029100873913968</v>
      </c>
      <c r="AE18" s="2"/>
      <c r="AF18" s="83"/>
    </row>
    <row r="19" spans="2:33" x14ac:dyDescent="0.2">
      <c r="B19" s="19" t="str">
        <f>+'COLOMB$ '!B19</f>
        <v>Locutor virtual</v>
      </c>
      <c r="C19" s="35"/>
      <c r="D19" s="33"/>
      <c r="E19" s="35"/>
      <c r="F19" s="33"/>
      <c r="G19" s="33"/>
      <c r="H19" s="35">
        <f>+'COL. CONS.$'!H19/Paramet!$G$4*1000</f>
        <v>12311.033840222744</v>
      </c>
      <c r="I19" s="33"/>
      <c r="J19" s="34"/>
      <c r="K19" s="35"/>
      <c r="L19" s="33"/>
      <c r="M19" s="35"/>
      <c r="N19" s="33"/>
      <c r="O19" s="33"/>
      <c r="P19" s="35"/>
      <c r="Q19" s="33"/>
      <c r="R19" s="34"/>
      <c r="T19" s="37">
        <f>+E27/C27</f>
        <v>1.1299482024470093</v>
      </c>
      <c r="U19" s="36" t="s">
        <v>98</v>
      </c>
      <c r="V19" s="19" t="s">
        <v>38</v>
      </c>
      <c r="W19" s="35">
        <f>+W11-W17</f>
        <v>47175.892847016716</v>
      </c>
      <c r="X19" s="35">
        <f>+X11-X17</f>
        <v>-6695.1548245885642</v>
      </c>
      <c r="Y19" s="35">
        <f>+Y11-Y17</f>
        <v>58287.64016063392</v>
      </c>
      <c r="Z19" s="35">
        <f>+Z11-Z17</f>
        <v>288717.634650063</v>
      </c>
      <c r="AA19" s="35">
        <f>+AA11-AA17</f>
        <v>257240.26966796746</v>
      </c>
      <c r="AB19" s="36">
        <f>+AA19-Z19</f>
        <v>-31477.364982095547</v>
      </c>
      <c r="AC19" s="37">
        <f>IF(Z19=0,"",(AA19-Z19)/ABS(Z19)+1)</f>
        <v>0.8909752602391352</v>
      </c>
      <c r="AD19" s="35">
        <f>+AD11-AD17</f>
        <v>404916.8470207752</v>
      </c>
      <c r="AE19" s="34">
        <f>IF(AD19=0,"",(AA19-AD19)/ABS(AD19))</f>
        <v>-0.36470840479806177</v>
      </c>
      <c r="AF19" s="83"/>
    </row>
    <row r="20" spans="2:33" x14ac:dyDescent="0.2">
      <c r="B20" s="42" t="s">
        <v>39</v>
      </c>
      <c r="C20" s="43">
        <f>SUM(C10:C19)</f>
        <v>212363.64873600763</v>
      </c>
      <c r="D20" s="44">
        <f>+C20/$C$20</f>
        <v>1</v>
      </c>
      <c r="E20" s="43">
        <f>SUM(E10:E19)</f>
        <v>249009.66001775797</v>
      </c>
      <c r="F20" s="44">
        <f>+E20/$E$20</f>
        <v>1</v>
      </c>
      <c r="G20" s="44">
        <f>IF(C20=0,"",(E20-C20)/ABS(C20)+1)</f>
        <v>1.1725625430711333</v>
      </c>
      <c r="H20" s="43">
        <f>+'COL. CONS.$'!H20/Paramet!$G$4*1000</f>
        <v>214898.42475904903</v>
      </c>
      <c r="I20" s="44">
        <f>+H20/$H$20</f>
        <v>1</v>
      </c>
      <c r="J20" s="45">
        <f>IF(H20=0,"",(E20-H20)/ABS(H20))</f>
        <v>0.1587318999520613</v>
      </c>
      <c r="K20" s="43">
        <f>SUM(K10:K19)</f>
        <v>1330206.52580722</v>
      </c>
      <c r="L20" s="44">
        <f>+K20/$K$20</f>
        <v>1</v>
      </c>
      <c r="M20" s="43">
        <f>SUM(M10:M19)</f>
        <v>1489876.4917456482</v>
      </c>
      <c r="N20" s="44">
        <f>+M20/$M$20</f>
        <v>1</v>
      </c>
      <c r="O20" s="44">
        <f>IF(K20=0,"",(M20-K20)/ABS(K20)+1)</f>
        <v>1.1200339667868751</v>
      </c>
      <c r="P20" s="43">
        <f>SUM(P10:P17)</f>
        <v>969656.96950096381</v>
      </c>
      <c r="Q20" s="44">
        <f>+P20/$P$20</f>
        <v>1</v>
      </c>
      <c r="R20" s="45">
        <f>IF(P20=0,"",(M20-P20)/ABS(P20))</f>
        <v>0.53649851298693452</v>
      </c>
      <c r="T20" s="37">
        <f>+E28/C28</f>
        <v>1.1225668478813433</v>
      </c>
      <c r="U20" s="36"/>
      <c r="V20" s="19"/>
      <c r="W20" s="35"/>
      <c r="X20" s="35"/>
      <c r="Y20" s="35"/>
      <c r="Z20" s="35"/>
      <c r="AA20" s="35"/>
      <c r="AB20" s="36"/>
      <c r="AC20" s="37"/>
      <c r="AD20" s="35"/>
      <c r="AE20" s="34" t="str">
        <f>IF(AD20=0,"",(AA20-AD20)/ABS(AD20))</f>
        <v/>
      </c>
      <c r="AF20" s="83"/>
      <c r="AG20" s="40"/>
    </row>
    <row r="21" spans="2:33" x14ac:dyDescent="0.2">
      <c r="J21" s="34"/>
      <c r="R21" s="34"/>
      <c r="T21" s="37">
        <f>+E30/C30</f>
        <v>1.0610749975191311</v>
      </c>
      <c r="U21" s="36"/>
      <c r="V21" s="19" t="s">
        <v>40</v>
      </c>
      <c r="W21" s="35">
        <f>+'COL. CONS.$'!U21/Paramet!G5*1000</f>
        <v>51393.73731187552</v>
      </c>
      <c r="X21" s="35">
        <f>+X10+X19</f>
        <v>-9255.6041421462251</v>
      </c>
      <c r="Y21" s="35">
        <f>'COLOMB$ '!W21/Paramet!$G$4*1000</f>
        <v>81092.737611908306</v>
      </c>
      <c r="Z21" s="35">
        <f>'COLOMB$ '!X21/Paramet!$G$5*1000</f>
        <v>299095.18786930246</v>
      </c>
      <c r="AA21" s="35">
        <f>+'COL. CONS.$'!Y21/Paramet!G3*1000</f>
        <v>269049.05159615108</v>
      </c>
      <c r="AB21" s="36">
        <f>+AA21-Z21</f>
        <v>-30046.13627315138</v>
      </c>
      <c r="AC21" s="37">
        <f>IF(Z21=0,"",(AA21-Z21)/ABS(Z21)+1)</f>
        <v>0.8995432307447192</v>
      </c>
      <c r="AD21" s="35">
        <f>'COLOMB$ '!AB21/Paramet!$G$4*1000</f>
        <v>411793.6943114156</v>
      </c>
      <c r="AE21" s="34">
        <f>IF(AD21=0,"",(AA21-AD21)/ABS(AD21))</f>
        <v>-0.34664115717934002</v>
      </c>
      <c r="AF21" s="83"/>
      <c r="AG21" s="40"/>
    </row>
    <row r="22" spans="2:33" x14ac:dyDescent="0.2">
      <c r="B22" s="19" t="s">
        <v>41</v>
      </c>
      <c r="C22" s="35">
        <f>+'COL. CONS.$'!C22/Paramet!$G$5*1000</f>
        <v>22556.564934844002</v>
      </c>
      <c r="D22" s="33">
        <f>+C22/$C$20</f>
        <v>0.1062166951316814</v>
      </c>
      <c r="E22" s="35">
        <f>+'COL. CONS.$'!E22/Paramet!$G$3*1000</f>
        <v>36312.046181007245</v>
      </c>
      <c r="F22" s="33">
        <f>+E22/$E$20</f>
        <v>0.14582585341636012</v>
      </c>
      <c r="G22" s="33">
        <f>IF(C22=0,"",(E22-C22)/ABS(C22)+1)</f>
        <v>1.6098216322341978</v>
      </c>
      <c r="H22" s="35">
        <f>+'COL. CONS.$'!H22/Paramet!$G$4*1000</f>
        <v>27093.133191261513</v>
      </c>
      <c r="I22" s="33">
        <f>+H22/$H$20</f>
        <v>0.12607413582318808</v>
      </c>
      <c r="J22" s="34">
        <f>IF(H22=0,"",(E22-H22)/ABS(H22))</f>
        <v>0.34026751076243755</v>
      </c>
      <c r="K22" s="35">
        <f>+'COL. CONS.$'!K22/Paramet!$G$5*1000</f>
        <v>140482.00696358297</v>
      </c>
      <c r="L22" s="33">
        <f>+K22/$K$20</f>
        <v>0.10560916988310003</v>
      </c>
      <c r="M22" s="35">
        <f>+'COL. CONS.$'!M22/Paramet!$G$3*1000</f>
        <v>186557.48233238349</v>
      </c>
      <c r="N22" s="33">
        <f>+M22/$M$20</f>
        <v>0.12521674337837166</v>
      </c>
      <c r="O22" s="33">
        <f>IF(K22=0,"",(M22-K22)/ABS(K22)+1)</f>
        <v>1.3279813291729567</v>
      </c>
      <c r="P22" s="35">
        <f>+'COL. CONS.$'!P22/Paramet!$G$4*1000</f>
        <v>105291.39021203683</v>
      </c>
      <c r="Q22" s="33">
        <f>+P22/$P$20</f>
        <v>0.10858622535990772</v>
      </c>
      <c r="R22" s="34">
        <f>IF(P22=0,"",(M22-P22)/ABS(P22))</f>
        <v>0.77182086737284228</v>
      </c>
      <c r="T22" s="37">
        <f>+E32/C32</f>
        <v>1.0540176950647053</v>
      </c>
      <c r="U22" s="36"/>
      <c r="AE22" s="34"/>
      <c r="AF22" s="83"/>
      <c r="AG22" s="40"/>
    </row>
    <row r="23" spans="2:33" x14ac:dyDescent="0.2">
      <c r="J23" s="34"/>
      <c r="R23" s="34"/>
      <c r="T23" s="37">
        <f>+E33/C33</f>
        <v>1.0555894119660409</v>
      </c>
      <c r="U23" s="89">
        <v>2101</v>
      </c>
      <c r="V23" s="19" t="s">
        <v>42</v>
      </c>
      <c r="W23" s="35">
        <f>'COLOMB$ '!U23/Paramet!$G$5*1000</f>
        <v>0</v>
      </c>
      <c r="X23" s="35">
        <f>'COLOMB$ '!V23/Paramet!$G$3*1000</f>
        <v>0</v>
      </c>
      <c r="Y23" s="35">
        <f>'COLOMB$ '!W23/Paramet!$G$4*1000</f>
        <v>57.754122938530735</v>
      </c>
      <c r="Z23" s="35">
        <f>'COLOMB$ '!X23/Paramet!$G$5*1000</f>
        <v>18410.170913998616</v>
      </c>
      <c r="AA23" s="35">
        <f>'COLOMB$ '!Y23/Paramet!$G$3*1000</f>
        <v>56269.043638625611</v>
      </c>
      <c r="AB23" s="36">
        <f>+AA23-Z23</f>
        <v>37858.872724626999</v>
      </c>
      <c r="AC23" s="37">
        <f>IF(Z23=0,"",(AA23-Z23)/ABS(Z23)+1)</f>
        <v>3.0564107145708297</v>
      </c>
      <c r="AD23" s="35">
        <f>'COLOMB$ '!AB23/Paramet!$G$4*1000</f>
        <v>8049.7300428357266</v>
      </c>
      <c r="AE23" s="34">
        <f>IF(AD23=0,"",(AA23-AD23)/ABS(AD23))</f>
        <v>5.9901777251157826</v>
      </c>
      <c r="AF23" s="83"/>
    </row>
    <row r="24" spans="2:33" x14ac:dyDescent="0.2">
      <c r="B24" s="19" t="s">
        <v>43</v>
      </c>
      <c r="C24" s="35">
        <f>C20-C22</f>
        <v>189807.08380116362</v>
      </c>
      <c r="D24" s="33">
        <f>+C24/$C$20</f>
        <v>0.89378330486831858</v>
      </c>
      <c r="E24" s="35">
        <f>E20-E22</f>
        <v>212697.61383675074</v>
      </c>
      <c r="F24" s="33">
        <f>+E24/$E$20</f>
        <v>0.85417414658363988</v>
      </c>
      <c r="G24" s="33">
        <f>IF(C24=0,"",(E24-C24)/ABS(C24)+1)</f>
        <v>1.120598923797631</v>
      </c>
      <c r="H24" s="35">
        <f>+'COL. CONS.$'!H24/Paramet!$G$4*1000</f>
        <v>187805.29156778753</v>
      </c>
      <c r="I24" s="33">
        <f>+H24/$H$20</f>
        <v>0.87392586417681195</v>
      </c>
      <c r="J24" s="34">
        <f>IF(H24=0,"",(E24-H24)/ABS(H24))</f>
        <v>0.13254324231848616</v>
      </c>
      <c r="K24" s="35">
        <f>K20-K22</f>
        <v>1189724.5188436371</v>
      </c>
      <c r="L24" s="33">
        <f>+K24/$K$20</f>
        <v>0.89439083011690002</v>
      </c>
      <c r="M24" s="35">
        <f>M20-M22</f>
        <v>1303319.0094132647</v>
      </c>
      <c r="N24" s="33">
        <f>+M24/$M$20</f>
        <v>0.87478325662162837</v>
      </c>
      <c r="O24" s="33">
        <f>IF(K24=0,"",(M24-K24)/ABS(K24)+1)</f>
        <v>1.0954796583330373</v>
      </c>
      <c r="P24" s="35">
        <f>P20-P22</f>
        <v>864365.57928892702</v>
      </c>
      <c r="Q24" s="33">
        <f>+P24/$P$20</f>
        <v>0.8914137746400923</v>
      </c>
      <c r="R24" s="34">
        <f>IF(P24=0,"",(M24-P24)/ABS(P24))</f>
        <v>0.50783307508085185</v>
      </c>
      <c r="T24" s="37">
        <f>+E34/C34</f>
        <v>1.1008224788349965</v>
      </c>
      <c r="U24" s="36" t="s">
        <v>99</v>
      </c>
      <c r="AE24" s="34"/>
      <c r="AF24" s="83"/>
    </row>
    <row r="25" spans="2:33" x14ac:dyDescent="0.2">
      <c r="J25" s="34"/>
      <c r="R25" s="34"/>
      <c r="T25" s="37">
        <f>+E36/C36</f>
        <v>1.9264044548698178</v>
      </c>
      <c r="U25" s="89" t="s">
        <v>100</v>
      </c>
      <c r="V25" s="19" t="s">
        <v>44</v>
      </c>
      <c r="W25" s="35">
        <f>'COLOMB$ '!U25/Paramet!$G$5*1000</f>
        <v>12575.051319564947</v>
      </c>
      <c r="X25" s="35">
        <f>'COLOMB$ '!V25/Paramet!$G$3*1000</f>
        <v>14098.463572962482</v>
      </c>
      <c r="Y25" s="35">
        <f>'COLOMB$ '!W25/Paramet!$G$4*1000</f>
        <v>10397.30832083958</v>
      </c>
      <c r="Z25" s="35">
        <f>'COLOMB$ '!X25/Paramet!$G$5*1000</f>
        <v>263619.24852279044</v>
      </c>
      <c r="AA25" s="35">
        <f>'COLOMB$ '!Y25/Paramet!$G$3*1000</f>
        <v>289074.27618007804</v>
      </c>
      <c r="AB25" s="36">
        <f>+AA25-Z25</f>
        <v>25455.027657287603</v>
      </c>
      <c r="AC25" s="37">
        <f>IF(Z25=0,"",(AA25-Z25)/ABS(Z25)+1)</f>
        <v>1.0965598217881536</v>
      </c>
      <c r="AD25" s="35">
        <f>'COLOMB$ '!AB25/Paramet!$G$4*1000</f>
        <v>240390.00414863991</v>
      </c>
      <c r="AE25" s="34">
        <f>IF(AD25=0,"",(AA25-AD25)/ABS(AD25))</f>
        <v>0.20252203166207888</v>
      </c>
    </row>
    <row r="26" spans="2:33" x14ac:dyDescent="0.2">
      <c r="B26" s="19" t="s">
        <v>45</v>
      </c>
      <c r="C26" s="35">
        <f>+'COL. CONS.$'!C26/Paramet!$G$5*1000</f>
        <v>48461.320358840014</v>
      </c>
      <c r="D26" s="33">
        <f>+C26/$C$20</f>
        <v>0.22819969729886772</v>
      </c>
      <c r="E26" s="35">
        <f>+'COL. CONS.$'!E26/Paramet!$G$3*1000</f>
        <v>53835.262386689792</v>
      </c>
      <c r="F26" s="33">
        <f>+E26/$E$20</f>
        <v>0.21619748560297045</v>
      </c>
      <c r="G26" s="33">
        <f>IF(C26=0,"",(E26-C26)/ABS(C26)+1)</f>
        <v>1.1108913663114732</v>
      </c>
      <c r="H26" s="35">
        <f>+'COL. CONS.$'!H26/Paramet!$G$4*1000</f>
        <v>41830.754621974724</v>
      </c>
      <c r="I26" s="33">
        <f>+H26/$H$20</f>
        <v>0.19465361213734675</v>
      </c>
      <c r="J26" s="34">
        <f>IF(H26=0,"",(E26-H26)/ABS(H26))</f>
        <v>0.28697803501753721</v>
      </c>
      <c r="K26" s="35">
        <f>+'COL. CONS.$'!K26/Paramet!$G$5*1000</f>
        <v>310595.98743379494</v>
      </c>
      <c r="L26" s="33">
        <f>+K26/$K$20</f>
        <v>0.23349455998594915</v>
      </c>
      <c r="M26" s="35">
        <f>+'COL. CONS.$'!M26/Paramet!$G$3*1000</f>
        <v>336604.78428988828</v>
      </c>
      <c r="N26" s="33">
        <f>+M26/$M$20</f>
        <v>0.2259279786980849</v>
      </c>
      <c r="O26" s="33">
        <f>IF(K26=0,"",(M26-K26)/ABS(K26)+1)</f>
        <v>1.0837383543521701</v>
      </c>
      <c r="P26" s="35">
        <f>+'COL. CONS.$'!P26/Paramet!$G$4*1000</f>
        <v>257081.29816663096</v>
      </c>
      <c r="Q26" s="33">
        <f>+P26/$P$20</f>
        <v>0.26512602523646939</v>
      </c>
      <c r="R26" s="34">
        <f>IF(P26=0,"",(M26-P26)/ABS(P26))</f>
        <v>0.30933205445272421</v>
      </c>
      <c r="T26" s="37">
        <f>+E38/C38</f>
        <v>4.0257776281536914</v>
      </c>
      <c r="U26" s="89" t="s">
        <v>101</v>
      </c>
      <c r="AE26" s="34"/>
    </row>
    <row r="27" spans="2:33" x14ac:dyDescent="0.2">
      <c r="B27" s="19" t="s">
        <v>46</v>
      </c>
      <c r="C27" s="35">
        <f>+'COL. CONS.$'!C27/Paramet!$G$5*1000</f>
        <v>76653.850952105524</v>
      </c>
      <c r="D27" s="33">
        <f>+C27/$C$20</f>
        <v>0.36095561273480969</v>
      </c>
      <c r="E27" s="35">
        <f>+'COL. CONS.$'!E27/Paramet!$G$3*1000</f>
        <v>86614.88109397261</v>
      </c>
      <c r="F27" s="33">
        <f>+E27/$E$20</f>
        <v>0.3478374336473361</v>
      </c>
      <c r="G27" s="33">
        <f>IF(C27=0,"",(E27-C27)/ABS(C27)+1)</f>
        <v>1.1299482024470093</v>
      </c>
      <c r="H27" s="35">
        <f>+'COL. CONS.$'!H27/Paramet!$G$4*1000</f>
        <v>68008.672343114158</v>
      </c>
      <c r="I27" s="33">
        <f>+H27/$H$20</f>
        <v>0.31646891976694408</v>
      </c>
      <c r="J27" s="34">
        <f>IF(H27=0,"",(E27-H27)/ABS(H27))</f>
        <v>0.27358582530456238</v>
      </c>
      <c r="K27" s="35">
        <f>+'COL. CONS.$'!K27/Paramet!$G$5*1000</f>
        <v>464041.60003629234</v>
      </c>
      <c r="L27" s="33">
        <f>+K27/$K$20</f>
        <v>0.34884928846270258</v>
      </c>
      <c r="M27" s="35">
        <f>+'COL. CONS.$'!M27/Paramet!$G$3*1000</f>
        <v>537549.68222810701</v>
      </c>
      <c r="N27" s="33">
        <f>+M27/$M$20</f>
        <v>0.36080150616932988</v>
      </c>
      <c r="O27" s="33">
        <f>IF(K27=0,"",(M27-K27)/ABS(K27)+1)</f>
        <v>1.1584083887868364</v>
      </c>
      <c r="P27" s="35">
        <f>+'COL. CONS.$'!P27/Paramet!$G$4*1000</f>
        <v>385320.53859713004</v>
      </c>
      <c r="Q27" s="33">
        <f>+P27/$P$20</f>
        <v>0.39737819735925389</v>
      </c>
      <c r="R27" s="34">
        <f>IF(P27=0,"",(M27-P27)/ABS(P27))</f>
        <v>0.39507144930610455</v>
      </c>
      <c r="T27" s="37">
        <f>+E39/C39</f>
        <v>0.87078616933846609</v>
      </c>
      <c r="U27" s="36"/>
      <c r="V27" s="19" t="s">
        <v>47</v>
      </c>
      <c r="W27" s="35">
        <f>'COLOMB$ '!U27/Paramet!$G$5*1000</f>
        <v>-24234.629648531863</v>
      </c>
      <c r="X27" s="35">
        <f>'COLOMB$ '!V27/Paramet!$G$3*1000</f>
        <v>-23425.241683701912</v>
      </c>
      <c r="Y27" s="35">
        <f>'COLOMB$ '!W27/Paramet!$G$4*1000</f>
        <v>41402.441636324693</v>
      </c>
      <c r="Z27" s="35">
        <f>'COLOMB$ '!X27/Paramet!$G$5*1000</f>
        <v>-54995.066516960986</v>
      </c>
      <c r="AA27" s="35">
        <f>'COLOMB$ '!Y27/Paramet!$G$3*1000</f>
        <v>-113411.12763013896</v>
      </c>
      <c r="AB27" s="36">
        <f>+AA27-Z27</f>
        <v>-58416.061113177973</v>
      </c>
      <c r="AC27" s="37">
        <f>IF(Z27=0,"",(AA27-Z27)/ABS(Z27)+1)</f>
        <v>-6.2205481561912856E-2</v>
      </c>
      <c r="AD27" s="35">
        <f>'COLOMB$ '!AB27/Paramet!$G$4*1000</f>
        <v>103521.09659455986</v>
      </c>
      <c r="AE27" s="34">
        <f>IF(AD27=0,"",(AA27-AD27)/ABS(AD27))</f>
        <v>-2.0955363820604931</v>
      </c>
    </row>
    <row r="28" spans="2:33" x14ac:dyDescent="0.2">
      <c r="B28" s="19" t="s">
        <v>48</v>
      </c>
      <c r="C28" s="35">
        <f>SUM(C26:C27)</f>
        <v>125115.17131094553</v>
      </c>
      <c r="D28" s="33">
        <f>+C28/$C$20</f>
        <v>0.58915531003367738</v>
      </c>
      <c r="E28" s="35">
        <f>SUM(E26:E27)</f>
        <v>140450.1434806624</v>
      </c>
      <c r="F28" s="33">
        <f>+E28/$E$20</f>
        <v>0.56403491925030658</v>
      </c>
      <c r="G28" s="33">
        <f>IF(C28=0,"",(E28-C28)/ABS(C28)+1)</f>
        <v>1.1225668478813433</v>
      </c>
      <c r="H28" s="35">
        <f>+'COL. CONS.$'!H28/Paramet!$G$4*1000</f>
        <v>109839.42696508889</v>
      </c>
      <c r="I28" s="33">
        <f>+H28/$H$20</f>
        <v>0.51112253190429091</v>
      </c>
      <c r="J28" s="34">
        <f>IF(H28=0,"",(E28-H28)/ABS(H28))</f>
        <v>0.27868605437374278</v>
      </c>
      <c r="K28" s="35">
        <f>SUM(K26:K27)</f>
        <v>774637.58747008722</v>
      </c>
      <c r="L28" s="33">
        <f>+K28/$K$20</f>
        <v>0.58234384844865172</v>
      </c>
      <c r="M28" s="35">
        <f>SUM(M26:M27)</f>
        <v>874154.46651799534</v>
      </c>
      <c r="N28" s="33">
        <f>+M28/$M$20</f>
        <v>0.58672948486741483</v>
      </c>
      <c r="O28" s="33">
        <f>IF(K28=0,"",(M28-K28)/ABS(K28)+1)</f>
        <v>1.1284689520075102</v>
      </c>
      <c r="P28" s="35">
        <f>SUM(P26:P27)</f>
        <v>642401.83676376101</v>
      </c>
      <c r="Q28" s="33">
        <f>+P28/$P$20</f>
        <v>0.66250422259572328</v>
      </c>
      <c r="R28" s="34">
        <f>IF(P28=0,"",(M28-P28)/ABS(P28))</f>
        <v>0.36075960013087544</v>
      </c>
      <c r="T28" s="37">
        <f>+E41/C41</f>
        <v>-0.70040294572356976</v>
      </c>
      <c r="U28" s="17"/>
      <c r="V28" s="19" t="s">
        <v>49</v>
      </c>
      <c r="W28" s="35">
        <f>'COLOMB$ '!U28/Paramet!$G$5*1000</f>
        <v>18429.678019348328</v>
      </c>
      <c r="X28" s="35">
        <f>'COLOMB$ '!V28/Paramet!$G$3*1000</f>
        <v>20980.892750211649</v>
      </c>
      <c r="Y28" s="35">
        <f>'COLOMB$ '!W28/Paramet!$G$4*1000</f>
        <v>18448.310008567147</v>
      </c>
      <c r="Z28" s="35">
        <f>'COLOMB$ '!X28/Paramet!$G$5*1000</f>
        <v>55289.034058044985</v>
      </c>
      <c r="AA28" s="35">
        <f>'COLOMB$ '!Y28/Paramet!$G$3*1000</f>
        <v>60184.201459869088</v>
      </c>
      <c r="AB28" s="36">
        <f>+AA28-Z28</f>
        <v>4895.1674018241029</v>
      </c>
      <c r="AC28" s="37">
        <f>IF(Z28=0,"",(AA28-Z28)/ABS(Z28)+1)</f>
        <v>1.0885377631427768</v>
      </c>
      <c r="AD28" s="35">
        <f>'COLOMB$ '!AB28/Paramet!$G$4*1000</f>
        <v>49045.753287641892</v>
      </c>
      <c r="AE28" s="34">
        <f>IF(AD28=0,"",(AA28-AD28)/ABS(AD28))</f>
        <v>0.22710321333842703</v>
      </c>
    </row>
    <row r="29" spans="2:33" x14ac:dyDescent="0.2">
      <c r="J29" s="34"/>
      <c r="R29" s="34"/>
      <c r="T29" s="24">
        <f>+E42/C42</f>
        <v>1.1405294352594273</v>
      </c>
      <c r="U29" s="24"/>
      <c r="AE29" s="2"/>
    </row>
    <row r="30" spans="2:33" x14ac:dyDescent="0.2">
      <c r="B30" s="19" t="s">
        <v>50</v>
      </c>
      <c r="C30" s="35">
        <f>+'COL. CONS.$'!C30/Paramet!$G$5*1000</f>
        <v>13394.80339786556</v>
      </c>
      <c r="D30" s="33">
        <f>+C30/$C$20</f>
        <v>6.3074841092586598E-2</v>
      </c>
      <c r="E30" s="35">
        <f>+'COL. CONS.$'!E30/Paramet!$G$3*1000</f>
        <v>14212.89098215945</v>
      </c>
      <c r="F30" s="33">
        <f>+E30/$E$20</f>
        <v>5.7077669119928384E-2</v>
      </c>
      <c r="G30" s="33">
        <f>IF(C30=0,"",(E30-C30)/ABS(C30)+1)</f>
        <v>1.0610749975191311</v>
      </c>
      <c r="H30" s="35">
        <f>+'COL. CONS.$'!H30/Paramet!$G$4*1000</f>
        <v>10936.516622403085</v>
      </c>
      <c r="I30" s="33">
        <f>+H30/$H$20</f>
        <v>5.089156253548837E-2</v>
      </c>
      <c r="J30" s="34">
        <f>IF(H30=0,"",(E30-H30)/ABS(H30))</f>
        <v>0.29958116216317193</v>
      </c>
      <c r="K30" s="35">
        <f>+'COL. CONS.$'!K30/Paramet!$G$5*1000</f>
        <v>81692.127975684169</v>
      </c>
      <c r="L30" s="33">
        <f>+K30/$K$20</f>
        <v>6.1413116227279275E-2</v>
      </c>
      <c r="M30" s="35">
        <f>+'COL. CONS.$'!M30/Paramet!$G$3*1000</f>
        <v>85440.013393318048</v>
      </c>
      <c r="N30" s="33">
        <f>+M30/$M$20</f>
        <v>5.7347044447429517E-2</v>
      </c>
      <c r="O30" s="33">
        <f>IF(K30=0,"",(M30-K30)/ABS(K30)+1)</f>
        <v>1.0458781710123826</v>
      </c>
      <c r="P30" s="35">
        <f>+'COL. CONS.$'!P30/Paramet!$G$4*1000</f>
        <v>68068.328093810254</v>
      </c>
      <c r="Q30" s="33">
        <f>+P30/$P$20</f>
        <v>7.0198359043241634E-2</v>
      </c>
      <c r="R30" s="34">
        <f>IF(P30=0,"",(M30-P30)/ABS(P30))</f>
        <v>0.25520951940477404</v>
      </c>
      <c r="T30" s="37">
        <f>+E43/C43</f>
        <v>0.39470686010276174</v>
      </c>
      <c r="U30" s="17"/>
      <c r="V30" s="42" t="s">
        <v>51</v>
      </c>
      <c r="W30" s="43">
        <f>+W21-W23-W25-W27-W28</f>
        <v>44623.637621494112</v>
      </c>
      <c r="X30" s="43">
        <f>+X21-X23-X25-X27-X28</f>
        <v>-20909.718781618445</v>
      </c>
      <c r="Y30" s="43">
        <f>+Y21-Y23-Y25-Y27-Y28</f>
        <v>10786.923523238358</v>
      </c>
      <c r="Z30" s="43">
        <f>'COLOMB$ '!X30/Paramet!$G$5*1000</f>
        <v>16771.80089142935</v>
      </c>
      <c r="AA30" s="43">
        <f>+'COL. CONS.$'!Y30/Paramet!G3*1000</f>
        <v>-23067.342052282689</v>
      </c>
      <c r="AB30" s="47">
        <f>+AA30-Z30</f>
        <v>-39839.142943712039</v>
      </c>
      <c r="AC30" s="48">
        <f>IF(W30=0,"",(X30-W30)/ABS(W30)+1)</f>
        <v>-0.46857943225020149</v>
      </c>
      <c r="AD30" s="43">
        <f>+AD21-AD23-AD25-AD27-AD28</f>
        <v>10787.110237738183</v>
      </c>
      <c r="AE30" s="34">
        <f>IF(AD30=0,"",(AA30-AD30)/ABS(AD30))</f>
        <v>-3.1384171982949343</v>
      </c>
    </row>
    <row r="31" spans="2:33" x14ac:dyDescent="0.2">
      <c r="J31" s="34"/>
      <c r="R31" s="34"/>
      <c r="T31" s="37">
        <f>+E45/C45</f>
        <v>1.1873487442911475</v>
      </c>
      <c r="U31" s="17"/>
      <c r="W31" s="83"/>
      <c r="X31" s="83"/>
      <c r="Y31" s="83"/>
      <c r="Z31" s="83"/>
      <c r="AA31" s="83"/>
      <c r="AB31" s="83"/>
    </row>
    <row r="32" spans="2:33" x14ac:dyDescent="0.2">
      <c r="B32" s="19" t="s">
        <v>52</v>
      </c>
      <c r="C32" s="35">
        <f>+'COL. CONS.$'!C31/Paramet!$G$5*1000</f>
        <v>46750.365758225314</v>
      </c>
      <c r="D32" s="33">
        <f>+C32/$C$20</f>
        <v>0.22014297661809992</v>
      </c>
      <c r="E32" s="35">
        <f>+'COL. CONS.$'!E31/Paramet!$G$3*1000</f>
        <v>49275.712759916576</v>
      </c>
      <c r="F32" s="33">
        <f>+E32/$E$20</f>
        <v>0.19788675168827791</v>
      </c>
      <c r="G32" s="33">
        <f>IF(C32=0,"",(E32-C32)/ABS(C32)+1)</f>
        <v>1.0540176950647053</v>
      </c>
      <c r="H32" s="35">
        <f>+'COL. CONS.$'!H31/Paramet!$G$4*1000</f>
        <v>43617.778295138152</v>
      </c>
      <c r="I32" s="33">
        <f>+H32/$H$20</f>
        <v>0.20296927883042323</v>
      </c>
      <c r="J32" s="34">
        <f>IF(H32=0,"",(E32-H32)/ABS(H32))</f>
        <v>0.12971624612547228</v>
      </c>
      <c r="K32" s="35">
        <f>+'COL. CONS.$'!K31/Paramet!$G$5*1000</f>
        <v>272386.55824345321</v>
      </c>
      <c r="L32" s="33">
        <f>+K32/$K$20</f>
        <v>0.20477012626152818</v>
      </c>
      <c r="M32" s="35">
        <f>+'COL. CONS.$'!M31/Paramet!$G$3*1000</f>
        <v>298109.52413326723</v>
      </c>
      <c r="N32" s="33">
        <f>+M32/$M$20</f>
        <v>0.20009009188673105</v>
      </c>
      <c r="O32" s="33">
        <f>IF(K32=0,"",(M32-K32)/ABS(K32)+1)</f>
        <v>1.0944355186089005</v>
      </c>
      <c r="P32" s="35">
        <f>+'COL. CONS.$'!P31/Paramet!$G$4*1000</f>
        <v>228178.91315485112</v>
      </c>
      <c r="Q32" s="33">
        <f>+P32/$P$20</f>
        <v>0.23531921115596574</v>
      </c>
      <c r="R32" s="34">
        <f>IF(P32=0,"",(M32-P32)/ABS(P32))</f>
        <v>0.30647271481637073</v>
      </c>
      <c r="T32" s="37">
        <f>+E46/C46</f>
        <v>1.0993492028419067</v>
      </c>
      <c r="U32" s="17"/>
    </row>
    <row r="33" spans="2:27" x14ac:dyDescent="0.2">
      <c r="B33" s="19" t="s">
        <v>53</v>
      </c>
      <c r="C33" s="35">
        <f>SUM(C30:C32)</f>
        <v>60145.169156090873</v>
      </c>
      <c r="D33" s="33">
        <f>+C33/$C$20</f>
        <v>0.28321781771068655</v>
      </c>
      <c r="E33" s="35">
        <f>SUM(E30:E32)</f>
        <v>63488.603742076026</v>
      </c>
      <c r="F33" s="33">
        <f>+E33/$E$20</f>
        <v>0.2549644208082063</v>
      </c>
      <c r="G33" s="33">
        <f>IF(C33=0,"",(E33-C33)/ABS(C33)+1)</f>
        <v>1.0555894119660409</v>
      </c>
      <c r="H33" s="35">
        <f>SUM(H30:H32)</f>
        <v>54554.294917541236</v>
      </c>
      <c r="I33" s="33">
        <f>+H33/$H$20</f>
        <v>0.25386084136591158</v>
      </c>
      <c r="J33" s="34">
        <f>IF(H33=0,"",(E33-H33)/ABS(H33))</f>
        <v>0.16376911915072845</v>
      </c>
      <c r="K33" s="35">
        <f>SUM(K30:K32)</f>
        <v>354078.68621913739</v>
      </c>
      <c r="L33" s="33">
        <f>+K33/$K$20</f>
        <v>0.26618324248880748</v>
      </c>
      <c r="M33" s="35">
        <f>SUM(M30:M32)</f>
        <v>383549.53752658528</v>
      </c>
      <c r="N33" s="33">
        <f>+M33/$M$20</f>
        <v>0.25743713633416054</v>
      </c>
      <c r="O33" s="33">
        <f>IF(K33=0,"",(M33-K33)/ABS(K33)+1)</f>
        <v>1.0832324916874791</v>
      </c>
      <c r="P33" s="35">
        <f>SUM(P30:P32)</f>
        <v>296247.24124866136</v>
      </c>
      <c r="Q33" s="33">
        <f>+P33/$P$20</f>
        <v>0.30551757019920733</v>
      </c>
      <c r="R33" s="34">
        <f>IF(P33=0,"",(M33-P33)/ABS(P33))</f>
        <v>0.29469403971476954</v>
      </c>
    </row>
    <row r="34" spans="2:27" x14ac:dyDescent="0.2">
      <c r="B34" s="19" t="s">
        <v>54</v>
      </c>
      <c r="C34" s="35">
        <f>+C28+C33</f>
        <v>185260.34046703641</v>
      </c>
      <c r="D34" s="33">
        <f>+C34/$C$20</f>
        <v>0.87237312774436393</v>
      </c>
      <c r="E34" s="35">
        <f>+E28+E33</f>
        <v>203938.74722273843</v>
      </c>
      <c r="F34" s="33">
        <f>+E34/$E$20</f>
        <v>0.81899934005851283</v>
      </c>
      <c r="G34" s="33">
        <f>IF(C34=0,"",(E34-C34)/ABS(C34)+1)</f>
        <v>1.1008224788349965</v>
      </c>
      <c r="H34" s="35">
        <f>+H28+H33</f>
        <v>164393.72188263014</v>
      </c>
      <c r="I34" s="33">
        <f>+H34/$H$20</f>
        <v>0.7649833732702026</v>
      </c>
      <c r="J34" s="34">
        <f>IF(H34=0,"",(E34-H34)/ABS(H34))</f>
        <v>0.2405507028324457</v>
      </c>
      <c r="K34" s="35">
        <f>+K28+K33</f>
        <v>1128716.2736892246</v>
      </c>
      <c r="L34" s="33">
        <f>+K34/$K$20</f>
        <v>0.84852709093745915</v>
      </c>
      <c r="M34" s="35">
        <f>+M28+M33</f>
        <v>1257704.0040445807</v>
      </c>
      <c r="N34" s="33">
        <f>+M34/$M$20</f>
        <v>0.84416662120157548</v>
      </c>
      <c r="O34" s="33">
        <f>IF(K34=0,"",(M34-K34)/ABS(K34)+1)</f>
        <v>1.1142782587281725</v>
      </c>
      <c r="P34" s="35">
        <f>+P28+P33</f>
        <v>938649.07801242243</v>
      </c>
      <c r="Q34" s="33">
        <f>+P34/$P$20</f>
        <v>0.96802179279493072</v>
      </c>
      <c r="R34" s="34">
        <f>IF(P34=0,"",(M34-P34)/ABS(P34))</f>
        <v>0.33990863412741329</v>
      </c>
    </row>
    <row r="35" spans="2:27" x14ac:dyDescent="0.2">
      <c r="J35" s="34"/>
      <c r="R35" s="34"/>
    </row>
    <row r="36" spans="2:27" x14ac:dyDescent="0.2">
      <c r="B36" s="19" t="s">
        <v>55</v>
      </c>
      <c r="C36" s="35">
        <f>C24-C34</f>
        <v>4546.7433341272117</v>
      </c>
      <c r="D36" s="33">
        <f>+C36/$C$20</f>
        <v>2.1410177123954651E-2</v>
      </c>
      <c r="E36" s="35">
        <f>E24-E34</f>
        <v>8758.8666140123096</v>
      </c>
      <c r="F36" s="33">
        <f>+E36/$E$20</f>
        <v>3.5174806525127084E-2</v>
      </c>
      <c r="G36" s="33">
        <f>IF(C36=0,"",(E36-C36)/ABS(C36)+1)</f>
        <v>1.926404454869818</v>
      </c>
      <c r="H36" s="35">
        <f>H24-H34</f>
        <v>23411.569685157388</v>
      </c>
      <c r="I36" s="33">
        <f>+H36/$H$20</f>
        <v>0.10894249090660943</v>
      </c>
      <c r="J36" s="34">
        <f>IF(H36=0,"",(E36-H36)/ABS(H36))</f>
        <v>-0.62587444021041827</v>
      </c>
      <c r="K36" s="35">
        <f>K24-K34</f>
        <v>61008.245154412463</v>
      </c>
      <c r="L36" s="33">
        <f>+K36/$K$20</f>
        <v>4.5863739179440831E-2</v>
      </c>
      <c r="M36" s="35">
        <f>M24-M34</f>
        <v>45615.005368683953</v>
      </c>
      <c r="N36" s="33">
        <f>+M36/$M$20</f>
        <v>3.0616635420052891E-2</v>
      </c>
      <c r="O36" s="33">
        <f>IF(K36=0,"",(M36-K36)/ABS(K36)+1)</f>
        <v>0.74768591119498562</v>
      </c>
      <c r="P36" s="35">
        <f>P24-P34</f>
        <v>-74283.498723495402</v>
      </c>
      <c r="Q36" s="33">
        <f>+P36/$P$20</f>
        <v>-7.6608018154838378E-2</v>
      </c>
      <c r="R36" s="34">
        <f>IF(P36=0,"",(M36-P36)/ABS(P36))</f>
        <v>1.6140664636499709</v>
      </c>
      <c r="Z36" s="40"/>
      <c r="AA36" s="40"/>
    </row>
    <row r="37" spans="2:27" ht="11.25" customHeight="1" x14ac:dyDescent="0.2">
      <c r="J37" s="34"/>
      <c r="R37" s="34"/>
    </row>
    <row r="38" spans="2:27" x14ac:dyDescent="0.2">
      <c r="B38" s="19" t="s">
        <v>56</v>
      </c>
      <c r="C38" s="35">
        <f>+'COL. CONS.$'!C38/Paramet!$G$5*1000</f>
        <v>72.811404851825401</v>
      </c>
      <c r="D38" s="33">
        <f>+C38/$C$20</f>
        <v>3.4286190355647131E-4</v>
      </c>
      <c r="E38" s="35">
        <f>+'COL. CONS.$'!E38/Paramet!$G$3*1000</f>
        <v>293.12252472691983</v>
      </c>
      <c r="F38" s="33">
        <f>+E38/$E$20</f>
        <v>1.1771532265295089E-3</v>
      </c>
      <c r="G38" s="33">
        <f>IF(C38=0,"",(E38-C38)/ABS(C38)+1)</f>
        <v>4.0257776281536914</v>
      </c>
      <c r="H38" s="35">
        <f>+'COL. CONS.$'!H38/Paramet!$G$4*1000</f>
        <v>196.23226386806596</v>
      </c>
      <c r="I38" s="33">
        <f>+H38/$H$20</f>
        <v>9.1313961043729304E-4</v>
      </c>
      <c r="J38" s="34">
        <f>IF(H38=0,"",(E38-H38)/ABS(H38))</f>
        <v>0.49375295860621932</v>
      </c>
      <c r="K38" s="35">
        <f>+'COL. CONS.$'!K38/Paramet!$G$5*1000</f>
        <v>436.86842911095238</v>
      </c>
      <c r="L38" s="33">
        <f>+K38/$K$20</f>
        <v>3.2842150495829509E-4</v>
      </c>
      <c r="M38" s="35">
        <f>+'COL. CONS.$'!M38/Paramet!$G$3*1000</f>
        <v>979.06766348675376</v>
      </c>
      <c r="N38" s="33">
        <f>+M38/$M$20</f>
        <v>6.5714686345551135E-4</v>
      </c>
      <c r="O38" s="33">
        <f>IF(K38=0,"",(M38-K38)/ABS(K38)+1)</f>
        <v>2.2411041820513375</v>
      </c>
      <c r="P38" s="35">
        <f>+'COL. CONS.$'!P38/Paramet!$G$4*1000</f>
        <v>941.97278646391101</v>
      </c>
      <c r="Q38" s="33">
        <f>+P38/$P$20</f>
        <v>9.7144950852949519E-4</v>
      </c>
      <c r="R38" s="34">
        <f>IF(P38=0,"",(M38-P38)/ABS(P38))</f>
        <v>3.9379987995294317E-2</v>
      </c>
    </row>
    <row r="39" spans="2:27" x14ac:dyDescent="0.2">
      <c r="B39" s="19" t="s">
        <v>57</v>
      </c>
      <c r="C39" s="35">
        <f>+'COL. CONS.$'!C39/Paramet!$G$5*1000</f>
        <v>7820.5346307826667</v>
      </c>
      <c r="D39" s="33">
        <f>+C39/$C$20</f>
        <v>3.6826145516573261E-2</v>
      </c>
      <c r="E39" s="35">
        <f>+'COL. CONS.$'!E39/Paramet!$G$3*1000</f>
        <v>6810.0133933180532</v>
      </c>
      <c r="F39" s="33">
        <f>+E39/$E$20</f>
        <v>2.7348390391089251E-2</v>
      </c>
      <c r="G39" s="33">
        <f>IF(C39=0,"",(E39-C39)/ABS(C39)+1)</f>
        <v>0.87078616933846598</v>
      </c>
      <c r="H39" s="35">
        <f>+'COL. CONS.$'!H39/Paramet!$G$4*1000</f>
        <v>7646.3205225958454</v>
      </c>
      <c r="I39" s="33">
        <f>+H39/$H$20</f>
        <v>3.5581091537404914E-2</v>
      </c>
      <c r="J39" s="34">
        <f>IF(H39=0,"",(E39-H39)/ABS(H39))</f>
        <v>-0.1093737996996593</v>
      </c>
      <c r="K39" s="35">
        <f>+'COL. CONS.$'!K39/Paramet!$G$5*1000</f>
        <v>43359.758656278005</v>
      </c>
      <c r="L39" s="33">
        <f>+K39/$K$20</f>
        <v>3.2596260667091266E-2</v>
      </c>
      <c r="M39" s="35">
        <f>+'COL. CONS.$'!M39/Paramet!$G$3*1000</f>
        <v>47452.777243490469</v>
      </c>
      <c r="N39" s="33">
        <f>+M39/$M$20</f>
        <v>3.1850141609987635E-2</v>
      </c>
      <c r="O39" s="33">
        <f>IF(K39=0,"",(M39-K39)/ABS(K39)+1)</f>
        <v>1.094396710545801</v>
      </c>
      <c r="P39" s="35">
        <f>+'COL. CONS.$'!P39/Paramet!$G$4*1000</f>
        <v>37989.82903191261</v>
      </c>
      <c r="Q39" s="33">
        <f>+P39/$P$20</f>
        <v>3.9178627315455856E-2</v>
      </c>
      <c r="R39" s="34">
        <f>IF(P39=0,"",(M39-P39)/ABS(P39))</f>
        <v>0.24909162406676522</v>
      </c>
    </row>
    <row r="40" spans="2:27" x14ac:dyDescent="0.2">
      <c r="J40" s="34"/>
      <c r="R40" s="34"/>
    </row>
    <row r="41" spans="2:27" x14ac:dyDescent="0.2">
      <c r="B41" s="19" t="s">
        <v>58</v>
      </c>
      <c r="C41" s="35">
        <f>+C36+C38-C39</f>
        <v>-3200.9798918036295</v>
      </c>
      <c r="D41" s="33">
        <f>+C41/$C$20</f>
        <v>-1.5073106489062139E-2</v>
      </c>
      <c r="E41" s="35">
        <f>E36+E38-E39</f>
        <v>2241.9757454211758</v>
      </c>
      <c r="F41" s="33">
        <f>+E41/$E$20</f>
        <v>9.0035693605673393E-3</v>
      </c>
      <c r="G41" s="33">
        <f>IF(C41=0,"",(E41-C41)/ABS(C41)+1)</f>
        <v>2.7004029457235701</v>
      </c>
      <c r="H41" s="35">
        <f>+H36+H38-H39</f>
        <v>15961.481426429611</v>
      </c>
      <c r="I41" s="33">
        <f>+H41/$H$20</f>
        <v>7.4274538979641813E-2</v>
      </c>
      <c r="J41" s="34">
        <f>IF(H41=0,"",(E41-H41)/ABS(H41))</f>
        <v>-0.85953836705226938</v>
      </c>
      <c r="K41" s="35">
        <f>K36+K38-K39</f>
        <v>18085.354927245411</v>
      </c>
      <c r="L41" s="33">
        <f>+K41/$K$20</f>
        <v>1.3595900017307859E-2</v>
      </c>
      <c r="M41" s="35">
        <f>M36+M38-M39</f>
        <v>-858.70421131976036</v>
      </c>
      <c r="N41" s="33">
        <f>+M41/$M$20</f>
        <v>-5.7635932647923029E-4</v>
      </c>
      <c r="O41" s="33">
        <f>IF(K41=0,"",(M41-K41)/ABS(K41)+1)</f>
        <v>-4.7480639156610049E-2</v>
      </c>
      <c r="P41" s="35">
        <f>P36+P38-P39</f>
        <v>-111331.3549689441</v>
      </c>
      <c r="Q41" s="33">
        <f>+P41/$P$20</f>
        <v>-0.11481519596176475</v>
      </c>
      <c r="R41" s="34">
        <f>IF(P41=0,"",(M41-P41)/ABS(P41))</f>
        <v>0.99228695086339957</v>
      </c>
    </row>
    <row r="42" spans="2:27" x14ac:dyDescent="0.2">
      <c r="B42" s="19" t="s">
        <v>44</v>
      </c>
      <c r="C42" s="35">
        <f>+'COL. CONS.$'!C42/Paramet!$G$5*1000</f>
        <v>4700.0782552482051</v>
      </c>
      <c r="D42" s="33">
        <f>+C42/$C$20</f>
        <v>2.2132216522098569E-2</v>
      </c>
      <c r="E42" s="35">
        <f>+'COL. CONS.$'!E42/Paramet!$G$3*1000</f>
        <v>5360.57759813335</v>
      </c>
      <c r="F42" s="33">
        <f>+E42/$E$20</f>
        <v>2.1527588920650965E-2</v>
      </c>
      <c r="G42" s="33">
        <f>IF(C42=0,"",(E42-C42)/ABS(C42)+1)</f>
        <v>1.1405294352594273</v>
      </c>
      <c r="H42" s="35">
        <f>+'COL. CONS.$'!H42/Paramet!$G$4*1000</f>
        <v>5985.718997644035</v>
      </c>
      <c r="I42" s="33">
        <f>+H42/$H$20</f>
        <v>2.7853712768511049E-2</v>
      </c>
      <c r="J42" s="34">
        <f>IF(H42=0,"",(E42-H42)/ABS(H42))</f>
        <v>-0.10443881507914742</v>
      </c>
      <c r="K42" s="35">
        <f>+'COL. CONS.$'!K42/Paramet!$G$5*1000</f>
        <v>41712.088734646662</v>
      </c>
      <c r="L42" s="33">
        <f>+K42/$K$20</f>
        <v>3.1357603443821762E-2</v>
      </c>
      <c r="M42" s="35">
        <f>+'COL. CONS.$'!M42/Paramet!$G$3*1000</f>
        <v>31217.022341985172</v>
      </c>
      <c r="N42" s="33">
        <f>+M42/$M$20</f>
        <v>2.0952758510478293E-2</v>
      </c>
      <c r="O42" s="33">
        <f>IF(K42=0,"",(M42-K42)/ABS(K42)+1)</f>
        <v>0.74839269115899876</v>
      </c>
      <c r="P42" s="35">
        <f>+'COL. CONS.$'!P42/Paramet!$G$4*1000</f>
        <v>47847.798457913901</v>
      </c>
      <c r="Q42" s="33">
        <f>+P42/$P$20</f>
        <v>4.9345077654151116E-2</v>
      </c>
      <c r="R42" s="34">
        <f>IF(P42=0,"",(M42-P42)/ABS(P42))</f>
        <v>-0.34757662111783205</v>
      </c>
    </row>
    <row r="43" spans="2:27" x14ac:dyDescent="0.2">
      <c r="B43" s="42" t="s">
        <v>59</v>
      </c>
      <c r="C43" s="43">
        <f>C41-C42</f>
        <v>-7901.0581470518346</v>
      </c>
      <c r="D43" s="44">
        <f>+C43/$C$20</f>
        <v>-3.720532301116071E-2</v>
      </c>
      <c r="E43" s="43">
        <f>E41-E42</f>
        <v>-3118.6018527121741</v>
      </c>
      <c r="F43" s="44">
        <f>+E43/$E$20</f>
        <v>-1.2524019560083624E-2</v>
      </c>
      <c r="G43" s="44">
        <f>IF(C43=0,"",(E43-C43)/ABS(C43)+1)</f>
        <v>1.6052931398972383</v>
      </c>
      <c r="H43" s="43">
        <f>H41-H42</f>
        <v>9975.762428785576</v>
      </c>
      <c r="I43" s="44">
        <f>+H43/$H$20</f>
        <v>4.6420826211130764E-2</v>
      </c>
      <c r="J43" s="45">
        <f>IF(H43=0,"",(E43-H43)/ABS(H43))</f>
        <v>-1.3126178951208067</v>
      </c>
      <c r="K43" s="43">
        <f>K41-K42</f>
        <v>-23626.733807401251</v>
      </c>
      <c r="L43" s="44">
        <f>+K43/$K$20</f>
        <v>-1.7761703426513901E-2</v>
      </c>
      <c r="M43" s="43">
        <f>M41-M42</f>
        <v>-32075.726553304932</v>
      </c>
      <c r="N43" s="44">
        <f>+M43/$M$20</f>
        <v>-2.1529117836957521E-2</v>
      </c>
      <c r="O43" s="44">
        <f>IF(K43=0,"",(M43-K43)/ABS(K43)+1)</f>
        <v>0.64239692143748739</v>
      </c>
      <c r="P43" s="43">
        <f>P41-P42</f>
        <v>-159179.15342685801</v>
      </c>
      <c r="Q43" s="44">
        <f>+P43/$P$20</f>
        <v>-0.16416027361591587</v>
      </c>
      <c r="R43" s="45">
        <f>IF(P43=0,"",(M43-P43)/ABS(P43))</f>
        <v>0.79849291906151787</v>
      </c>
    </row>
    <row r="44" spans="2:27" x14ac:dyDescent="0.2">
      <c r="J44" s="34"/>
      <c r="R44" s="34"/>
    </row>
    <row r="45" spans="2:27" x14ac:dyDescent="0.2">
      <c r="B45" s="19" t="s">
        <v>60</v>
      </c>
      <c r="C45" s="35">
        <f>+'COL. CONS.$'!C45/Paramet!$G$5*1000</f>
        <v>29745.6137366314</v>
      </c>
      <c r="D45" s="33">
        <f>+C45/$C$20</f>
        <v>0.1400692346061948</v>
      </c>
      <c r="E45" s="35">
        <f>+'COL. CONS.$'!E45/Paramet!$G$3*1000</f>
        <v>35318.417118358797</v>
      </c>
      <c r="F45" s="33">
        <f>+E45/$E$20</f>
        <v>0.14183553005871374</v>
      </c>
      <c r="G45" s="33">
        <f>IF(C45=0,"",(E45-C45)/ABS(C45)+1)</f>
        <v>1.1873487442911475</v>
      </c>
      <c r="H45" s="35">
        <f>+'COL. CONS.$'!H45/Paramet!$G$4*1000</f>
        <v>33252.658995502206</v>
      </c>
      <c r="I45" s="33">
        <f>+H45/$H$20</f>
        <v>0.15473663444851282</v>
      </c>
      <c r="J45" s="34">
        <f>IF(H45=0,"",(E45-H45)/ABS(H45))</f>
        <v>6.2123095874408341E-2</v>
      </c>
      <c r="K45" s="35">
        <f>+'COL. CONS.$'!K45/Paramet!$G$5*1000</f>
        <v>213217.19800846066</v>
      </c>
      <c r="L45" s="33">
        <f>+K45/$K$20</f>
        <v>0.1602887926587733</v>
      </c>
      <c r="M45" s="35">
        <f>+'COL. CONS.$'!M45/Paramet!$G$3*1000</f>
        <v>206952.46802277569</v>
      </c>
      <c r="N45" s="33">
        <f>+M45/$M$20</f>
        <v>0.13890578794239183</v>
      </c>
      <c r="O45" s="33">
        <f>IF(K45=0,"",(M45-K45)/ABS(K45)+1)</f>
        <v>0.97061808313681908</v>
      </c>
      <c r="P45" s="35">
        <f>+'COL. CONS.$'!P45/Paramet!$G$4*1000</f>
        <v>227159.48326408223</v>
      </c>
      <c r="Q45" s="33">
        <f>+P45/$P$20</f>
        <v>0.23426788071351703</v>
      </c>
      <c r="R45" s="34">
        <f>IF(P45=0,"",(M45-P45)/ABS(P45))</f>
        <v>-8.8955191088434776E-2</v>
      </c>
    </row>
    <row r="46" spans="2:27" x14ac:dyDescent="0.2">
      <c r="B46" s="19" t="s">
        <v>35</v>
      </c>
      <c r="C46" s="35">
        <f>+'COL. CONS.$'!C46/Paramet!$G$5*1000</f>
        <v>97323.897338187438</v>
      </c>
      <c r="D46" s="33">
        <f>+C46/$C$20</f>
        <v>0.45828887343696095</v>
      </c>
      <c r="E46" s="35">
        <f>+'COL. CONS.$'!E46/Paramet!$G$3*1000</f>
        <v>106992.94895620394</v>
      </c>
      <c r="F46" s="33">
        <f>+E46/$E$20</f>
        <v>0.42967388875023482</v>
      </c>
      <c r="G46" s="33">
        <f>IF(C46=0,"",(E46-C46)/ABS(C46)+1)</f>
        <v>1.0993492028419067</v>
      </c>
      <c r="H46" s="35">
        <f>+'COL. CONS.$'!H46/Paramet!$G$4*1000</f>
        <v>83747.254015849219</v>
      </c>
      <c r="I46" s="33">
        <f>+H46/$H$20</f>
        <v>0.38970622567266056</v>
      </c>
      <c r="J46" s="34">
        <f>IF(H46=0,"",(E46-H46)/ABS(H46))</f>
        <v>0.27756963751856817</v>
      </c>
      <c r="K46" s="35">
        <f>+'COL. CONS.$'!K46/Paramet!$G$5*1000</f>
        <v>588067.09536933084</v>
      </c>
      <c r="L46" s="33">
        <f>+K46/$K$20</f>
        <v>0.44208706239241258</v>
      </c>
      <c r="M46" s="35">
        <f>+'COL. CONS.$'!M46/Paramet!$G$3*1000</f>
        <v>671849.34130376414</v>
      </c>
      <c r="N46" s="33">
        <f>+M46/$M$20</f>
        <v>0.45094297750585777</v>
      </c>
      <c r="O46" s="33">
        <f>IF(K46=0,"",(M46-K46)/ABS(K46)+1)</f>
        <v>1.142470555816109</v>
      </c>
      <c r="P46" s="35">
        <f>+'COL. CONS.$'!P46/Paramet!$G$4*1000</f>
        <v>480182.29166845151</v>
      </c>
      <c r="Q46" s="33">
        <f>+P46/$P$20</f>
        <v>0.49520841573033653</v>
      </c>
      <c r="R46" s="34">
        <f>IF(P46=0,"",(M46-P46)/ABS(P46))</f>
        <v>0.39915476468185085</v>
      </c>
    </row>
    <row r="48" spans="2:27" x14ac:dyDescent="0.2">
      <c r="P48" s="24"/>
    </row>
  </sheetData>
  <conditionalFormatting sqref="J10:J46">
    <cfRule type="cellIs" dxfId="7" priority="2" operator="lessThan">
      <formula>0</formula>
    </cfRule>
  </conditionalFormatting>
  <conditionalFormatting sqref="R10:R46">
    <cfRule type="cellIs" dxfId="6" priority="3" operator="lessThan">
      <formula>0</formula>
    </cfRule>
  </conditionalFormatting>
  <conditionalFormatting sqref="AE10:AE11 AE13:AE17 AE19:AE28 AE30">
    <cfRule type="cellIs" dxfId="5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4773F-F3CE-414C-AEEE-AE9D0426AFD5}">
  <sheetPr>
    <tabColor theme="0" tint="-0.249977111117893"/>
  </sheetPr>
  <dimension ref="A1:AI68"/>
  <sheetViews>
    <sheetView showGridLines="0" topLeftCell="A40" zoomScaleNormal="100" workbookViewId="0">
      <selection activeCell="B47" sqref="B47:N49"/>
    </sheetView>
  </sheetViews>
  <sheetFormatPr baseColWidth="10" defaultRowHeight="12.75" x14ac:dyDescent="0.2"/>
  <cols>
    <col min="1" max="1" width="3.42578125" style="2" customWidth="1"/>
    <col min="2" max="2" width="30.7109375" style="2" customWidth="1"/>
    <col min="3" max="3" width="10.140625" style="2" customWidth="1"/>
    <col min="4" max="4" width="8.5703125" style="2" customWidth="1"/>
    <col min="5" max="7" width="10.7109375" style="2" customWidth="1"/>
    <col min="8" max="8" width="9.7109375" style="2" customWidth="1"/>
    <col min="9" max="9" width="7.85546875" style="2" customWidth="1"/>
    <col min="10" max="10" width="6.5703125" style="2" bestFit="1" customWidth="1"/>
    <col min="11" max="11" width="11.5703125" style="2" customWidth="1"/>
    <col min="12" max="12" width="7.140625" style="2" customWidth="1"/>
    <col min="13" max="13" width="9.85546875" style="2" customWidth="1"/>
    <col min="14" max="14" width="10.85546875" style="2" customWidth="1"/>
    <col min="15" max="15" width="6.140625" style="2" customWidth="1"/>
    <col min="16" max="16" width="10.140625" style="2" customWidth="1"/>
    <col min="17" max="17" width="6.85546875" style="2" customWidth="1"/>
    <col min="18" max="18" width="10.140625" style="2" bestFit="1" customWidth="1"/>
    <col min="19" max="19" width="10.140625" style="2" customWidth="1"/>
    <col min="20" max="20" width="8.5703125" style="2" customWidth="1"/>
    <col min="21" max="21" width="22.7109375" style="2" customWidth="1"/>
    <col min="22" max="23" width="10.140625" style="2" customWidth="1"/>
    <col min="24" max="24" width="9.85546875" style="2" customWidth="1"/>
    <col min="25" max="25" width="10.42578125" style="2" customWidth="1"/>
    <col min="26" max="28" width="11.5703125" style="2" customWidth="1"/>
    <col min="29" max="29" width="9.28515625" style="2" customWidth="1"/>
    <col min="30" max="30" width="10.28515625" style="2" customWidth="1"/>
    <col min="31" max="31" width="3.85546875" style="2" customWidth="1"/>
    <col min="32" max="34" width="11.5703125" style="2" customWidth="1"/>
    <col min="35" max="16384" width="11.42578125" style="2"/>
  </cols>
  <sheetData>
    <row r="1" spans="1:34" s="54" customFormat="1" x14ac:dyDescent="0.2"/>
    <row r="2" spans="1:34" x14ac:dyDescent="0.2">
      <c r="Z2" s="54"/>
      <c r="AA2" s="54"/>
      <c r="AB2" s="54"/>
    </row>
    <row r="3" spans="1:34" ht="18" x14ac:dyDescent="0.25">
      <c r="B3" s="16" t="s">
        <v>102</v>
      </c>
      <c r="T3" s="18"/>
      <c r="U3" s="90" t="str">
        <f>+B3</f>
        <v>MUSICAR S.A. EL SALVADOR</v>
      </c>
    </row>
    <row r="4" spans="1:34" x14ac:dyDescent="0.2">
      <c r="B4" s="3" t="s">
        <v>103</v>
      </c>
      <c r="U4" s="3" t="s">
        <v>21</v>
      </c>
    </row>
    <row r="5" spans="1:34" x14ac:dyDescent="0.2">
      <c r="B5" s="3" t="s">
        <v>91</v>
      </c>
      <c r="U5" s="3" t="s">
        <v>91</v>
      </c>
    </row>
    <row r="6" spans="1:34" ht="13.5" thickBot="1" x14ac:dyDescent="0.25">
      <c r="B6" s="79" t="str">
        <f>+'COL. CONS.$'!B6</f>
        <v>JUNIO de 2024</v>
      </c>
      <c r="C6" s="91"/>
      <c r="K6" s="86" t="s">
        <v>23</v>
      </c>
      <c r="L6" s="86"/>
      <c r="M6" s="86"/>
      <c r="N6" s="86"/>
      <c r="O6" s="86"/>
      <c r="P6" s="86"/>
      <c r="Q6" s="86"/>
      <c r="R6" s="86"/>
      <c r="S6" s="92"/>
      <c r="T6" s="93"/>
      <c r="U6" s="20" t="str">
        <f>+B6</f>
        <v>JUNIO de 2024</v>
      </c>
      <c r="Y6" s="21" t="s">
        <v>23</v>
      </c>
      <c r="Z6" s="21"/>
      <c r="AA6" s="21"/>
      <c r="AB6" s="21"/>
      <c r="AC6" s="21"/>
      <c r="AD6" s="21"/>
    </row>
    <row r="7" spans="1:34" x14ac:dyDescent="0.2">
      <c r="A7" s="94"/>
      <c r="B7" s="3"/>
      <c r="C7" s="61" t="str">
        <f>+'COLOMB$ '!D7:D7</f>
        <v>Ppto 2024</v>
      </c>
      <c r="D7" s="61"/>
      <c r="E7" s="61" t="str">
        <f>+'COLOMB$ '!F7:F7</f>
        <v>Real 2024</v>
      </c>
      <c r="F7" s="61"/>
      <c r="G7" s="61" t="s">
        <v>24</v>
      </c>
      <c r="H7" s="61" t="str">
        <f>+'COLOMB$ '!I7:I7</f>
        <v>Real 2023</v>
      </c>
      <c r="I7" s="61"/>
      <c r="J7" s="61" t="s">
        <v>25</v>
      </c>
      <c r="K7" s="61" t="str">
        <f>+C7</f>
        <v>Ppto 2024</v>
      </c>
      <c r="L7" s="61"/>
      <c r="M7" s="61" t="str">
        <f>+E7</f>
        <v>Real 2024</v>
      </c>
      <c r="N7" s="61"/>
      <c r="O7" s="61" t="s">
        <v>24</v>
      </c>
      <c r="P7" s="61" t="str">
        <f>+H7</f>
        <v>Real 2023</v>
      </c>
      <c r="Q7" s="61"/>
      <c r="R7" s="61" t="s">
        <v>25</v>
      </c>
      <c r="S7" s="61"/>
      <c r="T7" s="63"/>
      <c r="V7" s="54" t="str">
        <f>+C7</f>
        <v>Ppto 2024</v>
      </c>
      <c r="W7" s="54" t="str">
        <f>+M7</f>
        <v>Real 2024</v>
      </c>
      <c r="X7" s="54" t="str">
        <f>+H7</f>
        <v>Real 2023</v>
      </c>
      <c r="Y7" s="54" t="str">
        <f>+V7</f>
        <v>Ppto 2024</v>
      </c>
      <c r="Z7" s="54" t="str">
        <f>+W7</f>
        <v>Real 2024</v>
      </c>
      <c r="AA7" s="54" t="s">
        <v>26</v>
      </c>
      <c r="AB7" s="54" t="s">
        <v>24</v>
      </c>
      <c r="AC7" s="54" t="str">
        <f>+X7</f>
        <v>Real 2023</v>
      </c>
      <c r="AD7" s="54" t="s">
        <v>25</v>
      </c>
      <c r="AF7" s="2" t="s">
        <v>104</v>
      </c>
    </row>
    <row r="8" spans="1:34" ht="13.5" thickBot="1" x14ac:dyDescent="0.25">
      <c r="B8" s="29" t="s">
        <v>27</v>
      </c>
      <c r="C8" s="66" t="s">
        <v>28</v>
      </c>
      <c r="D8" s="66" t="s">
        <v>29</v>
      </c>
      <c r="E8" s="66" t="s">
        <v>28</v>
      </c>
      <c r="F8" s="66" t="s">
        <v>29</v>
      </c>
      <c r="G8" s="66" t="s">
        <v>30</v>
      </c>
      <c r="H8" s="66" t="s">
        <v>28</v>
      </c>
      <c r="I8" s="66" t="s">
        <v>29</v>
      </c>
      <c r="J8" s="66" t="s">
        <v>30</v>
      </c>
      <c r="K8" s="66" t="s">
        <v>28</v>
      </c>
      <c r="L8" s="66" t="s">
        <v>29</v>
      </c>
      <c r="M8" s="66" t="s">
        <v>28</v>
      </c>
      <c r="N8" s="66" t="s">
        <v>29</v>
      </c>
      <c r="O8" s="66" t="s">
        <v>30</v>
      </c>
      <c r="P8" s="66" t="s">
        <v>28</v>
      </c>
      <c r="Q8" s="66" t="s">
        <v>29</v>
      </c>
      <c r="R8" s="66" t="s">
        <v>30</v>
      </c>
      <c r="S8" s="61"/>
      <c r="T8" s="63"/>
      <c r="U8" s="29"/>
      <c r="V8" s="30"/>
      <c r="W8" s="30"/>
      <c r="X8" s="30"/>
      <c r="Y8" s="29"/>
      <c r="Z8" s="29"/>
      <c r="AA8" s="30"/>
      <c r="AB8" s="30" t="s">
        <v>30</v>
      </c>
      <c r="AC8" s="29"/>
      <c r="AD8" s="30" t="s">
        <v>30</v>
      </c>
      <c r="AF8" s="2" t="s">
        <v>105</v>
      </c>
      <c r="AG8" s="2" t="s">
        <v>106</v>
      </c>
      <c r="AH8" s="2" t="s">
        <v>107</v>
      </c>
    </row>
    <row r="9" spans="1:34" x14ac:dyDescent="0.2">
      <c r="C9" s="61"/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</row>
    <row r="10" spans="1:34" x14ac:dyDescent="0.2">
      <c r="A10" s="94"/>
      <c r="B10" s="3" t="str">
        <f>+'COLOMB$ '!B10</f>
        <v>Musical Experience  (Ambiental)</v>
      </c>
      <c r="C10" s="32">
        <v>6376</v>
      </c>
      <c r="D10" s="34">
        <f>+C10/$C$20</f>
        <v>0.77651930337352337</v>
      </c>
      <c r="E10" s="32">
        <v>5737.43</v>
      </c>
      <c r="F10" s="34">
        <f>+E10/$E$20</f>
        <v>0.85222561713770506</v>
      </c>
      <c r="G10" s="34">
        <f>IF(C10=0,"",(E10-C10)/ABS(C10)+1)</f>
        <v>0.89984786700125474</v>
      </c>
      <c r="H10" s="32">
        <v>6114.05</v>
      </c>
      <c r="I10" s="34">
        <f>+H10/$H$20</f>
        <v>0.85162083821425738</v>
      </c>
      <c r="J10" s="34">
        <f>IF(H10=0,"",(E10-H10)/ABS(H10))</f>
        <v>-6.1599103703764264E-2</v>
      </c>
      <c r="K10" s="32">
        <v>38282</v>
      </c>
      <c r="L10" s="34">
        <f>+K10/$K$20</f>
        <v>0.7544291823502749</v>
      </c>
      <c r="M10" s="32">
        <v>36202.550000000003</v>
      </c>
      <c r="N10" s="34">
        <f>+M10/$M$20</f>
        <v>0.77268849550004681</v>
      </c>
      <c r="O10" s="34">
        <f>IF(K10=0,"",(M10-K10)/ABS(K10)+1)</f>
        <v>0.94568073768350669</v>
      </c>
      <c r="P10" s="32">
        <v>38537.839999999997</v>
      </c>
      <c r="Q10" s="34">
        <f>+P10/$P$20</f>
        <v>0.77715433448145133</v>
      </c>
      <c r="R10" s="34">
        <f t="shared" ref="R10:R17" si="0">IF(P10=0,"",(M10-P10)/ABS(P10))</f>
        <v>-6.0597324603558315E-2</v>
      </c>
      <c r="S10" s="34"/>
      <c r="T10" s="63"/>
      <c r="U10" s="3" t="s">
        <v>31</v>
      </c>
      <c r="V10" s="32">
        <v>16048.753608472227</v>
      </c>
      <c r="W10" s="32">
        <v>21288</v>
      </c>
      <c r="X10" s="32">
        <v>16813</v>
      </c>
      <c r="Y10" s="32">
        <v>15168</v>
      </c>
      <c r="Z10" s="32">
        <v>15168</v>
      </c>
      <c r="AA10" s="63">
        <f>+Z10-Y10</f>
        <v>0</v>
      </c>
      <c r="AB10" s="68">
        <f>IF(Y10=0,"",(Z10-Y10)/ABS(Y10)+1)</f>
        <v>1</v>
      </c>
      <c r="AC10" s="32">
        <v>11259</v>
      </c>
      <c r="AD10" s="34">
        <f>IF(X10=0,"",(Z10-AC10)/ABS(AC10))</f>
        <v>0.34718891553423925</v>
      </c>
      <c r="AF10" s="67">
        <v>15168</v>
      </c>
      <c r="AG10" s="67"/>
      <c r="AH10" s="67">
        <v>15168</v>
      </c>
    </row>
    <row r="11" spans="1:34" x14ac:dyDescent="0.2">
      <c r="A11" s="94"/>
      <c r="B11" s="3" t="str">
        <f>+'COLOMB$ '!B11</f>
        <v>Instalaciones</v>
      </c>
      <c r="C11" s="32">
        <v>460</v>
      </c>
      <c r="D11" s="34">
        <f>+C11/$C$20</f>
        <v>5.6022408963585436E-2</v>
      </c>
      <c r="E11" s="32">
        <v>0</v>
      </c>
      <c r="F11" s="34">
        <f>+E11/$E$20</f>
        <v>0</v>
      </c>
      <c r="G11" s="34">
        <f>IF(C11=0,"",(E11-C11)/ABS(C11)+1)</f>
        <v>0</v>
      </c>
      <c r="H11" s="32">
        <v>0</v>
      </c>
      <c r="I11" s="34">
        <f>+H11/$H$20</f>
        <v>0</v>
      </c>
      <c r="J11" s="34" t="str">
        <f>IF(H11=0,"",(E11-H11)/ABS(H11))</f>
        <v/>
      </c>
      <c r="K11" s="32">
        <v>2818</v>
      </c>
      <c r="L11" s="34">
        <f>+K11/$K$20</f>
        <v>5.5534753562067676E-2</v>
      </c>
      <c r="M11" s="32">
        <v>1270</v>
      </c>
      <c r="N11" s="34">
        <f>+M11/$M$20</f>
        <v>2.7106222884439337E-2</v>
      </c>
      <c r="O11" s="34">
        <f>IF(K11=0,"",(M11-K11)/ABS(K11)+1)</f>
        <v>0.4506742370475515</v>
      </c>
      <c r="P11" s="32">
        <v>2090</v>
      </c>
      <c r="Q11" s="34">
        <f>+P11/$P$20</f>
        <v>4.2146953723048136E-2</v>
      </c>
      <c r="R11" s="34">
        <f t="shared" si="0"/>
        <v>-0.3923444976076555</v>
      </c>
      <c r="S11" s="34"/>
      <c r="T11" s="63"/>
      <c r="U11" s="3" t="s">
        <v>32</v>
      </c>
      <c r="V11" s="32">
        <v>9605.8756621111079</v>
      </c>
      <c r="W11" s="32">
        <v>6780.9000000000005</v>
      </c>
      <c r="X11" s="32">
        <v>8343</v>
      </c>
      <c r="Y11" s="32">
        <f>+AF11+V11</f>
        <v>58181.314092111112</v>
      </c>
      <c r="Z11" s="32">
        <f>+W11+AH11</f>
        <v>53688.5</v>
      </c>
      <c r="AA11" s="63">
        <f>+Z11-Y11</f>
        <v>-4492.8140921111117</v>
      </c>
      <c r="AB11" s="68">
        <f>IF(Y11=0,"",(Z11-Y11)/ABS(Y11)+1)</f>
        <v>0.92277908874663428</v>
      </c>
      <c r="AC11" s="32">
        <v>46092.800000000003</v>
      </c>
      <c r="AD11" s="34">
        <f>IF(AC11=0,"",(Z11-AC11)/ABS(AC11))</f>
        <v>0.16479146417661752</v>
      </c>
      <c r="AF11" s="32">
        <v>48575.438430000002</v>
      </c>
      <c r="AG11" s="32"/>
      <c r="AH11" s="32">
        <v>46907.6</v>
      </c>
    </row>
    <row r="12" spans="1:34" x14ac:dyDescent="0.2">
      <c r="A12" s="94"/>
      <c r="B12" s="3" t="str">
        <f>+'COLOMB$ '!B12</f>
        <v>Voice Experience (Publihold)</v>
      </c>
      <c r="C12" s="32">
        <v>1014</v>
      </c>
      <c r="D12" s="34">
        <f>+C12/$C$20</f>
        <v>0.12349287541103397</v>
      </c>
      <c r="E12" s="32">
        <v>994.86</v>
      </c>
      <c r="F12" s="34">
        <f>+E12/$E$20</f>
        <v>0.147774382862295</v>
      </c>
      <c r="G12" s="34">
        <f>IF(C12=0,"",(E12-C12)/ABS(C12)+1)</f>
        <v>0.98112426035502964</v>
      </c>
      <c r="H12" s="32">
        <v>1065.26</v>
      </c>
      <c r="I12" s="34">
        <f>+H12/$H$20</f>
        <v>0.14837916178574262</v>
      </c>
      <c r="J12" s="34">
        <f>IF(H12=0,"",(E12-H12)/ABS(H12))</f>
        <v>-6.6087152432270035E-2</v>
      </c>
      <c r="K12" s="32">
        <v>6021</v>
      </c>
      <c r="L12" s="34">
        <f>+K12/$K$20</f>
        <v>0.11865676053839938</v>
      </c>
      <c r="M12" s="32">
        <v>6617.16</v>
      </c>
      <c r="N12" s="34">
        <f>+M12/$M$20</f>
        <v>0.14123323922991859</v>
      </c>
      <c r="O12" s="34">
        <f>IF(K12=0,"",(M12-K12)/ABS(K12)+1)</f>
        <v>1.0990134529147981</v>
      </c>
      <c r="P12" s="32">
        <v>6904.56</v>
      </c>
      <c r="Q12" s="34">
        <f>+P12/$P$20</f>
        <v>0.1392374022956982</v>
      </c>
      <c r="R12" s="34">
        <f t="shared" si="0"/>
        <v>-4.16246654384929E-2</v>
      </c>
      <c r="S12" s="34"/>
      <c r="T12" s="63"/>
    </row>
    <row r="13" spans="1:34" x14ac:dyDescent="0.2">
      <c r="A13" s="94"/>
      <c r="B13" s="3" t="str">
        <f>+'COLOMB$ '!B13</f>
        <v>Service &amp; Equipment Experience</v>
      </c>
      <c r="C13" s="32">
        <v>220</v>
      </c>
      <c r="D13" s="34">
        <f>+C13/$C$20</f>
        <v>2.6793326026062599E-2</v>
      </c>
      <c r="E13" s="32">
        <v>0</v>
      </c>
      <c r="F13" s="34"/>
      <c r="G13" s="34">
        <f>IF(C13=0,"",(E13-C13)/ABS(C13)+1)</f>
        <v>0</v>
      </c>
      <c r="H13" s="32">
        <v>0</v>
      </c>
      <c r="I13" s="34"/>
      <c r="J13" s="34" t="str">
        <f>IF(H13=0,"",(E13-H13)/ABS(H13))</f>
        <v/>
      </c>
      <c r="K13" s="32">
        <v>1348</v>
      </c>
      <c r="L13" s="34">
        <f>+K13/$K$20</f>
        <v>2.6565240525786807E-2</v>
      </c>
      <c r="M13" s="32">
        <v>1107</v>
      </c>
      <c r="N13" s="34">
        <f>+M13/$M$20</f>
        <v>2.3627235222893186E-2</v>
      </c>
      <c r="O13" s="34">
        <f>IF(K13=0,"",(M13-K13)/ABS(K13)+1)</f>
        <v>0.82121661721068251</v>
      </c>
      <c r="P13" s="32">
        <v>400</v>
      </c>
      <c r="Q13" s="34"/>
      <c r="R13" s="34">
        <f t="shared" si="0"/>
        <v>1.7675000000000001</v>
      </c>
      <c r="S13" s="34"/>
      <c r="T13" s="63"/>
      <c r="U13" s="3" t="s">
        <v>33</v>
      </c>
      <c r="V13" s="32">
        <v>920</v>
      </c>
      <c r="W13" s="32">
        <v>0</v>
      </c>
      <c r="X13" s="32">
        <v>0</v>
      </c>
      <c r="Y13" s="32">
        <f>+AF13+V13</f>
        <v>4642</v>
      </c>
      <c r="Z13" s="32">
        <f t="shared" ref="Z13:Z16" si="1">+W13+AH13</f>
        <v>362</v>
      </c>
      <c r="AA13" s="63">
        <f>+Y13-Z13</f>
        <v>4280</v>
      </c>
      <c r="AB13" s="68">
        <f>IF(Y13=0,"",(Z13-Y13)/ABS(Y13)+1)</f>
        <v>7.79836277466609E-2</v>
      </c>
      <c r="AC13" s="32">
        <v>150</v>
      </c>
      <c r="AD13" s="34">
        <f>IF(AC13=0,"",(Z13-AC13)/ABS(AC13))</f>
        <v>1.4133333333333333</v>
      </c>
      <c r="AF13" s="32">
        <v>3722</v>
      </c>
      <c r="AG13" s="32"/>
      <c r="AH13" s="32">
        <v>362</v>
      </c>
    </row>
    <row r="14" spans="1:34" x14ac:dyDescent="0.2">
      <c r="A14" s="94"/>
      <c r="B14" s="3" t="str">
        <f>+'COLOMB$ '!B14</f>
        <v>POP Satelital</v>
      </c>
      <c r="C14" s="32"/>
      <c r="D14" s="34"/>
      <c r="E14" s="32"/>
      <c r="F14" s="34"/>
      <c r="G14" s="34"/>
      <c r="H14" s="32"/>
      <c r="I14" s="34"/>
      <c r="J14" s="34"/>
      <c r="K14" s="32"/>
      <c r="L14" s="34"/>
      <c r="M14" s="32"/>
      <c r="N14" s="34"/>
      <c r="O14" s="34"/>
      <c r="P14" s="32"/>
      <c r="Q14" s="34"/>
      <c r="R14" s="34" t="str">
        <f t="shared" si="0"/>
        <v/>
      </c>
      <c r="S14" s="34"/>
      <c r="T14" s="63"/>
      <c r="U14" s="3" t="s">
        <v>34</v>
      </c>
      <c r="V14" s="32"/>
      <c r="W14" s="32"/>
      <c r="X14" s="32"/>
      <c r="Y14" s="32">
        <f t="shared" ref="Y14:Y16" si="2">+AF14+V14</f>
        <v>0</v>
      </c>
      <c r="Z14" s="32">
        <f t="shared" si="1"/>
        <v>0</v>
      </c>
      <c r="AA14" s="63">
        <f>+Y14-Z14</f>
        <v>0</v>
      </c>
      <c r="AB14" s="68" t="str">
        <f>IF(Y14=0,"",(Z14-Y14)/ABS(Y14)+1)</f>
        <v/>
      </c>
      <c r="AC14" s="32">
        <v>0</v>
      </c>
      <c r="AD14" s="34" t="str">
        <f>IF(AC14=0,"",(Z14-AC14)/ABS(AC14))</f>
        <v/>
      </c>
      <c r="AF14" s="32">
        <v>0</v>
      </c>
      <c r="AG14" s="32"/>
      <c r="AH14" s="32">
        <v>0</v>
      </c>
    </row>
    <row r="15" spans="1:34" x14ac:dyDescent="0.2">
      <c r="A15" s="94"/>
      <c r="B15" s="3" t="str">
        <f>+'COLOMB$ '!B15</f>
        <v>Voice Experience (Audicóm)</v>
      </c>
      <c r="C15" s="32">
        <v>141</v>
      </c>
      <c r="D15" s="34">
        <f>+C15/$C$20</f>
        <v>1.7172086225794667E-2</v>
      </c>
      <c r="E15" s="32">
        <v>0</v>
      </c>
      <c r="F15" s="34"/>
      <c r="G15" s="34">
        <f>IF(C15=0,"",(E15-C15)/ABS(C15)+1)</f>
        <v>0</v>
      </c>
      <c r="H15" s="32">
        <v>0</v>
      </c>
      <c r="I15" s="34"/>
      <c r="J15" s="34" t="str">
        <f>IF(H15=0,"",(E15-H15)/ABS(H15))</f>
        <v/>
      </c>
      <c r="K15" s="32">
        <v>2274</v>
      </c>
      <c r="L15" s="34"/>
      <c r="M15" s="32">
        <v>1656</v>
      </c>
      <c r="N15" s="34"/>
      <c r="O15" s="34">
        <f>IF(K15=0,"",(M15-K15)/ABS(K15)+1)</f>
        <v>0.72823218997361483</v>
      </c>
      <c r="P15" s="32">
        <v>1656</v>
      </c>
      <c r="Q15" s="34"/>
      <c r="R15" s="34">
        <f t="shared" si="0"/>
        <v>0</v>
      </c>
      <c r="S15" s="34"/>
      <c r="T15" s="63"/>
      <c r="U15" s="3" t="s">
        <v>35</v>
      </c>
      <c r="V15" s="32">
        <v>5830.7283993499996</v>
      </c>
      <c r="W15" s="32">
        <v>4320.2</v>
      </c>
      <c r="X15" s="32">
        <v>5114</v>
      </c>
      <c r="Y15" s="32">
        <f t="shared" si="2"/>
        <v>34604.356798699999</v>
      </c>
      <c r="Z15" s="32">
        <f t="shared" si="1"/>
        <v>29001.3</v>
      </c>
      <c r="AA15" s="63">
        <f>+Y15-Z15</f>
        <v>5603.0567986999995</v>
      </c>
      <c r="AB15" s="68">
        <f>IF(Y15=0,"",(Z15-Y15)/ABS(Y15)+1)</f>
        <v>0.83808233075118177</v>
      </c>
      <c r="AC15" s="32">
        <v>25160</v>
      </c>
      <c r="AD15" s="34">
        <f>IF(AC15=0,"",(Z15-AC15)/ABS(AC15))</f>
        <v>0.15267488076311603</v>
      </c>
      <c r="AF15" s="32">
        <v>28773.62839935</v>
      </c>
      <c r="AG15" s="32"/>
      <c r="AH15" s="32">
        <v>24681.1</v>
      </c>
    </row>
    <row r="16" spans="1:34" x14ac:dyDescent="0.2">
      <c r="B16" s="3" t="str">
        <f>+'COLOMB$ '!B16</f>
        <v>Fact. Servicio Satelital</v>
      </c>
      <c r="C16" s="32"/>
      <c r="D16" s="34"/>
      <c r="E16" s="32"/>
      <c r="F16" s="34"/>
      <c r="G16" s="34"/>
      <c r="H16" s="32"/>
      <c r="I16" s="34"/>
      <c r="J16" s="34"/>
      <c r="K16" s="32">
        <f>+T16+C16</f>
        <v>0</v>
      </c>
      <c r="L16" s="34"/>
      <c r="M16" s="32"/>
      <c r="N16" s="34"/>
      <c r="O16" s="34"/>
      <c r="P16" s="32"/>
      <c r="Q16" s="34"/>
      <c r="R16" s="34" t="str">
        <f t="shared" si="0"/>
        <v/>
      </c>
      <c r="S16" s="34"/>
      <c r="T16" s="63"/>
      <c r="U16" s="3" t="s">
        <v>36</v>
      </c>
      <c r="V16" s="32">
        <v>2160.2190333333333</v>
      </c>
      <c r="W16" s="32">
        <v>1147.6999999999998</v>
      </c>
      <c r="X16" s="32">
        <v>1984</v>
      </c>
      <c r="Y16" s="32">
        <f t="shared" si="2"/>
        <v>10313.438066666666</v>
      </c>
      <c r="Z16" s="32">
        <f t="shared" si="1"/>
        <v>10206.400000000001</v>
      </c>
      <c r="AA16" s="63">
        <f>+Y16-Z16</f>
        <v>107.03806666666424</v>
      </c>
      <c r="AB16" s="68">
        <f>IF(Y16=0,"",(Z16-Y16)/ABS(Y16)+1)</f>
        <v>0.98962149518184295</v>
      </c>
      <c r="AC16" s="32">
        <v>8534.16</v>
      </c>
      <c r="AD16" s="34">
        <f>IF(AC16=0,"",(Z16-AC16)/ABS(AC16))</f>
        <v>0.19594664266899164</v>
      </c>
      <c r="AF16" s="32">
        <v>8153.2190333333328</v>
      </c>
      <c r="AG16" s="32"/>
      <c r="AH16" s="32">
        <v>9058.7000000000007</v>
      </c>
    </row>
    <row r="17" spans="1:35" x14ac:dyDescent="0.2">
      <c r="A17" s="94"/>
      <c r="B17" s="3" t="str">
        <f>+'COLOMB$ '!B17</f>
        <v>Visual Experience</v>
      </c>
      <c r="C17" s="32"/>
      <c r="D17" s="34"/>
      <c r="E17" s="32"/>
      <c r="F17" s="34"/>
      <c r="G17" s="34" t="str">
        <f>IF(C17=0,"",(E17-C17)/ABS(C17)+1)</f>
        <v/>
      </c>
      <c r="H17" s="32"/>
      <c r="I17" s="34"/>
      <c r="J17" s="34" t="str">
        <f>IF(H17=0,"",(E17-H17)/ABS(H17))</f>
        <v/>
      </c>
      <c r="K17" s="32">
        <f>+T17+C17</f>
        <v>0</v>
      </c>
      <c r="L17" s="34"/>
      <c r="M17" s="32"/>
      <c r="N17" s="34"/>
      <c r="O17" s="34" t="str">
        <f>IF(K17=0,"",(M17-K17)/ABS(K17)+1)</f>
        <v/>
      </c>
      <c r="P17" s="32"/>
      <c r="Q17" s="34"/>
      <c r="R17" s="34" t="str">
        <f t="shared" si="0"/>
        <v/>
      </c>
      <c r="S17" s="34"/>
      <c r="T17" s="63"/>
      <c r="U17" s="3" t="s">
        <v>37</v>
      </c>
      <c r="V17" s="32">
        <f>SUM(V13:V16)</f>
        <v>8910.9474326833333</v>
      </c>
      <c r="W17" s="32">
        <f>SUM(W13:W16)</f>
        <v>5467.9</v>
      </c>
      <c r="X17" s="32">
        <v>7098</v>
      </c>
      <c r="Y17" s="32">
        <f>SUM(Y13:Y16)</f>
        <v>49559.794865366668</v>
      </c>
      <c r="Z17" s="32">
        <f>SUM(Z13:Z16)</f>
        <v>39569.699999999997</v>
      </c>
      <c r="AA17" s="63">
        <f>+Z17-Y17</f>
        <v>-9990.094865366671</v>
      </c>
      <c r="AB17" s="68">
        <f>IF(Y17=0,"",(Z17-Y17)/ABS(Y17)+1)</f>
        <v>0.79842340162009151</v>
      </c>
      <c r="AC17" s="32">
        <v>33844.160000000003</v>
      </c>
      <c r="AD17" s="34">
        <f>IF(AC17=0,"",(Z17-AC17)/ABS(AC17))</f>
        <v>0.16917364768397244</v>
      </c>
      <c r="AF17" s="32">
        <v>40648.847432683331</v>
      </c>
      <c r="AG17" s="32"/>
      <c r="AH17" s="32">
        <v>34101.800000000003</v>
      </c>
    </row>
    <row r="18" spans="1:35" x14ac:dyDescent="0.2">
      <c r="A18" s="94"/>
      <c r="B18" s="3" t="str">
        <f>+'COL. CONS.$'!B18</f>
        <v>Olfa Experience</v>
      </c>
      <c r="C18" s="32">
        <v>0</v>
      </c>
      <c r="D18" s="34"/>
      <c r="E18" s="32"/>
      <c r="F18" s="34"/>
      <c r="G18" s="34"/>
      <c r="H18" s="32"/>
      <c r="I18" s="34"/>
      <c r="J18" s="34"/>
      <c r="K18" s="32">
        <v>0</v>
      </c>
      <c r="L18" s="34"/>
      <c r="M18" s="32"/>
      <c r="N18" s="34"/>
      <c r="O18" s="34"/>
      <c r="P18" s="32"/>
      <c r="Q18" s="34"/>
      <c r="R18" s="34"/>
      <c r="S18" s="34"/>
      <c r="T18" s="63"/>
    </row>
    <row r="19" spans="1:35" x14ac:dyDescent="0.2">
      <c r="B19" s="3" t="str">
        <f>+'COLOMB$ '!B19</f>
        <v>Locutor virtual</v>
      </c>
      <c r="C19" s="32"/>
      <c r="D19" s="34"/>
      <c r="E19" s="32"/>
      <c r="F19" s="34"/>
      <c r="G19" s="34"/>
      <c r="H19" s="32"/>
      <c r="I19" s="34"/>
      <c r="J19" s="34"/>
      <c r="K19" s="32"/>
      <c r="L19" s="34"/>
      <c r="M19" s="32"/>
      <c r="N19" s="34"/>
      <c r="O19" s="34"/>
      <c r="P19" s="32"/>
      <c r="Q19" s="34"/>
      <c r="R19" s="34"/>
      <c r="S19" s="34"/>
      <c r="T19" s="63"/>
      <c r="U19" s="3" t="s">
        <v>38</v>
      </c>
      <c r="V19" s="32">
        <f>V11-V17</f>
        <v>694.92822942777457</v>
      </c>
      <c r="W19" s="32">
        <f>W11-W17</f>
        <v>1313.0000000000009</v>
      </c>
      <c r="X19" s="32">
        <v>1245</v>
      </c>
      <c r="Y19" s="32">
        <f>Y11-Y17</f>
        <v>8621.5192267444436</v>
      </c>
      <c r="Z19" s="32">
        <f>Z11-Z17</f>
        <v>14118.800000000003</v>
      </c>
      <c r="AA19" s="63">
        <f>+Z19-Y19</f>
        <v>5497.2807732555593</v>
      </c>
      <c r="AB19" s="68">
        <f>IF(Y19=0,"",(Z19-Y19)/ABS(Y19)+1)</f>
        <v>1.6376232110232594</v>
      </c>
      <c r="AC19" s="32">
        <v>12248.64</v>
      </c>
      <c r="AD19" s="34">
        <f>IF(AC19=0,"",(Z19-AC19)/ABS(AC19))</f>
        <v>0.15268307338610684</v>
      </c>
      <c r="AF19" s="32">
        <v>7926.5909973166708</v>
      </c>
      <c r="AG19" s="32"/>
      <c r="AH19" s="32">
        <v>12805.799999999996</v>
      </c>
      <c r="AI19" s="55"/>
    </row>
    <row r="20" spans="1:35" x14ac:dyDescent="0.2">
      <c r="B20" s="20" t="s">
        <v>39</v>
      </c>
      <c r="C20" s="69">
        <f>SUM(C10:C19)</f>
        <v>8211</v>
      </c>
      <c r="D20" s="45">
        <f>+C20/$C$20</f>
        <v>1</v>
      </c>
      <c r="E20" s="69">
        <f>SUM(E10:E19)</f>
        <v>6732.29</v>
      </c>
      <c r="F20" s="45">
        <f>+E20/$E$20</f>
        <v>1</v>
      </c>
      <c r="G20" s="45">
        <f>IF(C20=0,"",(E20-C20)/ABS(C20)+1)</f>
        <v>0.81991109487273173</v>
      </c>
      <c r="H20" s="69">
        <f>SUM(H10:H19)</f>
        <v>7179.31</v>
      </c>
      <c r="I20" s="45">
        <f>+H20/$H$20</f>
        <v>1</v>
      </c>
      <c r="J20" s="45">
        <f>IF(H20=0,"",(E20-H20)/ABS(H20))</f>
        <v>-6.2265036612153594E-2</v>
      </c>
      <c r="K20" s="69">
        <f>SUM(K10:K19)</f>
        <v>50743</v>
      </c>
      <c r="L20" s="45">
        <f>+K20/$K$20</f>
        <v>1</v>
      </c>
      <c r="M20" s="69">
        <f>SUM(M10:M19)</f>
        <v>46852.710000000006</v>
      </c>
      <c r="N20" s="45">
        <f>+M20/$M$20</f>
        <v>1</v>
      </c>
      <c r="O20" s="45">
        <f>IF(K20=0,"",(M20-K20)/ABS(K20)+1)</f>
        <v>0.92333346471434496</v>
      </c>
      <c r="P20" s="69">
        <f>SUM(P10:P19)</f>
        <v>49588.399999999994</v>
      </c>
      <c r="Q20" s="45">
        <f>+P20/$P$20</f>
        <v>1</v>
      </c>
      <c r="R20" s="45">
        <f>IF(P20=0,"",(M20-P20)/ABS(P20))</f>
        <v>-5.5167942502681838E-2</v>
      </c>
      <c r="S20" s="45"/>
      <c r="T20" s="63"/>
      <c r="U20" s="3"/>
      <c r="V20" s="32"/>
      <c r="W20" s="32"/>
      <c r="X20" s="32"/>
      <c r="Y20" s="32"/>
      <c r="Z20" s="32"/>
      <c r="AA20" s="63"/>
      <c r="AB20" s="68"/>
      <c r="AC20" s="32"/>
      <c r="AD20" s="34"/>
      <c r="AF20" s="32"/>
      <c r="AG20" s="32"/>
      <c r="AH20" s="32"/>
    </row>
    <row r="21" spans="1:35" x14ac:dyDescent="0.2">
      <c r="J21" s="34"/>
      <c r="R21" s="34"/>
      <c r="S21" s="34"/>
      <c r="U21" s="3" t="s">
        <v>40</v>
      </c>
      <c r="V21" s="32">
        <f>+V10+V19</f>
        <v>16743.681837900003</v>
      </c>
      <c r="W21" s="32">
        <f>+W10+W19</f>
        <v>22601</v>
      </c>
      <c r="X21" s="32">
        <v>18058</v>
      </c>
      <c r="Y21" s="32">
        <f>+Y10+Y19</f>
        <v>23789.519226744444</v>
      </c>
      <c r="Z21" s="32">
        <f>+Z10+Z19</f>
        <v>29286.800000000003</v>
      </c>
      <c r="AA21" s="63">
        <f>+Z21-Y21</f>
        <v>5497.2807732555593</v>
      </c>
      <c r="AB21" s="68">
        <f>IF(Y21=0,"",(Z21-Y21)/ABS(Y21)+1)</f>
        <v>1.2310799441072964</v>
      </c>
      <c r="AC21" s="32">
        <v>23507.64</v>
      </c>
      <c r="AD21" s="34">
        <f>IF(AC21=0,"",(Z21-AC21)/ABS(AC21))</f>
        <v>0.24584177739662524</v>
      </c>
      <c r="AF21" s="32">
        <v>23094.590997316671</v>
      </c>
      <c r="AG21" s="32"/>
      <c r="AH21" s="32">
        <v>27973.799999999996</v>
      </c>
    </row>
    <row r="22" spans="1:35" x14ac:dyDescent="0.2">
      <c r="A22" s="94"/>
      <c r="B22" s="3" t="s">
        <v>41</v>
      </c>
      <c r="C22" s="32">
        <v>106</v>
      </c>
      <c r="D22" s="34">
        <f>+C22/$C$20</f>
        <v>1.2909511630739253E-2</v>
      </c>
      <c r="E22" s="32">
        <v>0</v>
      </c>
      <c r="F22" s="34">
        <f>+E22/$E$20</f>
        <v>0</v>
      </c>
      <c r="G22" s="34">
        <f>IF(C22=0,"",(E22-C22)/ABS(C22)+1)</f>
        <v>0</v>
      </c>
      <c r="H22" s="32">
        <v>0</v>
      </c>
      <c r="I22" s="34">
        <f>+H22/$H$20</f>
        <v>0</v>
      </c>
      <c r="J22" s="34" t="str">
        <f>IF(H22=0,"",(E22-H22)/ABS(H22))</f>
        <v/>
      </c>
      <c r="K22" s="32">
        <v>648</v>
      </c>
      <c r="L22" s="34">
        <f>+K22/$K$20</f>
        <v>1.2770234318034014E-2</v>
      </c>
      <c r="M22" s="32">
        <v>578.92999999999995</v>
      </c>
      <c r="N22" s="34">
        <f>+M22/$M$20</f>
        <v>1.2356382373612964E-2</v>
      </c>
      <c r="O22" s="34">
        <f>IF(K22=0,"",(M22-K22)/ABS(K22)+1)</f>
        <v>0.89341049382716042</v>
      </c>
      <c r="P22" s="32">
        <v>0</v>
      </c>
      <c r="Q22" s="34">
        <f>+P22/$P$20</f>
        <v>0</v>
      </c>
      <c r="R22" s="34" t="str">
        <f>IF(P22=0,"",(M22-P22)/ABS(P22))</f>
        <v/>
      </c>
      <c r="S22" s="34"/>
      <c r="T22" s="63"/>
      <c r="AD22" s="34"/>
    </row>
    <row r="23" spans="1:35" x14ac:dyDescent="0.2">
      <c r="J23" s="34"/>
      <c r="R23" s="34"/>
      <c r="S23" s="34"/>
      <c r="U23" s="3" t="s">
        <v>42</v>
      </c>
      <c r="V23" s="32"/>
      <c r="W23" s="32">
        <v>0</v>
      </c>
      <c r="X23" s="32">
        <v>0</v>
      </c>
      <c r="Y23" s="32">
        <f>+AF23+V23</f>
        <v>0</v>
      </c>
      <c r="Z23" s="32">
        <f>+W23+AH23</f>
        <v>585</v>
      </c>
      <c r="AA23" s="63">
        <f>+Z23-Y23</f>
        <v>585</v>
      </c>
      <c r="AB23" s="68" t="str">
        <f>IF(Y23=0,"",(Z23-Y23)/ABS(Y23)+1)</f>
        <v/>
      </c>
      <c r="AC23" s="32">
        <v>79</v>
      </c>
      <c r="AD23" s="34">
        <f>IF(AC23=0,"",(Z23-AC23)/ABS(AC23))</f>
        <v>6.4050632911392409</v>
      </c>
      <c r="AF23" s="32">
        <v>0</v>
      </c>
      <c r="AG23" s="32"/>
      <c r="AH23" s="32">
        <v>585</v>
      </c>
    </row>
    <row r="24" spans="1:35" x14ac:dyDescent="0.2">
      <c r="B24" s="3" t="s">
        <v>43</v>
      </c>
      <c r="C24" s="32">
        <f>+C20-C22</f>
        <v>8105</v>
      </c>
      <c r="D24" s="34">
        <f>+C24/$C$20</f>
        <v>0.98709048836926072</v>
      </c>
      <c r="E24" s="32">
        <f>+E20-E22</f>
        <v>6732.29</v>
      </c>
      <c r="F24" s="34">
        <f>+E24/$E$20</f>
        <v>1</v>
      </c>
      <c r="G24" s="34">
        <f>IF(C24=0,"",(E24-C24)/ABS(C24)+1)</f>
        <v>0.83063417643429982</v>
      </c>
      <c r="H24" s="32">
        <f>+H20-H22</f>
        <v>7179.31</v>
      </c>
      <c r="I24" s="34">
        <f>+H24/$H$20</f>
        <v>1</v>
      </c>
      <c r="J24" s="34">
        <f>IF(H24=0,"",(E24-H24)/ABS(H24))</f>
        <v>-6.2265036612153594E-2</v>
      </c>
      <c r="K24" s="32">
        <f>+K20-K22</f>
        <v>50095</v>
      </c>
      <c r="L24" s="34">
        <f>+K24/$K$20</f>
        <v>0.98722976568196597</v>
      </c>
      <c r="M24" s="32">
        <f>+M20-M22</f>
        <v>46273.780000000006</v>
      </c>
      <c r="N24" s="34">
        <f>+M24/$M$20</f>
        <v>0.98764361762638708</v>
      </c>
      <c r="O24" s="34">
        <f>IF(K24=0,"",(M24-K24)/ABS(K24)+1)</f>
        <v>0.92372053099111695</v>
      </c>
      <c r="P24" s="32">
        <f>+P20-P22</f>
        <v>49588.399999999994</v>
      </c>
      <c r="Q24" s="34">
        <f>+P24/$P$20</f>
        <v>1</v>
      </c>
      <c r="R24" s="34">
        <f>IF(P24=0,"",(M24-P24)/ABS(P24))</f>
        <v>-6.684264868396618E-2</v>
      </c>
      <c r="S24" s="34"/>
      <c r="T24" s="63"/>
      <c r="AD24" s="34"/>
    </row>
    <row r="25" spans="1:35" x14ac:dyDescent="0.2">
      <c r="J25" s="34"/>
      <c r="R25" s="34"/>
      <c r="S25" s="34"/>
      <c r="U25" s="3" t="s">
        <v>44</v>
      </c>
      <c r="V25" s="32">
        <v>1204.8551173999999</v>
      </c>
      <c r="W25" s="32">
        <v>952.9</v>
      </c>
      <c r="X25" s="32">
        <v>1235</v>
      </c>
      <c r="Y25" s="32">
        <f>+AF25+V25</f>
        <v>8250.4038347999995</v>
      </c>
      <c r="Z25" s="32">
        <f t="shared" ref="Z25" si="3">+W25+AH25</f>
        <v>7053.7</v>
      </c>
      <c r="AA25" s="63">
        <f>+Z25-Y25</f>
        <v>-1196.7038347999996</v>
      </c>
      <c r="AB25" s="68">
        <f>IF(Y25=0,"",(Z25-Y25)/ABS(Y25)+1)</f>
        <v>0.85495208976894776</v>
      </c>
      <c r="AC25" s="32">
        <v>6615.7000000000007</v>
      </c>
      <c r="AD25" s="34">
        <f>IF(AC25=0,"",(Z25-AC25)/ABS(AC25))</f>
        <v>6.6206145986063308E-2</v>
      </c>
      <c r="AF25" s="32">
        <v>7045.5487174</v>
      </c>
      <c r="AG25" s="32"/>
      <c r="AH25" s="32">
        <v>6100.8</v>
      </c>
    </row>
    <row r="26" spans="1:35" x14ac:dyDescent="0.2">
      <c r="B26" s="3" t="s">
        <v>45</v>
      </c>
      <c r="C26" s="32">
        <v>654</v>
      </c>
      <c r="D26" s="34">
        <f>+C26/$C$20</f>
        <v>7.9649251004749733E-2</v>
      </c>
      <c r="E26" s="32">
        <v>432.32</v>
      </c>
      <c r="F26" s="34">
        <f>+E26/$E$20</f>
        <v>6.4215890878141016E-2</v>
      </c>
      <c r="G26" s="34">
        <f>IF(C26=0,"",(E26-C26)/ABS(C26)+1)</f>
        <v>0.66103975535168202</v>
      </c>
      <c r="H26" s="32">
        <v>535.29</v>
      </c>
      <c r="I26" s="34">
        <f>+H26/$H$20</f>
        <v>7.4560090036507681E-2</v>
      </c>
      <c r="J26" s="34">
        <f>IF(H26=0,"",(E26-H26)/ABS(H26))</f>
        <v>-0.19236301817706286</v>
      </c>
      <c r="K26" s="32">
        <v>4057</v>
      </c>
      <c r="L26" s="34">
        <f>+K26/$K$20</f>
        <v>7.9951914549790115E-2</v>
      </c>
      <c r="M26" s="32">
        <v>3003.92</v>
      </c>
      <c r="N26" s="34">
        <f>+M26/$M$20</f>
        <v>6.4114114210255924E-2</v>
      </c>
      <c r="O26" s="34">
        <f>IF(K26=0,"",(M26-K26)/ABS(K26)+1)</f>
        <v>0.74042888834113874</v>
      </c>
      <c r="P26" s="32">
        <v>4006.39</v>
      </c>
      <c r="Q26" s="34">
        <f>+P26/$P$20</f>
        <v>8.0792887046164025E-2</v>
      </c>
      <c r="R26" s="34">
        <f>IF(P26=0,"",(M26-P26)/ABS(P26))</f>
        <v>-0.25021777710108101</v>
      </c>
      <c r="S26" s="34"/>
      <c r="T26" s="63"/>
      <c r="AD26" s="34"/>
      <c r="AH26" s="54"/>
    </row>
    <row r="27" spans="1:35" x14ac:dyDescent="0.2">
      <c r="B27" s="3" t="s">
        <v>46</v>
      </c>
      <c r="C27" s="32">
        <v>1157</v>
      </c>
      <c r="D27" s="34">
        <f>+C27/$C$20</f>
        <v>0.14090853732797468</v>
      </c>
      <c r="E27" s="32">
        <v>988.68</v>
      </c>
      <c r="F27" s="34">
        <f>+E27/$E$20</f>
        <v>0.14685641884113726</v>
      </c>
      <c r="G27" s="34">
        <f>IF(C27=0,"",(E27-C27)/ABS(C27)+1)</f>
        <v>0.85452031114952454</v>
      </c>
      <c r="H27" s="32">
        <v>1084.54</v>
      </c>
      <c r="I27" s="34">
        <f>+H27/$H$20</f>
        <v>0.15106465663134758</v>
      </c>
      <c r="J27" s="34">
        <f>IF(H27=0,"",(E27-H27)/ABS(H27))</f>
        <v>-8.8387703542515739E-2</v>
      </c>
      <c r="K27" s="32">
        <v>7069</v>
      </c>
      <c r="L27" s="34">
        <f>+K27/$K$20</f>
        <v>0.13930985554657785</v>
      </c>
      <c r="M27" s="32">
        <v>7218.54</v>
      </c>
      <c r="N27" s="34">
        <f>+M27/$M$20</f>
        <v>0.15406878278759115</v>
      </c>
      <c r="O27" s="34">
        <f>IF(K27=0,"",(M27-K27)/ABS(K27)+1)</f>
        <v>1.0211543358325081</v>
      </c>
      <c r="P27" s="32">
        <v>6920.39</v>
      </c>
      <c r="Q27" s="34">
        <f>+P27/$P$20</f>
        <v>0.13955663017963882</v>
      </c>
      <c r="R27" s="34">
        <f>IF(P27=0,"",(M27-P27)/ABS(P27))</f>
        <v>4.3082832036922723E-2</v>
      </c>
      <c r="S27" s="34"/>
      <c r="T27" s="63"/>
      <c r="U27" s="3" t="s">
        <v>47</v>
      </c>
      <c r="V27" s="32"/>
      <c r="W27" s="32"/>
      <c r="X27" s="32"/>
      <c r="Y27" s="32">
        <f t="shared" ref="Y27:Y28" si="4">+AF27+V27</f>
        <v>0</v>
      </c>
      <c r="Z27" s="32">
        <f t="shared" ref="Z27:Z28" si="5">+W27+AH27</f>
        <v>0</v>
      </c>
      <c r="AA27" s="63">
        <f>+Z27-Y27</f>
        <v>0</v>
      </c>
      <c r="AB27" s="68" t="str">
        <f>IF(Y27=0,"",(Z27-Y27)/ABS(Y27)+1)</f>
        <v/>
      </c>
      <c r="AC27" s="32">
        <v>0</v>
      </c>
      <c r="AD27" s="34" t="str">
        <f>IF(AC27=0,"",(Z27-AC27)/ABS(AC27))</f>
        <v/>
      </c>
      <c r="AF27" s="32">
        <v>0</v>
      </c>
      <c r="AG27" s="32"/>
      <c r="AH27" s="2">
        <v>0</v>
      </c>
    </row>
    <row r="28" spans="1:35" x14ac:dyDescent="0.2">
      <c r="B28" s="3" t="s">
        <v>48</v>
      </c>
      <c r="C28" s="32">
        <f>SUM(C26:C27)</f>
        <v>1811</v>
      </c>
      <c r="D28" s="34">
        <f>+C28/$C$20</f>
        <v>0.22055778833272438</v>
      </c>
      <c r="E28" s="32">
        <f>SUM(E26:E27)</f>
        <v>1421</v>
      </c>
      <c r="F28" s="34">
        <f>+E28/$E$20</f>
        <v>0.21107230971927829</v>
      </c>
      <c r="G28" s="34">
        <f>IF(C28=0,"",(E28-C28)/ABS(C28)+1)</f>
        <v>0.78464936499171722</v>
      </c>
      <c r="H28" s="32">
        <f>SUM(H26:H27)</f>
        <v>1619.83</v>
      </c>
      <c r="I28" s="34">
        <f>+H28/$H$20</f>
        <v>0.22562474666785526</v>
      </c>
      <c r="J28" s="34">
        <f>IF(H28=0,"",(E28-H28)/ABS(H28))</f>
        <v>-0.12274744880635619</v>
      </c>
      <c r="K28" s="32">
        <f>SUM(K26:K27)</f>
        <v>11126</v>
      </c>
      <c r="L28" s="34">
        <f>+K28/$K$20</f>
        <v>0.21926177009636796</v>
      </c>
      <c r="M28" s="32">
        <f>SUM(M26:M27)</f>
        <v>10222.459999999999</v>
      </c>
      <c r="N28" s="34">
        <f>+M28/$M$20</f>
        <v>0.21818289699784704</v>
      </c>
      <c r="O28" s="34">
        <f>IF(K28=0,"",(M28-K28)/ABS(K28)+1)</f>
        <v>0.91879022110372088</v>
      </c>
      <c r="P28" s="32">
        <f>SUM(P26:P27)</f>
        <v>10926.78</v>
      </c>
      <c r="Q28" s="34">
        <f>+P28/$P$20</f>
        <v>0.22034951722580284</v>
      </c>
      <c r="R28" s="34">
        <f>IF(P28=0,"",(M28-P28)/ABS(P28))</f>
        <v>-6.4458147780041469E-2</v>
      </c>
      <c r="S28" s="34"/>
      <c r="T28" s="63"/>
      <c r="U28" s="3" t="s">
        <v>49</v>
      </c>
      <c r="V28" s="32"/>
      <c r="W28" s="32"/>
      <c r="X28" s="32"/>
      <c r="Y28" s="32">
        <f t="shared" si="4"/>
        <v>0</v>
      </c>
      <c r="Z28" s="32">
        <f t="shared" si="5"/>
        <v>0</v>
      </c>
      <c r="AA28" s="63">
        <f>+Z28-Y28</f>
        <v>0</v>
      </c>
      <c r="AB28" s="68" t="str">
        <f>IF(Y28=0,"",(Z28-Y28)/ABS(Y28)+1)</f>
        <v/>
      </c>
      <c r="AC28" s="32">
        <v>0</v>
      </c>
      <c r="AD28" s="34" t="str">
        <f>IF(AC28=0,"",(Z28-AC28)/ABS(AC28))</f>
        <v/>
      </c>
      <c r="AF28" s="32">
        <v>0</v>
      </c>
      <c r="AG28" s="32"/>
      <c r="AH28" s="2">
        <v>0</v>
      </c>
    </row>
    <row r="29" spans="1:35" x14ac:dyDescent="0.2">
      <c r="J29" s="34"/>
      <c r="R29" s="34"/>
      <c r="S29" s="34"/>
    </row>
    <row r="30" spans="1:35" x14ac:dyDescent="0.2">
      <c r="B30" s="3" t="s">
        <v>50</v>
      </c>
      <c r="C30" s="32">
        <v>6908</v>
      </c>
      <c r="D30" s="34">
        <f>+C30/$C$20</f>
        <v>0.84131043721836563</v>
      </c>
      <c r="E30" s="32">
        <v>4938.99</v>
      </c>
      <c r="F30" s="34">
        <f>+E30/$E$20</f>
        <v>0.73362704221000574</v>
      </c>
      <c r="G30" s="34">
        <f>IF(C30=0,"",(E30-C30)/ABS(C30)+1)</f>
        <v>0.71496670526925299</v>
      </c>
      <c r="H30" s="32">
        <v>6519.41</v>
      </c>
      <c r="I30" s="34">
        <f>+H30/$H$20</f>
        <v>0.90808308876479771</v>
      </c>
      <c r="J30" s="34">
        <f>IF(H30=0,"",(E30-H30)/ABS(H30))</f>
        <v>-0.24241764208724412</v>
      </c>
      <c r="K30" s="32">
        <v>38368</v>
      </c>
      <c r="L30" s="34">
        <f>+K30/$K$20</f>
        <v>0.75612399739865599</v>
      </c>
      <c r="M30" s="32">
        <v>34344.660000000003</v>
      </c>
      <c r="N30" s="34">
        <f>+M30/$M$20</f>
        <v>0.73303465263802237</v>
      </c>
      <c r="O30" s="34">
        <f>IF(K30=0,"",(M30-K30)/ABS(K30)+1)</f>
        <v>0.89513813594662228</v>
      </c>
      <c r="P30" s="32">
        <v>36053.839999999997</v>
      </c>
      <c r="Q30" s="34">
        <f>+P30/$P$20</f>
        <v>0.72706197417137886</v>
      </c>
      <c r="R30" s="34">
        <f>IF(P30=0,"",(M30-P30)/ABS(P30))</f>
        <v>-4.7406323431845074E-2</v>
      </c>
      <c r="S30" s="34"/>
      <c r="T30" s="63"/>
      <c r="U30" s="20" t="s">
        <v>51</v>
      </c>
      <c r="V30" s="69">
        <f>V21-V23-V25-V27-V28</f>
        <v>15538.826720500003</v>
      </c>
      <c r="W30" s="69">
        <f>W21-W23-W25-W27-W28</f>
        <v>21648.1</v>
      </c>
      <c r="X30" s="69">
        <v>16823</v>
      </c>
      <c r="Y30" s="69">
        <f>Y21-Y23-Y25-Y27-Y28</f>
        <v>15539.115391944444</v>
      </c>
      <c r="Z30" s="69">
        <f>Z21-Z23-Z25-Z27-Z28</f>
        <v>21648.100000000002</v>
      </c>
      <c r="AA30" s="71">
        <f>+Z30-Y30</f>
        <v>6108.9846080555581</v>
      </c>
      <c r="AB30" s="72">
        <f>IF(V30=0,"",(W30-V30)/ABS(V30)+1)</f>
        <v>1.3931618126251564</v>
      </c>
      <c r="AC30" s="69">
        <v>16812.939999999999</v>
      </c>
      <c r="AD30" s="34">
        <f>IF(AC30=0,"",(Z30-AC30)/ABS(AC30))</f>
        <v>0.2875856334466193</v>
      </c>
      <c r="AF30" s="67">
        <v>15751.634675249999</v>
      </c>
      <c r="AH30" s="2">
        <v>17748.599999999999</v>
      </c>
    </row>
    <row r="31" spans="1:35" x14ac:dyDescent="0.2">
      <c r="B31" s="3" t="s">
        <v>52</v>
      </c>
      <c r="C31" s="32">
        <v>0</v>
      </c>
      <c r="D31" s="34">
        <f>+C31/$C$20</f>
        <v>0</v>
      </c>
      <c r="E31" s="32">
        <v>0</v>
      </c>
      <c r="F31" s="34">
        <f>+E31/$E$20</f>
        <v>0</v>
      </c>
      <c r="G31" s="34" t="str">
        <f>IF(C31=0,"",(E31-C31)/ABS(C31)+1)</f>
        <v/>
      </c>
      <c r="H31" s="32">
        <v>0</v>
      </c>
      <c r="I31" s="34">
        <f>+H31/$H$20</f>
        <v>0</v>
      </c>
      <c r="J31" s="34" t="str">
        <f>IF(H31=0,"",(E31-H31)/ABS(H31))</f>
        <v/>
      </c>
      <c r="K31" s="32">
        <v>0</v>
      </c>
      <c r="L31" s="34">
        <f>+K31/$K$20</f>
        <v>0</v>
      </c>
      <c r="M31" s="32">
        <v>0</v>
      </c>
      <c r="N31" s="34">
        <f>+M31/$M$20</f>
        <v>0</v>
      </c>
      <c r="O31" s="34" t="str">
        <f>IF(K31=0,"",(M31-K31)/ABS(K31)+1)</f>
        <v/>
      </c>
      <c r="P31" s="32">
        <v>0</v>
      </c>
      <c r="Q31" s="34">
        <f>+P31/$P$20</f>
        <v>0</v>
      </c>
      <c r="R31" s="34" t="str">
        <f>IF(P31=0,"",(M31-P31)/ABS(P31))</f>
        <v/>
      </c>
      <c r="S31" s="34"/>
      <c r="T31" s="63"/>
      <c r="U31" s="55"/>
      <c r="V31" s="61" t="s">
        <v>82</v>
      </c>
      <c r="W31" s="63" t="s">
        <v>82</v>
      </c>
      <c r="X31" s="61" t="s">
        <v>82</v>
      </c>
      <c r="Y31" s="32" t="s">
        <v>82</v>
      </c>
      <c r="Z31" s="32" t="s">
        <v>82</v>
      </c>
      <c r="AA31" s="95"/>
      <c r="AB31" s="61"/>
      <c r="AC31" s="32" t="s">
        <v>82</v>
      </c>
      <c r="AD31" s="61"/>
      <c r="AE31" s="61"/>
      <c r="AF31" s="61"/>
      <c r="AG31" s="61"/>
    </row>
    <row r="32" spans="1:35" x14ac:dyDescent="0.2">
      <c r="B32" s="3" t="s">
        <v>53</v>
      </c>
      <c r="C32" s="32">
        <f>SUM(C30:C31)</f>
        <v>6908</v>
      </c>
      <c r="D32" s="34">
        <f>+C32/$C$20</f>
        <v>0.84131043721836563</v>
      </c>
      <c r="E32" s="32">
        <f>SUM(E30:E31)</f>
        <v>4938.99</v>
      </c>
      <c r="F32" s="34">
        <f>+E32/$E$20</f>
        <v>0.73362704221000574</v>
      </c>
      <c r="G32" s="34">
        <f>IF(C32=0,"",(E32-C32)/ABS(C32)+1)</f>
        <v>0.71496670526925299</v>
      </c>
      <c r="H32" s="32">
        <f>SUM(H30:H31)</f>
        <v>6519.41</v>
      </c>
      <c r="I32" s="34">
        <f>+H32/$H$20</f>
        <v>0.90808308876479771</v>
      </c>
      <c r="J32" s="34">
        <f>IF(H32=0,"",(E32-H32)/ABS(H32))</f>
        <v>-0.24241764208724412</v>
      </c>
      <c r="K32" s="32">
        <f>SUM(K30:K31)</f>
        <v>38368</v>
      </c>
      <c r="L32" s="34">
        <f>+K32/$K$20</f>
        <v>0.75612399739865599</v>
      </c>
      <c r="M32" s="32">
        <f>SUM(M30:M31)</f>
        <v>34344.660000000003</v>
      </c>
      <c r="N32" s="34">
        <f>+M32/$M$20</f>
        <v>0.73303465263802237</v>
      </c>
      <c r="O32" s="34">
        <f>IF(K32=0,"",(M32-K32)/ABS(K32)+1)</f>
        <v>0.89513813594662228</v>
      </c>
      <c r="P32" s="32">
        <f>SUM(P30:P31)</f>
        <v>36053.839999999997</v>
      </c>
      <c r="Q32" s="34">
        <f>+P32/$P$20</f>
        <v>0.72706197417137886</v>
      </c>
      <c r="R32" s="34">
        <f>IF(P32=0,"",(M32-P32)/ABS(P32))</f>
        <v>-4.7406323431845074E-2</v>
      </c>
      <c r="S32" s="34"/>
      <c r="T32" s="63"/>
      <c r="U32" s="54"/>
      <c r="V32" s="54"/>
      <c r="W32" s="54"/>
      <c r="X32" s="54"/>
      <c r="Y32" s="73"/>
      <c r="Z32" s="73"/>
      <c r="AA32" s="73"/>
      <c r="AB32" s="54"/>
      <c r="AC32" s="54"/>
      <c r="AD32" s="54"/>
      <c r="AE32" s="54"/>
      <c r="AF32" s="54"/>
      <c r="AG32" s="54"/>
      <c r="AH32" s="54"/>
    </row>
    <row r="33" spans="1:34" x14ac:dyDescent="0.2">
      <c r="J33" s="34"/>
      <c r="R33" s="34"/>
      <c r="S33" s="34"/>
      <c r="U33" s="54"/>
      <c r="V33" s="54"/>
      <c r="W33" s="73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</row>
    <row r="34" spans="1:34" x14ac:dyDescent="0.2">
      <c r="B34" s="3" t="s">
        <v>54</v>
      </c>
      <c r="C34" s="32">
        <f>C28+C32</f>
        <v>8719</v>
      </c>
      <c r="D34" s="34">
        <f>+C34/$C$20</f>
        <v>1.0618682255510901</v>
      </c>
      <c r="E34" s="32">
        <f>E28+E32</f>
        <v>6359.99</v>
      </c>
      <c r="F34" s="34">
        <f>+E34/$E$20</f>
        <v>0.94469935192928411</v>
      </c>
      <c r="G34" s="34">
        <f>IF(C34=0,"",(E34-C34)/ABS(C34)+1)</f>
        <v>0.72944030278701688</v>
      </c>
      <c r="H34" s="32">
        <f>H28+H32</f>
        <v>8139.24</v>
      </c>
      <c r="I34" s="34">
        <f>+H34/$H$20</f>
        <v>1.1337078354326529</v>
      </c>
      <c r="J34" s="34">
        <f>IF(H34=0,"",(E34-H34)/ABS(H34))</f>
        <v>-0.21860149104830426</v>
      </c>
      <c r="K34" s="32">
        <f>K28+K32</f>
        <v>49494</v>
      </c>
      <c r="L34" s="34">
        <f>+K34/$K$20</f>
        <v>0.97538576749502393</v>
      </c>
      <c r="M34" s="32">
        <f>M28+M32</f>
        <v>44567.12</v>
      </c>
      <c r="N34" s="34">
        <f>+M34/$M$20</f>
        <v>0.95121754963586946</v>
      </c>
      <c r="O34" s="34">
        <f>IF(K34=0,"",(M34-K34)/ABS(K34)+1)</f>
        <v>0.90045500464702799</v>
      </c>
      <c r="P34" s="32">
        <f>P28+P32</f>
        <v>46980.619999999995</v>
      </c>
      <c r="Q34" s="34">
        <f>+P34/$P$20</f>
        <v>0.94741149139718162</v>
      </c>
      <c r="R34" s="34">
        <f>IF(P34=0,"",(M34-P34)/ABS(P34))</f>
        <v>-5.1372246683845234E-2</v>
      </c>
      <c r="S34" s="34"/>
      <c r="T34" s="63"/>
      <c r="U34" s="54"/>
      <c r="V34" s="54"/>
      <c r="W34" s="54"/>
      <c r="X34" s="54"/>
      <c r="Y34" s="54"/>
      <c r="Z34" s="54"/>
      <c r="AA34" s="54"/>
      <c r="AB34" s="54"/>
      <c r="AC34" s="54"/>
      <c r="AD34" s="54"/>
      <c r="AE34" s="54"/>
      <c r="AF34" s="54"/>
      <c r="AG34" s="54"/>
      <c r="AH34" s="54"/>
    </row>
    <row r="35" spans="1:34" x14ac:dyDescent="0.2">
      <c r="J35" s="34"/>
      <c r="R35" s="34"/>
      <c r="S35" s="34"/>
      <c r="T35" s="63"/>
    </row>
    <row r="36" spans="1:34" x14ac:dyDescent="0.2">
      <c r="B36" s="20" t="s">
        <v>55</v>
      </c>
      <c r="C36" s="69">
        <f>C24-C34</f>
        <v>-614</v>
      </c>
      <c r="D36" s="45">
        <f>+C36/$C$20</f>
        <v>-7.4777737181829257E-2</v>
      </c>
      <c r="E36" s="69">
        <f>E24-E34</f>
        <v>372.30000000000018</v>
      </c>
      <c r="F36" s="45">
        <f>+E36/$E$20</f>
        <v>5.5300648070715934E-2</v>
      </c>
      <c r="G36" s="45">
        <f>IF(C36=0,"",(E36-C36)/ABS(C36)+1)</f>
        <v>2.6063517915309449</v>
      </c>
      <c r="H36" s="69">
        <f>H24-H34</f>
        <v>-959.92999999999938</v>
      </c>
      <c r="I36" s="45">
        <f>+H36/$H$20</f>
        <v>-0.13370783543265291</v>
      </c>
      <c r="J36" s="45">
        <f>IF(H36=0,"",(E36-H36)/ABS(H36))</f>
        <v>1.3878407800568795</v>
      </c>
      <c r="K36" s="69">
        <f>K24-K34</f>
        <v>601</v>
      </c>
      <c r="L36" s="45">
        <f>+K36/$K$20</f>
        <v>1.1843998186942041E-2</v>
      </c>
      <c r="M36" s="69">
        <f>M24-M34</f>
        <v>1706.6600000000035</v>
      </c>
      <c r="N36" s="45">
        <f>+M36/$M$20</f>
        <v>3.6426067990517584E-2</v>
      </c>
      <c r="O36" s="45">
        <f>IF(K36=0,"",(M36-K36)/ABS(K36)+1)</f>
        <v>2.839700499168059</v>
      </c>
      <c r="P36" s="69">
        <f>P24-P34</f>
        <v>2607.7799999999988</v>
      </c>
      <c r="Q36" s="45">
        <f>+P36/$P$20</f>
        <v>5.2588508602818385E-2</v>
      </c>
      <c r="R36" s="45">
        <f>IF(P36=0,"",(M36-P36)/ABS(P36))</f>
        <v>-0.34555062160151384</v>
      </c>
      <c r="S36" s="45"/>
      <c r="T36" s="63"/>
      <c r="V36" s="55"/>
      <c r="W36" s="55"/>
      <c r="Y36" s="55"/>
    </row>
    <row r="37" spans="1:34" x14ac:dyDescent="0.2">
      <c r="J37" s="34"/>
      <c r="R37" s="34"/>
      <c r="S37" s="34"/>
      <c r="U37" s="2" t="s">
        <v>108</v>
      </c>
      <c r="V37" s="54" t="s">
        <v>8</v>
      </c>
      <c r="W37" s="54" t="s">
        <v>109</v>
      </c>
      <c r="X37" s="54"/>
    </row>
    <row r="38" spans="1:34" x14ac:dyDescent="0.2">
      <c r="B38" s="3" t="s">
        <v>56</v>
      </c>
      <c r="C38" s="32">
        <v>0</v>
      </c>
      <c r="D38" s="34">
        <f>+C38/$C$20</f>
        <v>0</v>
      </c>
      <c r="E38" s="32">
        <v>19.100000000000001</v>
      </c>
      <c r="F38" s="34">
        <f>+E38/$E$20</f>
        <v>2.8370732692739025E-3</v>
      </c>
      <c r="G38" s="34" t="str">
        <f>IF(C38=0,"",(E38-C38)/ABS(C38)+1)</f>
        <v/>
      </c>
      <c r="H38" s="32">
        <v>0</v>
      </c>
      <c r="I38" s="34">
        <f>+H38/$H$20</f>
        <v>0</v>
      </c>
      <c r="J38" s="34" t="str">
        <f>IF(H38=0,"",(E38-H38)/ABS(H38))</f>
        <v/>
      </c>
      <c r="K38" s="32">
        <v>0</v>
      </c>
      <c r="L38" s="34">
        <f>+K38/$K$20</f>
        <v>0</v>
      </c>
      <c r="M38" s="32">
        <v>19.100000000000001</v>
      </c>
      <c r="N38" s="34">
        <f>+M38/$M$20</f>
        <v>4.0766051739589876E-4</v>
      </c>
      <c r="O38" s="34" t="str">
        <f>IF(K38=0,"",(M38-K38)/ABS(K38)+1)</f>
        <v/>
      </c>
      <c r="P38" s="32">
        <v>0</v>
      </c>
      <c r="Q38" s="34">
        <f>+P38/$P$20</f>
        <v>0</v>
      </c>
      <c r="R38" s="34" t="str">
        <f>IF(P38=0,"",(M38-P38)/ABS(P38))</f>
        <v/>
      </c>
      <c r="S38" s="34"/>
      <c r="T38" s="63"/>
      <c r="U38" s="2" t="s">
        <v>110</v>
      </c>
      <c r="V38" s="55">
        <f>+V30</f>
        <v>15538.826720500003</v>
      </c>
      <c r="W38" s="55">
        <f>+W30</f>
        <v>21648.1</v>
      </c>
      <c r="X38" s="96">
        <f>+W38/V38</f>
        <v>1.3931618126251564</v>
      </c>
    </row>
    <row r="39" spans="1:34" x14ac:dyDescent="0.2">
      <c r="B39" s="3" t="s">
        <v>57</v>
      </c>
      <c r="C39" s="32">
        <v>0</v>
      </c>
      <c r="D39" s="34">
        <f>+C39/$C$20</f>
        <v>0</v>
      </c>
      <c r="E39" s="32">
        <v>0</v>
      </c>
      <c r="F39" s="34">
        <f>+E39/$E$20</f>
        <v>0</v>
      </c>
      <c r="G39" s="34" t="str">
        <f>IF(C39=0,"",(E39-C39)/ABS(C39)+1)</f>
        <v/>
      </c>
      <c r="H39" s="32">
        <v>2</v>
      </c>
      <c r="I39" s="34">
        <f>+H39/$H$20</f>
        <v>2.7857830348598957E-4</v>
      </c>
      <c r="J39" s="34">
        <f>IF(H39=0,"",(E39-H39)/ABS(H39))</f>
        <v>-1</v>
      </c>
      <c r="K39" s="32">
        <v>0</v>
      </c>
      <c r="L39" s="34">
        <f>+K39/$K$20</f>
        <v>0</v>
      </c>
      <c r="M39" s="32">
        <v>27.45</v>
      </c>
      <c r="N39" s="34">
        <f>+M39/$M$20</f>
        <v>5.8587859699044077E-4</v>
      </c>
      <c r="O39" s="34" t="str">
        <f>IF(K39=0,"",(M39-K39)/ABS(K39)+1)</f>
        <v/>
      </c>
      <c r="P39" s="32">
        <v>6.76</v>
      </c>
      <c r="Q39" s="34">
        <f>+P39/$P$20</f>
        <v>1.3632220438650975E-4</v>
      </c>
      <c r="R39" s="34">
        <f>IF(P39=0,"",(M39-P39)/ABS(P39))</f>
        <v>3.0606508875739644</v>
      </c>
      <c r="S39" s="34"/>
      <c r="T39" s="63"/>
      <c r="U39" s="2" t="s">
        <v>111</v>
      </c>
      <c r="V39" s="55">
        <f>+'VENEZUELA USD'!W24</f>
        <v>0</v>
      </c>
      <c r="W39" s="55">
        <f>+'VENEZUELA USD'!Y24</f>
        <v>0</v>
      </c>
    </row>
    <row r="40" spans="1:34" x14ac:dyDescent="0.2">
      <c r="J40" s="34"/>
      <c r="R40" s="34"/>
      <c r="S40" s="34"/>
      <c r="U40" s="2" t="s">
        <v>112</v>
      </c>
      <c r="V40" s="55">
        <f>+'PANAMA USD'!U30</f>
        <v>0</v>
      </c>
      <c r="W40" s="55">
        <f>+'PANAMA USD'!V30</f>
        <v>0</v>
      </c>
      <c r="AG40" s="55"/>
    </row>
    <row r="41" spans="1:34" x14ac:dyDescent="0.2">
      <c r="B41" s="3" t="s">
        <v>58</v>
      </c>
      <c r="C41" s="32">
        <f>C36+C38-C39</f>
        <v>-614</v>
      </c>
      <c r="D41" s="34">
        <f>+C41/$C$20</f>
        <v>-7.4777737181829257E-2</v>
      </c>
      <c r="E41" s="32">
        <f>E36+E38-E39</f>
        <v>391.4000000000002</v>
      </c>
      <c r="F41" s="34">
        <f>+E41/$E$20</f>
        <v>5.8137721339989838E-2</v>
      </c>
      <c r="G41" s="34">
        <f>IF(C41=0,"",(E41-C41)/ABS(C41)+1)</f>
        <v>2.6374592833876225</v>
      </c>
      <c r="H41" s="32">
        <f>H36+H38-H39</f>
        <v>-961.92999999999938</v>
      </c>
      <c r="I41" s="34">
        <f>+H41/$H$20</f>
        <v>-0.1339864137361389</v>
      </c>
      <c r="J41" s="34">
        <f>IF(H41=0,"",(E41-H41)/ABS(H41))</f>
        <v>1.4068903142640321</v>
      </c>
      <c r="K41" s="32">
        <f>K36+K38-K39</f>
        <v>601</v>
      </c>
      <c r="L41" s="34">
        <f>+K41/$K$20</f>
        <v>1.1843998186942041E-2</v>
      </c>
      <c r="M41" s="32">
        <f>M36+M38-M39</f>
        <v>1698.3100000000034</v>
      </c>
      <c r="N41" s="34">
        <f>+M41/$M$20</f>
        <v>3.6247849910923044E-2</v>
      </c>
      <c r="O41" s="34">
        <f>IF(K41=0,"",(M41-K41)/ABS(K41)+1)</f>
        <v>2.8258069883527508</v>
      </c>
      <c r="P41" s="32">
        <f>P36+P38-P39</f>
        <v>2601.0199999999986</v>
      </c>
      <c r="Q41" s="34">
        <f>+P41/$P$20</f>
        <v>5.2452186398431869E-2</v>
      </c>
      <c r="R41" s="34">
        <f>IF(P41=0,"",(M41-P41)/ABS(P41))</f>
        <v>-0.34705999953864092</v>
      </c>
      <c r="S41" s="34"/>
      <c r="T41" s="63"/>
      <c r="U41" s="2" t="s">
        <v>113</v>
      </c>
      <c r="V41" s="55">
        <f>SUM(V38:V40)</f>
        <v>15538.826720500003</v>
      </c>
      <c r="W41" s="55">
        <f>SUM(W38:W40)</f>
        <v>21648.1</v>
      </c>
      <c r="X41" s="2" t="s">
        <v>114</v>
      </c>
    </row>
    <row r="42" spans="1:34" x14ac:dyDescent="0.2">
      <c r="A42" s="94"/>
      <c r="B42" s="3" t="s">
        <v>44</v>
      </c>
      <c r="C42" s="32">
        <v>0</v>
      </c>
      <c r="D42" s="34">
        <f>+C42/$C$20</f>
        <v>0</v>
      </c>
      <c r="E42" s="32">
        <v>0</v>
      </c>
      <c r="F42" s="34">
        <f>+E42/$E$20</f>
        <v>0</v>
      </c>
      <c r="G42" s="34" t="str">
        <f>IF(C42=0,"",(E42-C42)/ABS(C42)+1)</f>
        <v/>
      </c>
      <c r="H42" s="32">
        <v>0</v>
      </c>
      <c r="I42" s="34">
        <f>+H42/$H$20</f>
        <v>0</v>
      </c>
      <c r="J42" s="34" t="str">
        <f>IF(H42=0,"",(E42-H42)/ABS(H42))</f>
        <v/>
      </c>
      <c r="K42" s="32">
        <v>0</v>
      </c>
      <c r="L42" s="34">
        <f>+K42/$K$20</f>
        <v>0</v>
      </c>
      <c r="M42" s="32">
        <v>362.9</v>
      </c>
      <c r="N42" s="34">
        <f>+M42/$M$20</f>
        <v>7.7455498305220747E-3</v>
      </c>
      <c r="O42" s="34" t="str">
        <f>IF(K42=0,"",(M42-K42)/ABS(K42)+1)</f>
        <v/>
      </c>
      <c r="P42" s="32">
        <v>967.35</v>
      </c>
      <c r="Q42" s="34">
        <f>+P42/$P$20</f>
        <v>1.9507586451670153E-2</v>
      </c>
      <c r="R42" s="34">
        <f>IF(P42=0,"",(M42-P42)/ABS(P42))</f>
        <v>-0.6248513981495839</v>
      </c>
      <c r="S42" s="34"/>
      <c r="T42" s="63"/>
      <c r="U42" s="2" t="s">
        <v>115</v>
      </c>
      <c r="V42" s="55">
        <f>+V41-V39</f>
        <v>15538.826720500003</v>
      </c>
      <c r="W42" s="55">
        <f>+W41-W39</f>
        <v>21648.1</v>
      </c>
      <c r="X42" s="97">
        <f>+W42/V42</f>
        <v>1.3931618126251564</v>
      </c>
    </row>
    <row r="43" spans="1:34" x14ac:dyDescent="0.2">
      <c r="B43" s="20" t="s">
        <v>59</v>
      </c>
      <c r="C43" s="69">
        <f>C41-C42</f>
        <v>-614</v>
      </c>
      <c r="D43" s="45">
        <f>+C43/$C$20</f>
        <v>-7.4777737181829257E-2</v>
      </c>
      <c r="E43" s="69">
        <f>E41-E42</f>
        <v>391.4000000000002</v>
      </c>
      <c r="F43" s="45">
        <f>+E43/$E$20</f>
        <v>5.8137721339989838E-2</v>
      </c>
      <c r="G43" s="45">
        <f>IF(C43=0,"",(E43-C43)/ABS(C43)+1)</f>
        <v>2.6374592833876225</v>
      </c>
      <c r="H43" s="69">
        <f>H41-H42</f>
        <v>-961.92999999999938</v>
      </c>
      <c r="I43" s="45">
        <f>+H43/$H$20</f>
        <v>-0.1339864137361389</v>
      </c>
      <c r="J43" s="45">
        <f>IF(H43=0,"",(E43-H43)/ABS(H43))</f>
        <v>1.4068903142640321</v>
      </c>
      <c r="K43" s="69">
        <f>K41-K42</f>
        <v>601</v>
      </c>
      <c r="L43" s="45">
        <f>+K43/$K$20</f>
        <v>1.1843998186942041E-2</v>
      </c>
      <c r="M43" s="69">
        <f>M41-M42</f>
        <v>1335.4100000000035</v>
      </c>
      <c r="N43" s="45">
        <f>+M43/$M$20</f>
        <v>2.8502300080400968E-2</v>
      </c>
      <c r="O43" s="45">
        <f>IF(K43=0,"",(M43-K43)/ABS(K43)+1)</f>
        <v>2.2219800332778759</v>
      </c>
      <c r="P43" s="69">
        <f>P41-P42</f>
        <v>1633.6699999999987</v>
      </c>
      <c r="Q43" s="45">
        <f>+P43/$P$20</f>
        <v>3.2944599946761723E-2</v>
      </c>
      <c r="R43" s="45">
        <f>IF(P43=0,"",(M43-P43)/ABS(P43))</f>
        <v>-0.18257053138026375</v>
      </c>
      <c r="S43" s="45"/>
      <c r="T43" s="63"/>
    </row>
    <row r="44" spans="1:34" x14ac:dyDescent="0.2">
      <c r="J44" s="34"/>
      <c r="R44" s="34"/>
      <c r="S44" s="34"/>
    </row>
    <row r="45" spans="1:34" x14ac:dyDescent="0.2">
      <c r="A45" s="94"/>
      <c r="B45" s="3" t="s">
        <v>60</v>
      </c>
      <c r="C45" s="32">
        <v>-329</v>
      </c>
      <c r="D45" s="34">
        <f>+C45/$C$20</f>
        <v>-4.0068201193520885E-2</v>
      </c>
      <c r="E45" s="32">
        <v>636.43000000000018</v>
      </c>
      <c r="F45" s="34">
        <f>+E45/$E$20</f>
        <v>9.4533955013821475E-2</v>
      </c>
      <c r="G45" s="34">
        <f>IF(C45=0,"",(E45-C45)/ABS(C45)+1)</f>
        <v>3.9344376899696054</v>
      </c>
      <c r="H45" s="32">
        <v>-654.35999999999945</v>
      </c>
      <c r="I45" s="34">
        <f>+H45/$H$20</f>
        <v>-9.1145249334546E-2</v>
      </c>
      <c r="J45" s="34">
        <f>IF(H45=0,"",(E45-H45)/ABS(H45))</f>
        <v>1.9725991808790277</v>
      </c>
      <c r="K45" s="32">
        <v>2323</v>
      </c>
      <c r="L45" s="34">
        <f>+K45/$K$20</f>
        <v>4.5779713458013911E-2</v>
      </c>
      <c r="M45" s="32">
        <v>3318.7400000000034</v>
      </c>
      <c r="N45" s="34">
        <f>+M45/$M$20</f>
        <v>7.0833469398034879E-2</v>
      </c>
      <c r="O45" s="34">
        <f>IF(K45=0,"",(M45-K45)/ABS(K45)+1)</f>
        <v>1.4286439948342675</v>
      </c>
      <c r="P45" s="32">
        <v>4483.7699999999986</v>
      </c>
      <c r="Q45" s="34">
        <f>+P45/$P$20</f>
        <v>9.0419735260665782E-2</v>
      </c>
      <c r="R45" s="34">
        <f>IF(P45=0,"",(M45-P45)/ABS(P45))</f>
        <v>-0.25983268544104526</v>
      </c>
      <c r="S45" s="34"/>
      <c r="T45" s="63"/>
    </row>
    <row r="46" spans="1:34" x14ac:dyDescent="0.2">
      <c r="B46" s="3" t="s">
        <v>35</v>
      </c>
      <c r="C46" s="32">
        <v>5935</v>
      </c>
      <c r="D46" s="34">
        <f>+C46/$C$20</f>
        <v>0.72281086347582513</v>
      </c>
      <c r="E46" s="32">
        <v>4863.91</v>
      </c>
      <c r="F46" s="34">
        <f>+E46/$E$20</f>
        <v>0.72247481911801181</v>
      </c>
      <c r="G46" s="34">
        <f>IF(C46=0,"",(E46-C46)/ABS(C46)+1)</f>
        <v>0.81952990732940179</v>
      </c>
      <c r="H46" s="32">
        <v>5673.74</v>
      </c>
      <c r="I46" s="34">
        <f>+H46/$H$20</f>
        <v>0.79029043181029923</v>
      </c>
      <c r="J46" s="34">
        <f>IF(H46=0,"",(E46-H46)/ABS(H46))</f>
        <v>-0.14273301208726519</v>
      </c>
      <c r="K46" s="32">
        <v>35610</v>
      </c>
      <c r="L46" s="34">
        <f>+K46/$K$20</f>
        <v>0.70177167294011</v>
      </c>
      <c r="M46" s="32">
        <v>32854.57</v>
      </c>
      <c r="N46" s="34">
        <f>+M46/$M$20</f>
        <v>0.70123094267119224</v>
      </c>
      <c r="O46" s="34">
        <f>IF(K46=0,"",(M46-K46)/ABS(K46)+1)</f>
        <v>0.92262201628755969</v>
      </c>
      <c r="P46" s="32">
        <v>33832.160000000003</v>
      </c>
      <c r="Q46" s="34">
        <f>+P46/$P$20</f>
        <v>0.68225956070371307</v>
      </c>
      <c r="R46" s="34">
        <f>IF(P46=0,"",(M46-P46)/ABS(P46))</f>
        <v>-2.8895287797172976E-2</v>
      </c>
      <c r="S46" s="34"/>
    </row>
    <row r="47" spans="1:34" x14ac:dyDescent="0.2">
      <c r="B47" s="3"/>
    </row>
    <row r="49" spans="2:19" x14ac:dyDescent="0.2">
      <c r="M49" s="55"/>
    </row>
    <row r="55" spans="2:19" x14ac:dyDescent="0.2">
      <c r="H55" s="55"/>
    </row>
    <row r="56" spans="2:19" x14ac:dyDescent="0.2">
      <c r="C56" s="55"/>
      <c r="E56" s="55"/>
      <c r="N56" s="55"/>
      <c r="R56" s="55"/>
      <c r="S56" s="55"/>
    </row>
    <row r="57" spans="2:19" x14ac:dyDescent="0.2">
      <c r="C57" s="55"/>
      <c r="E57" s="55"/>
      <c r="N57" s="55"/>
      <c r="R57" s="55"/>
      <c r="S57" s="55"/>
    </row>
    <row r="58" spans="2:19" x14ac:dyDescent="0.2">
      <c r="C58" s="55"/>
      <c r="E58" s="55"/>
      <c r="N58" s="55"/>
      <c r="R58" s="55"/>
      <c r="S58" s="55"/>
    </row>
    <row r="59" spans="2:19" x14ac:dyDescent="0.2">
      <c r="C59" s="55"/>
      <c r="E59" s="55"/>
      <c r="N59" s="55"/>
      <c r="R59" s="55"/>
      <c r="S59" s="55"/>
    </row>
    <row r="60" spans="2:19" x14ac:dyDescent="0.2">
      <c r="C60" s="55"/>
      <c r="E60" s="55"/>
      <c r="N60" s="55"/>
      <c r="R60" s="55"/>
      <c r="S60" s="55"/>
    </row>
    <row r="61" spans="2:19" x14ac:dyDescent="0.2">
      <c r="C61" s="55"/>
      <c r="E61" s="55"/>
    </row>
    <row r="62" spans="2:19" x14ac:dyDescent="0.2">
      <c r="B62" s="79"/>
    </row>
    <row r="63" spans="2:19" x14ac:dyDescent="0.2">
      <c r="C63" s="55"/>
      <c r="E63" s="55"/>
    </row>
    <row r="64" spans="2:19" x14ac:dyDescent="0.2">
      <c r="C64" s="55"/>
      <c r="E64" s="55"/>
    </row>
    <row r="65" spans="2:6" x14ac:dyDescent="0.2">
      <c r="C65" s="55"/>
      <c r="E65" s="55"/>
    </row>
    <row r="66" spans="2:6" x14ac:dyDescent="0.2">
      <c r="C66" s="55"/>
      <c r="E66" s="55"/>
    </row>
    <row r="68" spans="2:6" x14ac:dyDescent="0.2">
      <c r="B68" s="79"/>
      <c r="C68" s="98"/>
      <c r="D68" s="79"/>
      <c r="E68" s="98"/>
      <c r="F68" s="96"/>
    </row>
  </sheetData>
  <conditionalFormatting sqref="J10:J46">
    <cfRule type="cellIs" dxfId="4" priority="2" operator="lessThan">
      <formula>0</formula>
    </cfRule>
  </conditionalFormatting>
  <conditionalFormatting sqref="R10:S46">
    <cfRule type="cellIs" dxfId="3" priority="3" operator="lessThan">
      <formula>0</formula>
    </cfRule>
  </conditionalFormatting>
  <conditionalFormatting sqref="AD10:AD11 AD13:AD17 AD19:AD28 AD30">
    <cfRule type="cellIs" dxfId="2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604CE3-CFEE-4DD8-BD67-DC9D48918B91}">
  <sheetPr>
    <tabColor theme="0" tint="-0.14999847407452621"/>
  </sheetPr>
  <dimension ref="A1:AH48"/>
  <sheetViews>
    <sheetView showGridLines="0" zoomScale="98" zoomScaleNormal="98" workbookViewId="0">
      <selection activeCell="K3" sqref="K3"/>
    </sheetView>
  </sheetViews>
  <sheetFormatPr baseColWidth="10" defaultRowHeight="12.75" x14ac:dyDescent="0.2"/>
  <cols>
    <col min="1" max="1" width="4.28515625" style="2" customWidth="1"/>
    <col min="2" max="2" width="35.7109375" style="2" customWidth="1"/>
    <col min="3" max="3" width="11.5703125" style="2" customWidth="1"/>
    <col min="4" max="4" width="6.7109375" style="2" bestFit="1" customWidth="1"/>
    <col min="5" max="6" width="8.85546875" style="2" customWidth="1"/>
    <col min="7" max="7" width="7.5703125" style="2" customWidth="1"/>
    <col min="8" max="8" width="14" style="2" bestFit="1" customWidth="1"/>
    <col min="9" max="9" width="7.7109375" style="2" customWidth="1"/>
    <col min="10" max="10" width="8.140625" style="2" customWidth="1"/>
    <col min="11" max="11" width="9.5703125" style="2" bestFit="1" customWidth="1"/>
    <col min="12" max="12" width="8.42578125" style="2" customWidth="1"/>
    <col min="13" max="13" width="9.42578125" style="2" bestFit="1" customWidth="1"/>
    <col min="14" max="14" width="5.7109375" style="2" customWidth="1"/>
    <col min="15" max="15" width="6" style="2" bestFit="1" customWidth="1"/>
    <col min="16" max="16" width="14.28515625" style="2" customWidth="1"/>
    <col min="17" max="17" width="5.85546875" style="2" bestFit="1" customWidth="1"/>
    <col min="18" max="18" width="8.85546875" style="2" bestFit="1" customWidth="1"/>
    <col min="19" max="19" width="14.140625" style="63" customWidth="1"/>
    <col min="20" max="20" width="23.28515625" style="2" customWidth="1"/>
    <col min="21" max="21" width="11.42578125" style="2"/>
    <col min="22" max="23" width="14.28515625" style="2" customWidth="1"/>
    <col min="24" max="24" width="14.42578125" style="2" customWidth="1"/>
    <col min="25" max="25" width="14.5703125" style="2" customWidth="1"/>
    <col min="26" max="26" width="16.5703125" style="2" customWidth="1"/>
    <col min="27" max="27" width="10" style="2" customWidth="1"/>
    <col min="28" max="28" width="14" style="2" bestFit="1" customWidth="1"/>
    <col min="29" max="29" width="9.42578125" style="2" customWidth="1"/>
    <col min="30" max="31" width="13.140625" style="2" customWidth="1"/>
    <col min="32" max="32" width="18.5703125" style="2" customWidth="1"/>
    <col min="33" max="16384" width="11.42578125" style="2"/>
  </cols>
  <sheetData>
    <row r="1" spans="1:34" s="54" customFormat="1" ht="19.5" customHeight="1" x14ac:dyDescent="0.2">
      <c r="B1" s="50"/>
      <c r="S1" s="63"/>
    </row>
    <row r="2" spans="1:34" ht="13.5" customHeight="1" x14ac:dyDescent="0.2">
      <c r="A2" s="54"/>
      <c r="X2" s="54"/>
      <c r="Y2" s="54"/>
    </row>
    <row r="3" spans="1:34" ht="25.5" customHeight="1" x14ac:dyDescent="0.25">
      <c r="B3" s="16" t="s">
        <v>116</v>
      </c>
      <c r="T3" s="18" t="s">
        <v>116</v>
      </c>
    </row>
    <row r="4" spans="1:34" x14ac:dyDescent="0.2">
      <c r="B4" s="3" t="s">
        <v>103</v>
      </c>
      <c r="C4" s="91"/>
      <c r="S4" s="99"/>
      <c r="T4" s="3" t="s">
        <v>21</v>
      </c>
    </row>
    <row r="5" spans="1:34" ht="15.75" customHeight="1" thickBot="1" x14ac:dyDescent="0.25">
      <c r="B5" s="3" t="s">
        <v>117</v>
      </c>
      <c r="E5" s="100"/>
      <c r="T5" s="3" t="s">
        <v>117</v>
      </c>
      <c r="X5" s="21" t="s">
        <v>23</v>
      </c>
      <c r="Y5" s="21"/>
      <c r="Z5" s="21"/>
      <c r="AA5" s="21"/>
      <c r="AB5" s="21"/>
      <c r="AC5" s="21"/>
    </row>
    <row r="6" spans="1:34" ht="13.5" thickBot="1" x14ac:dyDescent="0.25">
      <c r="B6" s="79" t="str">
        <f>+'COL. CONS.$'!B6</f>
        <v>JUNIO de 2024</v>
      </c>
      <c r="K6" s="101" t="s">
        <v>23</v>
      </c>
      <c r="L6" s="101"/>
      <c r="M6" s="101"/>
      <c r="N6" s="101"/>
      <c r="O6" s="101"/>
      <c r="P6" s="101"/>
      <c r="Q6" s="101"/>
      <c r="R6" s="101"/>
      <c r="T6" s="20" t="str">
        <f>+B6</f>
        <v>JUNIO de 2024</v>
      </c>
      <c r="Z6" s="2" t="s">
        <v>26</v>
      </c>
      <c r="AA6" s="2" t="s">
        <v>24</v>
      </c>
      <c r="AC6" s="2" t="s">
        <v>25</v>
      </c>
    </row>
    <row r="7" spans="1:34" x14ac:dyDescent="0.2">
      <c r="C7" s="61" t="str">
        <f>+'COL. CONS.$'!C7:C7</f>
        <v>Ppto 2024</v>
      </c>
      <c r="D7" s="61"/>
      <c r="E7" s="61" t="str">
        <f>+'COL. CONS.$'!E7:E7</f>
        <v>Real 2024</v>
      </c>
      <c r="F7" s="61"/>
      <c r="G7" s="61" t="s">
        <v>24</v>
      </c>
      <c r="H7" s="61" t="str">
        <f>+'COL. CONS.$'!H7:H7</f>
        <v>Real 2023</v>
      </c>
      <c r="I7" s="61"/>
      <c r="J7" s="61" t="s">
        <v>25</v>
      </c>
      <c r="K7" s="61" t="str">
        <f>+C7</f>
        <v>Ppto 2024</v>
      </c>
      <c r="L7" s="61"/>
      <c r="M7" s="61" t="str">
        <f>+E7</f>
        <v>Real 2024</v>
      </c>
      <c r="N7" s="61"/>
      <c r="O7" s="61" t="s">
        <v>24</v>
      </c>
      <c r="P7" s="61" t="str">
        <f>+H7</f>
        <v>Real 2023</v>
      </c>
      <c r="Q7" s="61"/>
      <c r="R7" s="61" t="s">
        <v>25</v>
      </c>
      <c r="U7" s="54" t="str">
        <f>+C7</f>
        <v>Ppto 2024</v>
      </c>
      <c r="V7" s="54" t="str">
        <f>+M7</f>
        <v>Real 2024</v>
      </c>
      <c r="W7" s="54" t="str">
        <f>+H7</f>
        <v>Real 2023</v>
      </c>
      <c r="X7" s="54" t="str">
        <f>+U7</f>
        <v>Ppto 2024</v>
      </c>
      <c r="Y7" s="54" t="str">
        <f>+V7</f>
        <v>Real 2024</v>
      </c>
      <c r="Z7" s="54" t="s">
        <v>26</v>
      </c>
      <c r="AA7" s="54" t="s">
        <v>24</v>
      </c>
      <c r="AB7" s="54" t="str">
        <f>+W7</f>
        <v>Real 2023</v>
      </c>
      <c r="AC7" s="54" t="s">
        <v>25</v>
      </c>
      <c r="AD7" s="67"/>
      <c r="AE7" s="67"/>
      <c r="AG7" s="67"/>
    </row>
    <row r="8" spans="1:34" ht="13.5" thickBot="1" x14ac:dyDescent="0.25">
      <c r="B8" s="29"/>
      <c r="C8" s="30" t="s">
        <v>28</v>
      </c>
      <c r="D8" s="30" t="s">
        <v>29</v>
      </c>
      <c r="E8" s="30" t="s">
        <v>28</v>
      </c>
      <c r="F8" s="30" t="s">
        <v>29</v>
      </c>
      <c r="G8" s="30" t="s">
        <v>30</v>
      </c>
      <c r="H8" s="30" t="s">
        <v>28</v>
      </c>
      <c r="I8" s="30" t="s">
        <v>29</v>
      </c>
      <c r="J8" s="30" t="s">
        <v>30</v>
      </c>
      <c r="K8" s="30" t="s">
        <v>28</v>
      </c>
      <c r="L8" s="30" t="s">
        <v>29</v>
      </c>
      <c r="M8" s="30" t="s">
        <v>28</v>
      </c>
      <c r="N8" s="30" t="s">
        <v>29</v>
      </c>
      <c r="O8" s="30" t="s">
        <v>30</v>
      </c>
      <c r="P8" s="30" t="s">
        <v>28</v>
      </c>
      <c r="Q8" s="30" t="s">
        <v>29</v>
      </c>
      <c r="R8" s="30" t="s">
        <v>30</v>
      </c>
      <c r="T8" s="29"/>
      <c r="U8" s="30"/>
      <c r="V8" s="30"/>
      <c r="W8" s="30"/>
      <c r="X8" s="29"/>
      <c r="Y8" s="29"/>
      <c r="Z8" s="30"/>
      <c r="AA8" s="30" t="s">
        <v>30</v>
      </c>
      <c r="AB8" s="29"/>
      <c r="AC8" s="30" t="s">
        <v>30</v>
      </c>
      <c r="AD8" s="67"/>
      <c r="AE8" s="67"/>
      <c r="AG8" s="67"/>
      <c r="AH8" s="67"/>
    </row>
    <row r="9" spans="1:34" x14ac:dyDescent="0.2">
      <c r="AD9" s="67"/>
      <c r="AE9" s="67"/>
      <c r="AG9" s="67"/>
      <c r="AH9" s="67"/>
    </row>
    <row r="10" spans="1:34" x14ac:dyDescent="0.2">
      <c r="B10" s="3" t="str">
        <f>+'COLOMB$ '!B10</f>
        <v>Musical Experience  (Ambiental)</v>
      </c>
      <c r="C10" s="32">
        <v>225042</v>
      </c>
      <c r="D10" s="68">
        <f t="shared" ref="D10:D20" si="0">IF($C$20=0," ",C10/$C$20)</f>
        <v>0.54504935056463821</v>
      </c>
      <c r="E10" s="32">
        <v>103261</v>
      </c>
      <c r="F10" s="68">
        <f t="shared" ref="F10:F15" si="1">+E10/$E$20</f>
        <v>0.26776737023508479</v>
      </c>
      <c r="G10" s="68">
        <f t="shared" ref="G10:G15" si="2">IF(C10=0,"",(E10-C10)/ABS(C10)+1)</f>
        <v>0.45885212538104003</v>
      </c>
      <c r="H10" s="32">
        <v>94186</v>
      </c>
      <c r="I10" s="68">
        <f t="shared" ref="I10:I15" si="3">+H10/$H$20</f>
        <v>0.53216975371003439</v>
      </c>
      <c r="J10" s="68">
        <f t="shared" ref="J10:J15" si="4">IF(H10=0,"",(E10-H10)/ABS(H10))</f>
        <v>9.6351899433036764E-2</v>
      </c>
      <c r="K10" s="32">
        <v>893794</v>
      </c>
      <c r="L10" s="68">
        <f t="shared" ref="L10:L20" si="5">IF($K$20=0," ",K10/$K$20)</f>
        <v>0.5154063704140911</v>
      </c>
      <c r="M10" s="32">
        <v>567263</v>
      </c>
      <c r="N10" s="68">
        <f t="shared" ref="N10:N15" si="6">+M10/$M$20</f>
        <v>0.39162591330627566</v>
      </c>
      <c r="O10" s="68">
        <f>IF(K10=0,"",(M10-K10)/ABS(K10)+1)</f>
        <v>0.63466861491574122</v>
      </c>
      <c r="P10" s="32">
        <v>482283</v>
      </c>
      <c r="Q10" s="68">
        <f t="shared" ref="Q10:Q15" si="7">+P10/$P$20</f>
        <v>0.45719139445787899</v>
      </c>
      <c r="R10" s="68">
        <f t="shared" ref="R10:R15" si="8">IF(P10=0,"",(M10-P10)/ABS(P10))</f>
        <v>0.17620359830224164</v>
      </c>
      <c r="T10" s="3" t="s">
        <v>31</v>
      </c>
      <c r="U10" s="32">
        <v>236652</v>
      </c>
      <c r="V10" s="32">
        <v>309578.92000000004</v>
      </c>
      <c r="W10" s="32">
        <v>62292.100000000006</v>
      </c>
      <c r="X10" s="32">
        <v>236652</v>
      </c>
      <c r="Y10" s="32">
        <v>253979</v>
      </c>
      <c r="Z10" s="63">
        <f>+Y10-X10</f>
        <v>17327</v>
      </c>
      <c r="AA10" s="68">
        <f>IF(X10=0,"",(Y10-X10)/ABS(X10)+1)</f>
        <v>1.073217213461116</v>
      </c>
      <c r="AB10" s="32">
        <v>37026</v>
      </c>
      <c r="AC10" s="68">
        <f>IF(W10=0,"",(Y10-AB10)/ABS(AB10))</f>
        <v>5.8594771241830061</v>
      </c>
      <c r="AD10" s="67"/>
      <c r="AE10" s="67"/>
      <c r="AF10" s="67"/>
      <c r="AG10" s="67"/>
      <c r="AH10" s="67"/>
    </row>
    <row r="11" spans="1:34" ht="13.5" customHeight="1" x14ac:dyDescent="0.2">
      <c r="B11" s="3" t="str">
        <f>+'COLOMB$ '!B11</f>
        <v>Instalaciones</v>
      </c>
      <c r="C11" s="32">
        <v>26236.799999999999</v>
      </c>
      <c r="D11" s="68">
        <f t="shared" si="0"/>
        <v>6.3545252890101836E-2</v>
      </c>
      <c r="E11" s="32">
        <v>68210.06</v>
      </c>
      <c r="F11" s="68">
        <f t="shared" si="1"/>
        <v>0.17687634624666956</v>
      </c>
      <c r="G11" s="68">
        <f t="shared" si="2"/>
        <v>2.5997857970484204</v>
      </c>
      <c r="H11" s="32">
        <v>21523.200000000001</v>
      </c>
      <c r="I11" s="68">
        <f t="shared" si="3"/>
        <v>0.12161038841284069</v>
      </c>
      <c r="J11" s="68">
        <f t="shared" si="4"/>
        <v>2.1691412057686588</v>
      </c>
      <c r="K11" s="32">
        <v>157097.56768000001</v>
      </c>
      <c r="L11" s="68">
        <f t="shared" si="5"/>
        <v>9.0590323003769124E-2</v>
      </c>
      <c r="M11" s="32">
        <v>181083.28999999998</v>
      </c>
      <c r="N11" s="68">
        <f t="shared" si="6"/>
        <v>0.12501592529524255</v>
      </c>
      <c r="O11" s="68">
        <f>IF(K11=0,"",(M11-K11)/ABS(K11)+1)</f>
        <v>1.1526804181262547</v>
      </c>
      <c r="P11" s="32">
        <v>232761.36000000002</v>
      </c>
      <c r="Q11" s="68">
        <f t="shared" si="7"/>
        <v>0.22065154847737198</v>
      </c>
      <c r="R11" s="68">
        <f t="shared" si="8"/>
        <v>-0.22202168779216633</v>
      </c>
      <c r="T11" s="3" t="s">
        <v>32</v>
      </c>
      <c r="U11" s="32"/>
      <c r="V11" s="32">
        <v>328351.15000000002</v>
      </c>
      <c r="W11" s="32">
        <v>155037.81</v>
      </c>
      <c r="X11" s="32">
        <f>+AD8+U11</f>
        <v>0</v>
      </c>
      <c r="Y11" s="32">
        <v>1392089</v>
      </c>
      <c r="Z11" s="63">
        <f>+Y11-X11</f>
        <v>1392089</v>
      </c>
      <c r="AA11" s="68" t="str">
        <f>IF(X11=0,"",(Y11-X11)/ABS(X11)+1)</f>
        <v/>
      </c>
      <c r="AB11" s="32">
        <v>1010091</v>
      </c>
      <c r="AC11" s="68">
        <f>IF(AB11=0,"",(Y11-AB11)/ABS(AB11))</f>
        <v>0.37818176778131873</v>
      </c>
      <c r="AD11" s="67"/>
      <c r="AE11" s="67"/>
      <c r="AF11" s="67"/>
      <c r="AG11" s="67"/>
      <c r="AH11" s="67"/>
    </row>
    <row r="12" spans="1:34" x14ac:dyDescent="0.2">
      <c r="B12" s="3" t="str">
        <f>+'COLOMB$ '!B12</f>
        <v>Voice Experience (Publihold)</v>
      </c>
      <c r="C12" s="32">
        <v>82594.167912000004</v>
      </c>
      <c r="D12" s="68">
        <f t="shared" si="0"/>
        <v>0.20004220359249508</v>
      </c>
      <c r="E12" s="32">
        <v>33530.629999999997</v>
      </c>
      <c r="F12" s="68">
        <f t="shared" si="1"/>
        <v>8.694868941251431E-2</v>
      </c>
      <c r="G12" s="68">
        <f t="shared" si="2"/>
        <v>0.40596849447923755</v>
      </c>
      <c r="H12" s="32">
        <v>23043</v>
      </c>
      <c r="I12" s="68">
        <f t="shared" si="3"/>
        <v>0.13019756263924917</v>
      </c>
      <c r="J12" s="68">
        <f t="shared" si="4"/>
        <v>0.45513301219459262</v>
      </c>
      <c r="K12" s="32">
        <v>354929.52072249993</v>
      </c>
      <c r="L12" s="68">
        <f t="shared" si="5"/>
        <v>0.2046701320756199</v>
      </c>
      <c r="M12" s="32">
        <v>236358.53999999998</v>
      </c>
      <c r="N12" s="68">
        <f t="shared" si="6"/>
        <v>0.16317674358320194</v>
      </c>
      <c r="O12" s="68">
        <f>IF(K12=0,"",(M12-K12)/ABS(K12)+1)</f>
        <v>0.66593091360466428</v>
      </c>
      <c r="P12" s="32">
        <v>143367.25</v>
      </c>
      <c r="Q12" s="68">
        <f t="shared" si="7"/>
        <v>0.1359083213530051</v>
      </c>
      <c r="R12" s="68">
        <f t="shared" si="8"/>
        <v>0.64862295956712557</v>
      </c>
      <c r="AF12" s="67"/>
      <c r="AG12" s="67"/>
      <c r="AH12" s="67"/>
    </row>
    <row r="13" spans="1:34" x14ac:dyDescent="0.2">
      <c r="B13" s="3" t="str">
        <f>+'COLOMB$ '!B13</f>
        <v>Service &amp; Equipment Experience</v>
      </c>
      <c r="C13" s="32">
        <v>26236.799999999999</v>
      </c>
      <c r="D13" s="68">
        <f t="shared" si="0"/>
        <v>6.3545252890101836E-2</v>
      </c>
      <c r="E13" s="32">
        <v>140785.59</v>
      </c>
      <c r="F13" s="68">
        <f t="shared" si="1"/>
        <v>0.36507284648894406</v>
      </c>
      <c r="G13" s="68">
        <f t="shared" si="2"/>
        <v>5.3659588821807533</v>
      </c>
      <c r="H13" s="32">
        <v>10357.68</v>
      </c>
      <c r="I13" s="68">
        <f t="shared" si="3"/>
        <v>5.8522965351616475E-2</v>
      </c>
      <c r="J13" s="68">
        <f t="shared" si="4"/>
        <v>12.592386518988809</v>
      </c>
      <c r="K13" s="32">
        <v>105280.97168</v>
      </c>
      <c r="L13" s="68">
        <f t="shared" si="5"/>
        <v>6.0710279423734678E-2</v>
      </c>
      <c r="M13" s="32">
        <v>251986.59</v>
      </c>
      <c r="N13" s="68">
        <f t="shared" si="6"/>
        <v>0.17396600597903272</v>
      </c>
      <c r="O13" s="68">
        <f>IF(K13=0,"",(M13-K13)/ABS(K13)+1)</f>
        <v>2.3934675561877379</v>
      </c>
      <c r="P13" s="32">
        <v>38505.880000000005</v>
      </c>
      <c r="Q13" s="68">
        <f t="shared" si="7"/>
        <v>3.6502545128125508E-2</v>
      </c>
      <c r="R13" s="68">
        <f t="shared" si="8"/>
        <v>5.5441067701867865</v>
      </c>
      <c r="T13" s="3" t="s">
        <v>33</v>
      </c>
      <c r="U13" s="32"/>
      <c r="V13" s="32"/>
      <c r="W13" s="32"/>
      <c r="X13" s="32">
        <f>+AD9+U13</f>
        <v>0</v>
      </c>
      <c r="Y13" s="32"/>
      <c r="Z13" s="63">
        <f>+X13-Y13</f>
        <v>0</v>
      </c>
      <c r="AA13" s="68" t="str">
        <f>IF(X13=0,"",(Y13-X13)/ABS(X13)+1)</f>
        <v/>
      </c>
      <c r="AB13" s="32"/>
      <c r="AC13" s="68" t="str">
        <f>IF(AB13=0,"",(Y13-AB13)/ABS(AB13))</f>
        <v/>
      </c>
      <c r="AD13" s="67"/>
      <c r="AE13" s="67"/>
      <c r="AG13" s="67"/>
      <c r="AH13" s="67"/>
    </row>
    <row r="14" spans="1:34" x14ac:dyDescent="0.2">
      <c r="B14" s="3" t="str">
        <f>+'COLOMB$ '!B14</f>
        <v>POP Satelital</v>
      </c>
      <c r="C14" s="32"/>
      <c r="D14" s="68">
        <f t="shared" si="0"/>
        <v>0</v>
      </c>
      <c r="E14" s="32"/>
      <c r="F14" s="68">
        <f t="shared" si="1"/>
        <v>0</v>
      </c>
      <c r="G14" s="68" t="str">
        <f t="shared" si="2"/>
        <v/>
      </c>
      <c r="H14" s="32"/>
      <c r="I14" s="68">
        <f t="shared" si="3"/>
        <v>0</v>
      </c>
      <c r="J14" s="68" t="str">
        <f t="shared" si="4"/>
        <v/>
      </c>
      <c r="K14" s="32"/>
      <c r="L14" s="68">
        <f t="shared" si="5"/>
        <v>0</v>
      </c>
      <c r="M14" s="32"/>
      <c r="N14" s="68">
        <f t="shared" si="6"/>
        <v>0</v>
      </c>
      <c r="O14" s="68" t="str">
        <f>IF(K14=0,"",(M14-K14)/ABS(K14)+1)</f>
        <v/>
      </c>
      <c r="P14" s="32"/>
      <c r="Q14" s="68">
        <f t="shared" si="7"/>
        <v>0</v>
      </c>
      <c r="R14" s="68" t="str">
        <f t="shared" si="8"/>
        <v/>
      </c>
      <c r="T14" s="3" t="s">
        <v>34</v>
      </c>
      <c r="U14" s="32"/>
      <c r="V14" s="32"/>
      <c r="W14" s="32"/>
      <c r="X14" s="32">
        <f>+AD10+U14</f>
        <v>0</v>
      </c>
      <c r="Y14" s="32"/>
      <c r="Z14" s="63">
        <f>+X14-Y14</f>
        <v>0</v>
      </c>
      <c r="AA14" s="68" t="str">
        <f>IF(X14=0,"",(Y14-X14)/ABS(X14)+1)</f>
        <v/>
      </c>
      <c r="AB14" s="32"/>
      <c r="AC14" s="68" t="str">
        <f>IF(AB14=0,"",(Y14-AB14)/ABS(AB14))</f>
        <v/>
      </c>
      <c r="AD14" s="67"/>
      <c r="AE14" s="67"/>
      <c r="AF14" s="67"/>
      <c r="AG14" s="67"/>
      <c r="AH14" s="67"/>
    </row>
    <row r="15" spans="1:34" x14ac:dyDescent="0.2">
      <c r="B15" s="3" t="str">
        <f>+'COLOMB$ '!B15</f>
        <v>Voice Experience (Audicóm)</v>
      </c>
      <c r="C15" s="32">
        <v>52773.94576799999</v>
      </c>
      <c r="D15" s="68">
        <f t="shared" si="0"/>
        <v>0.12781794006266309</v>
      </c>
      <c r="E15" s="32">
        <v>39849.699999999997</v>
      </c>
      <c r="F15" s="68">
        <f t="shared" si="1"/>
        <v>0.10333474761678715</v>
      </c>
      <c r="G15" s="68">
        <f t="shared" si="2"/>
        <v>0.75510177266607303</v>
      </c>
      <c r="H15" s="32">
        <v>27875</v>
      </c>
      <c r="I15" s="68">
        <f t="shared" si="3"/>
        <v>0.1574993298862592</v>
      </c>
      <c r="J15" s="68">
        <f t="shared" si="4"/>
        <v>0.42958565022421513</v>
      </c>
      <c r="K15" s="32">
        <v>223051.90328799997</v>
      </c>
      <c r="L15" s="68">
        <f t="shared" si="5"/>
        <v>0.12862289508278521</v>
      </c>
      <c r="M15" s="32">
        <v>211790.36</v>
      </c>
      <c r="N15" s="68">
        <f t="shared" si="6"/>
        <v>0.14621541183624687</v>
      </c>
      <c r="O15" s="68"/>
      <c r="P15" s="32">
        <v>157964.57</v>
      </c>
      <c r="Q15" s="68">
        <f t="shared" si="7"/>
        <v>0.1497461905836184</v>
      </c>
      <c r="R15" s="68">
        <f t="shared" si="8"/>
        <v>0.34074596600997287</v>
      </c>
      <c r="T15" s="3" t="s">
        <v>35</v>
      </c>
      <c r="U15" s="32"/>
      <c r="V15" s="32">
        <v>80690.740000000005</v>
      </c>
      <c r="W15" s="32">
        <v>45557.39</v>
      </c>
      <c r="X15" s="32">
        <f>+AD11+U15</f>
        <v>0</v>
      </c>
      <c r="Y15" s="32">
        <v>423582</v>
      </c>
      <c r="Z15" s="63">
        <f>+X15-Y15</f>
        <v>-423582</v>
      </c>
      <c r="AA15" s="68" t="str">
        <f>IF(X15=0,"",(Y15-X15)/ABS(X15)+1)</f>
        <v/>
      </c>
      <c r="AB15" s="32">
        <v>229457</v>
      </c>
      <c r="AC15" s="68">
        <f>IF(AB15=0,"",(Y15-AB15)/ABS(AB15))</f>
        <v>0.84601907982759295</v>
      </c>
      <c r="AD15" s="67"/>
      <c r="AE15" s="67"/>
      <c r="AF15" s="67"/>
      <c r="AG15" s="67"/>
      <c r="AH15" s="67"/>
    </row>
    <row r="16" spans="1:34" x14ac:dyDescent="0.2">
      <c r="B16" s="3" t="str">
        <f>+'COLOMB$ '!B16</f>
        <v>Fact. Servicio Satelital</v>
      </c>
      <c r="C16" s="32"/>
      <c r="D16" s="68">
        <f t="shared" si="0"/>
        <v>0</v>
      </c>
      <c r="E16" s="32"/>
      <c r="F16" s="68"/>
      <c r="G16" s="68"/>
      <c r="H16" s="32"/>
      <c r="I16" s="68"/>
      <c r="J16" s="68"/>
      <c r="K16" s="32"/>
      <c r="L16" s="68">
        <f t="shared" si="5"/>
        <v>0</v>
      </c>
      <c r="M16" s="32"/>
      <c r="N16" s="68"/>
      <c r="O16" s="68"/>
      <c r="P16" s="32"/>
      <c r="Q16" s="68"/>
      <c r="R16" s="68"/>
      <c r="T16" s="3" t="s">
        <v>36</v>
      </c>
      <c r="U16" s="32"/>
      <c r="V16" s="32">
        <v>77458.67</v>
      </c>
      <c r="W16" s="32">
        <v>93838.34</v>
      </c>
      <c r="X16" s="32">
        <f>+AD13+U16</f>
        <v>0</v>
      </c>
      <c r="Y16" s="32">
        <v>408183</v>
      </c>
      <c r="Z16" s="63">
        <f>+X16-Y16</f>
        <v>-408183</v>
      </c>
      <c r="AA16" s="68" t="str">
        <f>IF(X16=0,"",(Y16-X16)/ABS(X16)+1)</f>
        <v/>
      </c>
      <c r="AB16" s="32">
        <v>594500</v>
      </c>
      <c r="AC16" s="68">
        <f>IF(AB16=0,"",(Y16-AB16)/ABS(AB16))</f>
        <v>-0.31340117746005047</v>
      </c>
      <c r="AD16" s="67"/>
      <c r="AE16" s="67"/>
      <c r="AF16" s="67"/>
      <c r="AG16" s="67"/>
      <c r="AH16" s="67"/>
    </row>
    <row r="17" spans="2:34" x14ac:dyDescent="0.2">
      <c r="B17" s="3" t="str">
        <f>+'COLOMB$ '!B17</f>
        <v>Visual Experience</v>
      </c>
      <c r="C17" s="32"/>
      <c r="D17" s="68">
        <f t="shared" si="0"/>
        <v>0</v>
      </c>
      <c r="E17" s="32"/>
      <c r="F17" s="68"/>
      <c r="G17" s="68"/>
      <c r="H17" s="32"/>
      <c r="I17" s="68"/>
      <c r="J17" s="68"/>
      <c r="K17" s="32"/>
      <c r="L17" s="68">
        <f t="shared" si="5"/>
        <v>0</v>
      </c>
      <c r="M17" s="32"/>
      <c r="N17" s="68"/>
      <c r="O17" s="68"/>
      <c r="P17" s="32"/>
      <c r="Q17" s="68"/>
      <c r="R17" s="68"/>
      <c r="T17" s="3" t="s">
        <v>37</v>
      </c>
      <c r="U17" s="32">
        <f t="shared" ref="U17" si="9">U13+U14+U15+U16</f>
        <v>0</v>
      </c>
      <c r="V17" s="32">
        <f>V13+V14+V15+V16</f>
        <v>158149.41</v>
      </c>
      <c r="W17" s="32">
        <v>139395.72999999998</v>
      </c>
      <c r="X17" s="32">
        <f>X13+X14+X15+X16</f>
        <v>0</v>
      </c>
      <c r="Y17" s="32">
        <f>Y13+Y14+Y15+Y16</f>
        <v>831765</v>
      </c>
      <c r="Z17" s="63">
        <f>+Y17-X17</f>
        <v>831765</v>
      </c>
      <c r="AA17" s="68" t="str">
        <f>IF(X17=0,"",(Y17-X17)/ABS(X17)+1)</f>
        <v/>
      </c>
      <c r="AB17" s="32">
        <v>823957</v>
      </c>
      <c r="AC17" s="68">
        <f>IF(AB17=0,"",(Y17-AB17)/ABS(AB17))</f>
        <v>9.4762226669595617E-3</v>
      </c>
      <c r="AD17" s="67"/>
      <c r="AE17" s="67"/>
      <c r="AF17" s="67"/>
      <c r="AG17" s="67"/>
      <c r="AH17" s="67"/>
    </row>
    <row r="18" spans="2:34" x14ac:dyDescent="0.2">
      <c r="B18" s="3" t="s">
        <v>118</v>
      </c>
      <c r="C18" s="32"/>
      <c r="D18" s="68">
        <f t="shared" si="0"/>
        <v>0</v>
      </c>
      <c r="E18" s="32"/>
      <c r="F18" s="68"/>
      <c r="G18" s="68"/>
      <c r="H18" s="32"/>
      <c r="I18" s="68"/>
      <c r="J18" s="68"/>
      <c r="K18" s="32"/>
      <c r="L18" s="68">
        <f t="shared" si="5"/>
        <v>0</v>
      </c>
      <c r="M18" s="32"/>
      <c r="N18" s="68"/>
      <c r="O18" s="68"/>
      <c r="P18" s="32"/>
      <c r="Q18" s="68"/>
      <c r="R18" s="68"/>
      <c r="AF18" s="67"/>
      <c r="AG18" s="67"/>
      <c r="AH18" s="67"/>
    </row>
    <row r="19" spans="2:34" x14ac:dyDescent="0.2">
      <c r="B19" s="3" t="str">
        <f>+'COLOMB$ '!B19</f>
        <v>Locutor virtual</v>
      </c>
      <c r="C19" s="32"/>
      <c r="D19" s="68">
        <f t="shared" si="0"/>
        <v>0</v>
      </c>
      <c r="E19" s="32"/>
      <c r="F19" s="68"/>
      <c r="G19" s="68"/>
      <c r="H19" s="32"/>
      <c r="I19" s="68"/>
      <c r="J19" s="68"/>
      <c r="K19" s="32"/>
      <c r="L19" s="68">
        <f t="shared" si="5"/>
        <v>0</v>
      </c>
      <c r="M19" s="32"/>
      <c r="N19" s="68"/>
      <c r="O19" s="68"/>
      <c r="P19" s="32"/>
      <c r="Q19" s="68"/>
      <c r="R19" s="68"/>
      <c r="T19" s="3" t="s">
        <v>38</v>
      </c>
      <c r="U19" s="32">
        <f>+U11-U17</f>
        <v>0</v>
      </c>
      <c r="V19" s="32">
        <f>+V11-V17</f>
        <v>170201.74000000002</v>
      </c>
      <c r="W19" s="32">
        <v>15642.080000000016</v>
      </c>
      <c r="X19" s="32">
        <f>X11-X17</f>
        <v>0</v>
      </c>
      <c r="Y19" s="32">
        <f>+Y11-Y17</f>
        <v>560324</v>
      </c>
      <c r="Z19" s="63">
        <f>+Y19-X19</f>
        <v>560324</v>
      </c>
      <c r="AA19" s="68" t="str">
        <f>IF(X19=0,"",(Y19-X19)/ABS(X19)+1)</f>
        <v/>
      </c>
      <c r="AB19" s="32">
        <v>186134</v>
      </c>
      <c r="AC19" s="68">
        <f>IF(AB19=0,"",(Y19-AB19)/ABS(AB19))</f>
        <v>2.0103258942482296</v>
      </c>
      <c r="AD19" s="67"/>
      <c r="AE19" s="67"/>
      <c r="AF19" s="67"/>
      <c r="AG19" s="67"/>
      <c r="AH19" s="67"/>
    </row>
    <row r="20" spans="2:34" x14ac:dyDescent="0.2">
      <c r="B20" s="3" t="s">
        <v>39</v>
      </c>
      <c r="C20" s="32">
        <f>SUM(C10:C16)</f>
        <v>412883.71367999999</v>
      </c>
      <c r="D20" s="68">
        <f t="shared" si="0"/>
        <v>1</v>
      </c>
      <c r="E20" s="32">
        <f>SUM(E10:E16)</f>
        <v>385636.98000000004</v>
      </c>
      <c r="F20" s="68">
        <f>+E20/$E$20</f>
        <v>1</v>
      </c>
      <c r="G20" s="68">
        <f>IF(C20=0,"",(E20-C20)/ABS(C20)+1)</f>
        <v>0.93400869838833811</v>
      </c>
      <c r="H20" s="32">
        <v>176984.88</v>
      </c>
      <c r="I20" s="68">
        <f>+H20/$H$20</f>
        <v>1</v>
      </c>
      <c r="J20" s="68">
        <f>IF(H20=0,"",(E20-H20)/ABS(H20))</f>
        <v>1.1789261319950044</v>
      </c>
      <c r="K20" s="32">
        <f>SUM(K10:K16)</f>
        <v>1734153.9633704999</v>
      </c>
      <c r="L20" s="68">
        <f t="shared" si="5"/>
        <v>1</v>
      </c>
      <c r="M20" s="32">
        <f>SUM(M10:M19)</f>
        <v>1448481.7800000003</v>
      </c>
      <c r="N20" s="68">
        <f>+M20/$M$20</f>
        <v>1</v>
      </c>
      <c r="O20" s="68">
        <f>IF(K20=0,"",(M20-K20)/ABS(K20)+1)</f>
        <v>0.83526711618196381</v>
      </c>
      <c r="P20" s="32">
        <v>1054882.06</v>
      </c>
      <c r="Q20" s="68">
        <f>+P20/$P$20</f>
        <v>1</v>
      </c>
      <c r="R20" s="68">
        <f>IF(P20=0,"",(M20-P20)/ABS(P20))</f>
        <v>0.37312201517580096</v>
      </c>
      <c r="T20" s="3"/>
      <c r="U20" s="32"/>
      <c r="V20" s="32"/>
      <c r="W20" s="32"/>
      <c r="X20" s="32"/>
      <c r="Y20" s="32"/>
      <c r="Z20" s="63"/>
      <c r="AA20" s="68"/>
      <c r="AB20" s="32"/>
      <c r="AC20" s="68" t="str">
        <f>IF(AB20=0,"",(Y20-AB20)/ABS(AB20))</f>
        <v/>
      </c>
      <c r="AD20" s="67"/>
      <c r="AE20" s="67"/>
      <c r="AF20" s="67"/>
      <c r="AG20" s="67"/>
      <c r="AH20" s="67"/>
    </row>
    <row r="21" spans="2:34" x14ac:dyDescent="0.2">
      <c r="T21" s="3" t="s">
        <v>40</v>
      </c>
      <c r="U21" s="32">
        <f>+U10+U19</f>
        <v>236652</v>
      </c>
      <c r="V21" s="32">
        <f>+V10+V19</f>
        <v>479780.66000000003</v>
      </c>
      <c r="W21" s="32">
        <v>77934.180000000022</v>
      </c>
      <c r="X21" s="32">
        <f>+X10+X19</f>
        <v>236652</v>
      </c>
      <c r="Y21" s="32">
        <f>+Y10+Y19</f>
        <v>814303</v>
      </c>
      <c r="Z21" s="63">
        <f>+Y21-X21</f>
        <v>577651</v>
      </c>
      <c r="AA21" s="68">
        <f>IF(X21=0,"",(Y21-X21)/ABS(X21)+1)</f>
        <v>3.4409301421496545</v>
      </c>
      <c r="AB21" s="32">
        <v>223160</v>
      </c>
      <c r="AC21" s="68">
        <f>IF(AB21=0,"",(Y21-AB21)/ABS(AB21))</f>
        <v>2.6489648682559599</v>
      </c>
      <c r="AD21" s="67"/>
      <c r="AE21" s="67"/>
      <c r="AG21" s="67"/>
      <c r="AH21" s="67"/>
    </row>
    <row r="22" spans="2:34" x14ac:dyDescent="0.2">
      <c r="B22" s="3" t="s">
        <v>41</v>
      </c>
      <c r="C22" s="32"/>
      <c r="D22" s="68">
        <f>IF($C$20=0," ",C22/$C$20)</f>
        <v>0</v>
      </c>
      <c r="E22" s="32">
        <v>0</v>
      </c>
      <c r="F22" s="68">
        <f>+E22/$E$20</f>
        <v>0</v>
      </c>
      <c r="G22" s="68" t="str">
        <f>IF(C22=0,"",(E22-C22)/ABS(C22)+1)</f>
        <v/>
      </c>
      <c r="H22" s="32">
        <v>0</v>
      </c>
      <c r="I22" s="68">
        <f>+H22/$H$20</f>
        <v>0</v>
      </c>
      <c r="J22" s="68" t="str">
        <f>IF(H22=0,"",(E22-H22)/ABS(H22))</f>
        <v/>
      </c>
      <c r="K22" s="32">
        <f>+S18+C22</f>
        <v>0</v>
      </c>
      <c r="L22" s="68">
        <f>IF($K$20=0," ",K22/$K$20)</f>
        <v>0</v>
      </c>
      <c r="M22" s="32">
        <v>0</v>
      </c>
      <c r="N22" s="68">
        <f>+M22/$M$20</f>
        <v>0</v>
      </c>
      <c r="O22" s="68" t="str">
        <f>IF(K22=0,"",(M22-K22)/ABS(K22)+1)</f>
        <v/>
      </c>
      <c r="P22" s="32">
        <v>0</v>
      </c>
      <c r="Q22" s="68">
        <f>+P22/$P$20</f>
        <v>0</v>
      </c>
      <c r="R22" s="68" t="str">
        <f>IF(P22=0,"",(M22-P22)/ABS(P22))</f>
        <v/>
      </c>
      <c r="AF22" s="67"/>
      <c r="AG22" s="67"/>
      <c r="AH22" s="67"/>
    </row>
    <row r="23" spans="2:34" x14ac:dyDescent="0.2">
      <c r="T23" s="3" t="s">
        <v>42</v>
      </c>
      <c r="U23" s="32"/>
      <c r="V23" s="32"/>
      <c r="W23" s="32"/>
      <c r="X23" s="32"/>
      <c r="Y23" s="32"/>
      <c r="Z23" s="63">
        <f>+Y23-X23</f>
        <v>0</v>
      </c>
      <c r="AA23" s="68" t="str">
        <f>IF(X23=0,"",(Y23-X23)/ABS(X23)+1)</f>
        <v/>
      </c>
      <c r="AB23" s="32"/>
      <c r="AC23" s="68" t="str">
        <f>IF(AB23=0,"",(Y23-AB23)/ABS(AB23))</f>
        <v/>
      </c>
      <c r="AD23" s="67"/>
      <c r="AE23" s="67"/>
      <c r="AG23" s="55"/>
    </row>
    <row r="24" spans="2:34" x14ac:dyDescent="0.2">
      <c r="B24" s="3" t="s">
        <v>43</v>
      </c>
      <c r="C24" s="32">
        <f>+C20-C22</f>
        <v>412883.71367999999</v>
      </c>
      <c r="D24" s="68">
        <f>IF($C$20=0," ",C24/$C$20)</f>
        <v>1</v>
      </c>
      <c r="E24" s="32">
        <f>+E20-E22</f>
        <v>385636.98000000004</v>
      </c>
      <c r="F24" s="68">
        <f>+E24/$E$20</f>
        <v>1</v>
      </c>
      <c r="G24" s="68">
        <f>IF(C24=0,"",(E24-C24)/ABS(C24)+1)</f>
        <v>0.93400869838833811</v>
      </c>
      <c r="H24" s="32">
        <v>176984.88</v>
      </c>
      <c r="I24" s="68">
        <f>+H24/$H$20</f>
        <v>1</v>
      </c>
      <c r="J24" s="68">
        <f>IF(H24=0,"",(E24-H24)/ABS(H24))</f>
        <v>1.1789261319950044</v>
      </c>
      <c r="K24" s="32">
        <f>+K20-K22</f>
        <v>1734153.9633704999</v>
      </c>
      <c r="L24" s="68">
        <f>IF($K$20=0," ",K24/$K$20)</f>
        <v>1</v>
      </c>
      <c r="M24" s="32">
        <f>+M20-M22</f>
        <v>1448481.7800000003</v>
      </c>
      <c r="N24" s="68">
        <f>+M24/$M$20</f>
        <v>1</v>
      </c>
      <c r="O24" s="68">
        <f>IF(K24=0,"",(M24-K24)/ABS(K24)+1)</f>
        <v>0.83526711618196381</v>
      </c>
      <c r="P24" s="32">
        <v>1054882.06</v>
      </c>
      <c r="Q24" s="68">
        <f>+P24/$P$20</f>
        <v>1</v>
      </c>
      <c r="R24" s="68">
        <f>IF(P24=0,"",(M24-P24)/ABS(P24))</f>
        <v>0.37312201517580096</v>
      </c>
    </row>
    <row r="25" spans="2:34" x14ac:dyDescent="0.2">
      <c r="T25" s="3" t="s">
        <v>44</v>
      </c>
      <c r="U25" s="32"/>
      <c r="V25" s="32">
        <v>20022.490000000002</v>
      </c>
      <c r="W25" s="32">
        <v>7847.05</v>
      </c>
      <c r="X25" s="32">
        <f>+AD22+U25</f>
        <v>0</v>
      </c>
      <c r="Y25" s="32">
        <f>331945+22600</f>
        <v>354545</v>
      </c>
      <c r="Z25" s="63">
        <f>+Y25-X25</f>
        <v>354545</v>
      </c>
      <c r="AA25" s="68" t="str">
        <f>IF(X25=0,"",(Y25-X25)/ABS(X25)+1)</f>
        <v/>
      </c>
      <c r="AB25" s="32">
        <v>153072</v>
      </c>
      <c r="AC25" s="68">
        <f>IF(AB25=0,"",(Y25-AB25)/ABS(AB25))</f>
        <v>1.3161976063551792</v>
      </c>
      <c r="AD25" s="67"/>
      <c r="AE25" s="67"/>
      <c r="AF25" s="67"/>
    </row>
    <row r="26" spans="2:34" x14ac:dyDescent="0.2">
      <c r="B26" s="3" t="s">
        <v>45</v>
      </c>
      <c r="C26" s="32">
        <v>10125.748181117999</v>
      </c>
      <c r="D26" s="68">
        <f>IF($C$20=0," ",C26/$C$20)</f>
        <v>2.4524455302118855E-2</v>
      </c>
      <c r="E26" s="32">
        <v>4330.99</v>
      </c>
      <c r="F26" s="68">
        <f>+E26/$E$20</f>
        <v>1.1230743483158693E-2</v>
      </c>
      <c r="G26" s="68">
        <f>IF(C26=0,"",(E26-C26)/ABS(C26)+1)</f>
        <v>0.42772049260282996</v>
      </c>
      <c r="H26" s="32">
        <v>2835.67</v>
      </c>
      <c r="I26" s="68">
        <f>+H26/$H$20</f>
        <v>1.6022103131069727E-2</v>
      </c>
      <c r="J26" s="68">
        <f>IF(H26=0,"",(E26-H26)/ABS(H26))</f>
        <v>0.52732511187832143</v>
      </c>
      <c r="K26" s="32">
        <v>44318.343822789509</v>
      </c>
      <c r="L26" s="68">
        <f>IF($K$20=0," ",K26/$K$20)</f>
        <v>2.5556175956056647E-2</v>
      </c>
      <c r="M26" s="32">
        <v>21280.960000000003</v>
      </c>
      <c r="N26" s="68">
        <f>+M26/$M$20</f>
        <v>1.4691907274111517E-2</v>
      </c>
      <c r="O26" s="68">
        <f>IF(K26=0,"",(M26-K26)/ABS(K26)+1)</f>
        <v>0.48018400879540191</v>
      </c>
      <c r="P26" s="32">
        <v>29249.02</v>
      </c>
      <c r="Q26" s="68">
        <f>+P26/$P$20</f>
        <v>2.7727289247861508E-2</v>
      </c>
      <c r="R26" s="68">
        <f>IF(P26=0,"",(M26-P26)/ABS(P26))</f>
        <v>-0.27242143497457344</v>
      </c>
      <c r="AF26" s="67"/>
    </row>
    <row r="27" spans="2:34" x14ac:dyDescent="0.2">
      <c r="B27" s="3" t="s">
        <v>46</v>
      </c>
      <c r="C27" s="32">
        <v>26052.350333751598</v>
      </c>
      <c r="D27" s="68">
        <f>IF($C$20=0," ",C27/$C$20)</f>
        <v>6.3098517743771135E-2</v>
      </c>
      <c r="E27" s="32">
        <v>45485.45</v>
      </c>
      <c r="F27" s="68">
        <f>+E27/$E$20</f>
        <v>0.11794888031744256</v>
      </c>
      <c r="G27" s="68">
        <f>IF(C27=0,"",(E27-C27)/ABS(C27)+1)</f>
        <v>1.7459250093482828</v>
      </c>
      <c r="H27" s="32">
        <v>21178.43</v>
      </c>
      <c r="I27" s="68">
        <f>+H27/$H$20</f>
        <v>0.11966236889840533</v>
      </c>
      <c r="J27" s="68">
        <f>IF(H27=0,"",(E27-H27)/ABS(H27))</f>
        <v>1.1477253035281652</v>
      </c>
      <c r="K27" s="32">
        <v>181199.52075551898</v>
      </c>
      <c r="L27" s="68">
        <f>IF($K$20=0," ",K27/$K$20)</f>
        <v>0.10448871587119045</v>
      </c>
      <c r="M27" s="32">
        <v>180352.16999999998</v>
      </c>
      <c r="N27" s="68">
        <f>+M27/$M$20</f>
        <v>0.12451117610882199</v>
      </c>
      <c r="O27" s="68">
        <f>IF(K27=0,"",(M27-K27)/ABS(K27)+1)</f>
        <v>0.99532365895899755</v>
      </c>
      <c r="P27" s="32">
        <v>104389.45999999999</v>
      </c>
      <c r="Q27" s="68">
        <f>+P27/$P$20</f>
        <v>9.8958418157191891E-2</v>
      </c>
      <c r="R27" s="68">
        <f>IF(P27=0,"",(M27-P27)/ABS(P27))</f>
        <v>0.72768563033087819</v>
      </c>
      <c r="T27" s="3" t="s">
        <v>47</v>
      </c>
      <c r="U27" s="32"/>
      <c r="V27" s="32"/>
      <c r="W27" s="32"/>
      <c r="X27" s="32">
        <f>+AD21+U27</f>
        <v>0</v>
      </c>
      <c r="Y27" s="32"/>
      <c r="Z27" s="63">
        <f>+Y27-X27</f>
        <v>0</v>
      </c>
      <c r="AA27" s="68" t="str">
        <f>IF(X27=0,"",(Y27-X27)/ABS(X27)+1)</f>
        <v/>
      </c>
      <c r="AB27" s="32"/>
      <c r="AC27" s="68" t="str">
        <f>IF(AB27=0,"",(Y27-AB27)/ABS(AB27))</f>
        <v/>
      </c>
      <c r="AD27" s="55"/>
      <c r="AE27" s="55"/>
    </row>
    <row r="28" spans="2:34" x14ac:dyDescent="0.2">
      <c r="B28" s="3" t="s">
        <v>48</v>
      </c>
      <c r="C28" s="32">
        <f>SUM(C26:C27)</f>
        <v>36178.098514869598</v>
      </c>
      <c r="D28" s="68">
        <f>IF($C$20=0," ",C28/$C$20)</f>
        <v>8.7622973045889993E-2</v>
      </c>
      <c r="E28" s="32">
        <f>SUM(E26:E27)</f>
        <v>49816.439999999995</v>
      </c>
      <c r="F28" s="68">
        <f>+E28/$E$20</f>
        <v>0.12917962380060125</v>
      </c>
      <c r="G28" s="68">
        <f>IF(C28=0,"",(E28-C28)/ABS(C28)+1)</f>
        <v>1.3769778414286999</v>
      </c>
      <c r="H28" s="32">
        <v>24014.1</v>
      </c>
      <c r="I28" s="68">
        <f>+H28/$H$20</f>
        <v>0.13568447202947506</v>
      </c>
      <c r="J28" s="68">
        <f>IF(H28=0,"",(E28-H28)/ABS(H28))</f>
        <v>1.0744662510774918</v>
      </c>
      <c r="K28" s="32">
        <f>+K26+K27</f>
        <v>225517.86457830848</v>
      </c>
      <c r="L28" s="68">
        <f>IF($K$20=0," ",K28/$K$20)</f>
        <v>0.1300448918272471</v>
      </c>
      <c r="M28" s="32">
        <f>SUM(M26:M27)</f>
        <v>201633.12999999998</v>
      </c>
      <c r="N28" s="68">
        <f>+M28/$M$20</f>
        <v>0.1392030833829335</v>
      </c>
      <c r="O28" s="68">
        <f>IF(K28=0,"",(M28-K28)/ABS(K28)+1)</f>
        <v>0.89408939011119981</v>
      </c>
      <c r="P28" s="32">
        <v>133638.47999999998</v>
      </c>
      <c r="Q28" s="68">
        <f>+P28/$P$20</f>
        <v>0.12668570740505339</v>
      </c>
      <c r="R28" s="68">
        <f>IF(P28=0,"",(M28-P28)/ABS(P28))</f>
        <v>0.50879544574287294</v>
      </c>
      <c r="T28" s="3" t="s">
        <v>49</v>
      </c>
      <c r="U28" s="32"/>
      <c r="V28" s="32"/>
      <c r="W28" s="32"/>
      <c r="X28" s="32"/>
      <c r="Y28" s="32"/>
      <c r="Z28" s="63">
        <f>+Y28-X28</f>
        <v>0</v>
      </c>
      <c r="AA28" s="68" t="str">
        <f>IF(X28=0,"",(Y28-X28)/ABS(X28)+1)</f>
        <v/>
      </c>
      <c r="AB28" s="32"/>
      <c r="AC28" s="68" t="str">
        <f>IF(AB28=0,"",(Y28-AB28)/ABS(AB28))</f>
        <v/>
      </c>
      <c r="AD28" s="55"/>
      <c r="AF28" s="67"/>
    </row>
    <row r="29" spans="2:34" x14ac:dyDescent="0.2">
      <c r="AD29" s="55"/>
    </row>
    <row r="30" spans="2:34" x14ac:dyDescent="0.2">
      <c r="B30" s="3" t="s">
        <v>50</v>
      </c>
      <c r="C30" s="32">
        <v>300858.57681946974</v>
      </c>
      <c r="D30" s="68">
        <f>IF($C$20=0," ",C30/$C$20)</f>
        <v>0.72867630001179018</v>
      </c>
      <c r="E30" s="32">
        <v>139785.41</v>
      </c>
      <c r="F30" s="68">
        <f>+E30/$E$20</f>
        <v>0.36247926741880404</v>
      </c>
      <c r="G30" s="68">
        <f>IF(C30=0,"",(E30-C30)/ABS(C30)+1)</f>
        <v>0.4646216553895296</v>
      </c>
      <c r="H30" s="32">
        <v>86264.87000000001</v>
      </c>
      <c r="I30" s="68">
        <f>+H30/$H$20</f>
        <v>0.48741378359552529</v>
      </c>
      <c r="J30" s="68">
        <f>IF(H30=0,"",(E30-H30)/ABS(H30))</f>
        <v>0.62042103581678132</v>
      </c>
      <c r="K30" s="32">
        <v>1220669.0475360008</v>
      </c>
      <c r="L30" s="68">
        <f>IF($K$20=0," ",K30/$K$20)</f>
        <v>0.70389888863357308</v>
      </c>
      <c r="M30" s="32">
        <v>800384.58</v>
      </c>
      <c r="N30" s="68">
        <f>+M30/$M$20</f>
        <v>0.55256793081649935</v>
      </c>
      <c r="O30" s="68">
        <f>IF(K30=0,"",(M30-K30)/ABS(K30)+1)</f>
        <v>0.65569335244112881</v>
      </c>
      <c r="P30" s="32">
        <v>485803.20999999996</v>
      </c>
      <c r="Q30" s="68">
        <f>+P30/$P$20</f>
        <v>0.46052845945640591</v>
      </c>
      <c r="R30" s="68">
        <f>IF(P30=0,"",(M30-P30)/ABS(P30))</f>
        <v>0.64754897358541541</v>
      </c>
      <c r="T30" s="3" t="s">
        <v>51</v>
      </c>
      <c r="U30" s="32">
        <f>+U21-U25-U23+U27</f>
        <v>236652</v>
      </c>
      <c r="V30" s="32">
        <f>+V21-V25-V23+V27</f>
        <v>459758.17000000004</v>
      </c>
      <c r="W30" s="32">
        <v>70087.130000000019</v>
      </c>
      <c r="X30" s="32">
        <f>+X21-X25-X23-X27</f>
        <v>236652</v>
      </c>
      <c r="Y30" s="32">
        <f>+Y21-Y25-Y23+Y27</f>
        <v>459758</v>
      </c>
      <c r="Z30" s="63">
        <f>+Y30-X30</f>
        <v>223106</v>
      </c>
      <c r="AA30" s="68">
        <f>IF(U30=0,"",(V30-U30)/ABS(U30)+1)</f>
        <v>1.9427605513581125</v>
      </c>
      <c r="AB30" s="32">
        <v>70088</v>
      </c>
      <c r="AC30" s="68">
        <f>IF(AB30=0,"",(Y30-AB30)/ABS(AB30))</f>
        <v>5.5597249172468892</v>
      </c>
      <c r="AD30" s="55"/>
      <c r="AF30" s="67"/>
    </row>
    <row r="31" spans="2:34" x14ac:dyDescent="0.2">
      <c r="B31" s="3" t="s">
        <v>52</v>
      </c>
      <c r="C31" s="32">
        <v>41906</v>
      </c>
      <c r="D31" s="68">
        <f>IF($C$20=0," ",C31/$C$20)</f>
        <v>0.10149589003280154</v>
      </c>
      <c r="E31" s="32">
        <v>42055.5</v>
      </c>
      <c r="F31" s="68">
        <f>+E31/$E$20</f>
        <v>0.109054634750018</v>
      </c>
      <c r="G31" s="68">
        <f>IF(C31=0,"",(E31-C31)/ABS(C31)+1)</f>
        <v>1.0035675082327113</v>
      </c>
      <c r="H31" s="32">
        <v>21898.799999999999</v>
      </c>
      <c r="I31" s="68">
        <f>+H31/$H$20</f>
        <v>0.12373260359868028</v>
      </c>
      <c r="J31" s="68">
        <f>IF(H31=0,"",(E31-H31)/ABS(H31))</f>
        <v>0.92044769576415153</v>
      </c>
      <c r="K31" s="32">
        <v>250849.5</v>
      </c>
      <c r="L31" s="68">
        <f>IF($K$20=0," ",K31/$K$20)</f>
        <v>0.14465238110256898</v>
      </c>
      <c r="M31" s="32">
        <v>244885.15</v>
      </c>
      <c r="N31" s="68">
        <f>+M31/$M$20</f>
        <v>0.16906332781072328</v>
      </c>
      <c r="O31" s="68">
        <f>IF(K31=0,"",(M31-K31)/ABS(K31)+1)</f>
        <v>0.97622339291088878</v>
      </c>
      <c r="P31" s="32">
        <v>118094.20000000001</v>
      </c>
      <c r="Q31" s="68">
        <f>+P31/$P$20</f>
        <v>0.11195014540298467</v>
      </c>
      <c r="R31" s="68">
        <f>IF(P31=0,"",(M31-P31)/ABS(P31))</f>
        <v>1.0736424820185917</v>
      </c>
      <c r="T31" s="61"/>
      <c r="U31" s="61"/>
      <c r="V31" s="61" t="s">
        <v>61</v>
      </c>
      <c r="W31" s="61" t="s">
        <v>82</v>
      </c>
      <c r="X31" s="32"/>
      <c r="Y31" s="32" t="s">
        <v>82</v>
      </c>
      <c r="Z31" s="61"/>
      <c r="AA31" s="61"/>
      <c r="AB31" s="32" t="s">
        <v>82</v>
      </c>
      <c r="AC31" s="61"/>
      <c r="AD31" s="55"/>
    </row>
    <row r="32" spans="2:34" x14ac:dyDescent="0.2">
      <c r="B32" s="3" t="s">
        <v>53</v>
      </c>
      <c r="C32" s="32">
        <f>SUM(C30:C31)</f>
        <v>342764.57681946974</v>
      </c>
      <c r="D32" s="68">
        <f>IF($C$20=0," ",C32/$C$20)</f>
        <v>0.83017219004459175</v>
      </c>
      <c r="E32" s="32">
        <f>SUM(E30:E31)</f>
        <v>181840.91</v>
      </c>
      <c r="F32" s="68">
        <f>+E32/$E$20</f>
        <v>0.47153390216882207</v>
      </c>
      <c r="G32" s="68">
        <f>IF(C32=0,"",(E32-C32)/ABS(C32)+1)</f>
        <v>0.53051255088058169</v>
      </c>
      <c r="H32" s="32">
        <v>108163.67000000001</v>
      </c>
      <c r="I32" s="68">
        <f>+H32/$H$20</f>
        <v>0.61114638719420555</v>
      </c>
      <c r="J32" s="68">
        <f>IF(H32=0,"",(E32-H32)/ABS(H32))</f>
        <v>0.68116438726607542</v>
      </c>
      <c r="K32" s="32">
        <f>+K30+K31</f>
        <v>1471518.5475360008</v>
      </c>
      <c r="L32" s="68">
        <f>IF($K$20=0," ",K32/$K$20)</f>
        <v>0.84855126973614203</v>
      </c>
      <c r="M32" s="32">
        <f>+M30+M31</f>
        <v>1045269.73</v>
      </c>
      <c r="N32" s="68">
        <f>+M32/$M$20</f>
        <v>0.72163125862722266</v>
      </c>
      <c r="O32" s="68">
        <f>IF(K32=0,"",(M32-K32)/ABS(K32)+1)</f>
        <v>0.71033405032526598</v>
      </c>
      <c r="P32" s="32">
        <v>603897.40999999992</v>
      </c>
      <c r="Q32" s="68">
        <f>+P32/$P$20</f>
        <v>0.57247860485939051</v>
      </c>
      <c r="R32" s="68">
        <f>IF(P32=0,"",(M32-P32)/ABS(P32))</f>
        <v>0.7308730136795919</v>
      </c>
      <c r="AD32" s="55"/>
    </row>
    <row r="33" spans="2:30" x14ac:dyDescent="0.2">
      <c r="Y33" s="55"/>
      <c r="AD33" s="55"/>
    </row>
    <row r="34" spans="2:30" x14ac:dyDescent="0.2">
      <c r="B34" s="3" t="s">
        <v>54</v>
      </c>
      <c r="C34" s="32">
        <f>C28+C32</f>
        <v>378942.67533433932</v>
      </c>
      <c r="D34" s="68">
        <f>IF($C$20=0," ",C34/$C$20)</f>
        <v>0.9177951630904817</v>
      </c>
      <c r="E34" s="32">
        <f>E28+E32</f>
        <v>231657.35</v>
      </c>
      <c r="F34" s="68">
        <f>+E34/$E$20</f>
        <v>0.60071352596942329</v>
      </c>
      <c r="G34" s="68">
        <f>IF(C34=0,"",(E34-C34)/ABS(C34)+1)</f>
        <v>0.61132557792708309</v>
      </c>
      <c r="H34" s="32">
        <v>132177.77000000002</v>
      </c>
      <c r="I34" s="68">
        <f>+H34/$H$20</f>
        <v>0.74683085922368064</v>
      </c>
      <c r="J34" s="68">
        <f>IF(H34=0,"",(E34-H34)/ABS(H34))</f>
        <v>0.75261959707748116</v>
      </c>
      <c r="K34" s="32">
        <f>K28+K32</f>
        <v>1697036.4121143094</v>
      </c>
      <c r="L34" s="68">
        <f>IF($K$20=0," ",K34/$K$20)</f>
        <v>0.97859616156338913</v>
      </c>
      <c r="M34" s="32">
        <f>M28+M32</f>
        <v>1246902.8599999999</v>
      </c>
      <c r="N34" s="68">
        <f>+M34/$M$20</f>
        <v>0.86083434201015607</v>
      </c>
      <c r="O34" s="68">
        <f>IF(K34=0,"",(M34-K34)/ABS(K34)+1)</f>
        <v>0.73475315620747605</v>
      </c>
      <c r="P34" s="32">
        <v>737535.8899999999</v>
      </c>
      <c r="Q34" s="68">
        <f>+P34/$P$20</f>
        <v>0.69916431226444387</v>
      </c>
      <c r="R34" s="68">
        <f>IF(P34=0,"",(M34-P34)/ABS(P34))</f>
        <v>0.69063346869804543</v>
      </c>
      <c r="AD34" s="55"/>
    </row>
    <row r="35" spans="2:30" x14ac:dyDescent="0.2">
      <c r="T35" s="63"/>
      <c r="AD35" s="55"/>
    </row>
    <row r="36" spans="2:30" x14ac:dyDescent="0.2">
      <c r="B36" s="3" t="s">
        <v>55</v>
      </c>
      <c r="C36" s="32">
        <f>C24-C34</f>
        <v>33941.038345660665</v>
      </c>
      <c r="D36" s="68">
        <f>IF($C$20=0," ",C36/$C$20)</f>
        <v>8.2204836909518339E-2</v>
      </c>
      <c r="E36" s="32">
        <f>E24-E34</f>
        <v>153979.63000000003</v>
      </c>
      <c r="F36" s="68">
        <f>+E36/$E$20</f>
        <v>0.39928647403057665</v>
      </c>
      <c r="G36" s="68">
        <f>IF(C36=0,"",(E36-C36)/ABS(C36)+1)</f>
        <v>4.5366800046553735</v>
      </c>
      <c r="H36" s="32">
        <v>44807.109999999986</v>
      </c>
      <c r="I36" s="68">
        <f>+H36/$H$20</f>
        <v>0.25316914077631936</v>
      </c>
      <c r="J36" s="68">
        <f>IF(H36=0,"",(E36-H36)/ABS(H36))</f>
        <v>2.4364999215526306</v>
      </c>
      <c r="K36" s="32">
        <f>K24-K34</f>
        <v>37117.55125619052</v>
      </c>
      <c r="L36" s="68">
        <f>IF($K$20=0," ",K36/$K$20)</f>
        <v>2.1403838436610832E-2</v>
      </c>
      <c r="M36" s="32">
        <f>M24-M34</f>
        <v>201578.92000000039</v>
      </c>
      <c r="N36" s="68">
        <f>+M36/$M$20</f>
        <v>0.13916565798984393</v>
      </c>
      <c r="O36" s="68">
        <f>IF(K36=0,"",(M36-K36)/ABS(K36)+1)</f>
        <v>5.4308248571861473</v>
      </c>
      <c r="P36" s="32">
        <v>317346.17000000016</v>
      </c>
      <c r="Q36" s="68">
        <f>+P36/$P$20</f>
        <v>0.30083568773555608</v>
      </c>
      <c r="R36" s="68">
        <f>IF(P36=0,"",(M36-P36)/ABS(P36))</f>
        <v>-0.36479800591259604</v>
      </c>
      <c r="AD36" s="55"/>
    </row>
    <row r="37" spans="2:30" x14ac:dyDescent="0.2">
      <c r="AD37" s="55"/>
    </row>
    <row r="38" spans="2:30" x14ac:dyDescent="0.2">
      <c r="B38" s="3" t="s">
        <v>56</v>
      </c>
      <c r="C38" s="32"/>
      <c r="D38" s="68">
        <f>IF($C$20=0," ",C38/$C$20)</f>
        <v>0</v>
      </c>
      <c r="E38" s="32">
        <v>-1615</v>
      </c>
      <c r="F38" s="68">
        <f>+E38/$E$20</f>
        <v>-4.1878763805276139E-3</v>
      </c>
      <c r="G38" s="68" t="str">
        <f>IF(C38=0,"",(E38-C38)/ABS(C38)+1)</f>
        <v/>
      </c>
      <c r="H38" s="32">
        <v>28722.85</v>
      </c>
      <c r="I38" s="68">
        <f>+H38/$H$20</f>
        <v>0.16228985210488037</v>
      </c>
      <c r="J38" s="68">
        <f>IF(H38=0,"",(E38-H38)/ABS(H38))</f>
        <v>-1.0562270108989882</v>
      </c>
      <c r="K38" s="32">
        <f>+S28+C38</f>
        <v>0</v>
      </c>
      <c r="L38" s="68">
        <f>IF($K$20=0," ",K38/$K$20)</f>
        <v>0</v>
      </c>
      <c r="M38" s="32">
        <v>7209.9800000000005</v>
      </c>
      <c r="N38" s="68">
        <f>+M38/$M$20</f>
        <v>4.9776117998529459E-3</v>
      </c>
      <c r="O38" s="68" t="str">
        <f>IF(K38=0,"",(M38-K38)/ABS(K38)+1)</f>
        <v/>
      </c>
      <c r="P38" s="32">
        <v>149204.74</v>
      </c>
      <c r="Q38" s="68">
        <f>+P38/$P$20</f>
        <v>0.14144210585968253</v>
      </c>
      <c r="R38" s="68">
        <f>IF(P38=0,"",(M38-P38)/ABS(P38))</f>
        <v>-0.95167727245126388</v>
      </c>
      <c r="AD38" s="55"/>
    </row>
    <row r="39" spans="2:30" x14ac:dyDescent="0.2">
      <c r="B39" s="3" t="s">
        <v>57</v>
      </c>
      <c r="C39" s="32">
        <v>2353</v>
      </c>
      <c r="D39" s="68">
        <f>IF($C$20=0," ",C39/$C$20)</f>
        <v>5.6989411837727781E-3</v>
      </c>
      <c r="E39" s="32">
        <v>3790</v>
      </c>
      <c r="F39" s="68">
        <f>+E39/$E$20</f>
        <v>9.8278956546127907E-3</v>
      </c>
      <c r="G39" s="68">
        <f>IF(C39=0,"",(E39-C39)/ABS(C39)+1)</f>
        <v>1.6107097322566934</v>
      </c>
      <c r="H39" s="32">
        <v>2939.98</v>
      </c>
      <c r="I39" s="68">
        <f>+H39/$H$20</f>
        <v>1.6611475511354414E-2</v>
      </c>
      <c r="J39" s="68">
        <f>IF(H39=0,"",(E39-H39)/ABS(H39))</f>
        <v>0.28912441581235243</v>
      </c>
      <c r="K39" s="32">
        <v>9885</v>
      </c>
      <c r="L39" s="68">
        <f>IF($K$20=0," ",K39/$K$20)</f>
        <v>5.7001859170494433E-3</v>
      </c>
      <c r="M39" s="32">
        <v>27013</v>
      </c>
      <c r="N39" s="68">
        <f>+M39/$M$20</f>
        <v>1.8649181766028148E-2</v>
      </c>
      <c r="O39" s="68">
        <f>IF(K39=0,"",(M39-K39)/ABS(K39)+1)</f>
        <v>2.7327263530601922</v>
      </c>
      <c r="P39" s="32">
        <v>17496.38</v>
      </c>
      <c r="Q39" s="68">
        <f>+P39/$P$20</f>
        <v>1.6586100630055268E-2</v>
      </c>
      <c r="R39" s="68">
        <f>IF(P39=0,"",(M39-P39)/ABS(P39))</f>
        <v>0.54391937074983499</v>
      </c>
    </row>
    <row r="41" spans="2:30" x14ac:dyDescent="0.2">
      <c r="B41" s="3" t="s">
        <v>58</v>
      </c>
      <c r="C41" s="32">
        <f>C36+C38-C39</f>
        <v>31588.038345660665</v>
      </c>
      <c r="D41" s="68">
        <f>IF($C$20=0," ",C41/$C$20)</f>
        <v>7.6505895725745565E-2</v>
      </c>
      <c r="E41" s="32">
        <f>E36+E38-E39</f>
        <v>148574.63000000003</v>
      </c>
      <c r="F41" s="68">
        <f>+E41/$E$20</f>
        <v>0.38527070199543628</v>
      </c>
      <c r="G41" s="68">
        <f>IF(C41=0,"",(E41-C41)/ABS(C41)+1)</f>
        <v>4.7035092326462919</v>
      </c>
      <c r="H41" s="32">
        <v>70589.98</v>
      </c>
      <c r="I41" s="68">
        <f>+H41/$H$20</f>
        <v>0.39884751736984536</v>
      </c>
      <c r="J41" s="68">
        <f>IF(H41=0,"",(E41-H41)/ABS(H41))</f>
        <v>1.1047552357997557</v>
      </c>
      <c r="K41" s="32">
        <f>K36+K38-K39</f>
        <v>27232.55125619052</v>
      </c>
      <c r="L41" s="68">
        <f>IF($K$20=0," ",K41/$K$20)</f>
        <v>1.5703652519561389E-2</v>
      </c>
      <c r="M41" s="32">
        <f>M36+M38-M39</f>
        <v>181775.9000000004</v>
      </c>
      <c r="N41" s="68">
        <f>+M41/$M$20</f>
        <v>0.12549408802366874</v>
      </c>
      <c r="O41" s="68">
        <f>IF(K41=0,"",(M41-K41)/ABS(K41)+1)</f>
        <v>6.6749493387505883</v>
      </c>
      <c r="P41" s="32">
        <v>449054.53000000014</v>
      </c>
      <c r="Q41" s="68">
        <f>+P41/$P$20</f>
        <v>0.42569169296518333</v>
      </c>
      <c r="R41" s="68">
        <f>IF(P41=0,"",(M41-P41)/ABS(P41))</f>
        <v>-0.59520305919194194</v>
      </c>
    </row>
    <row r="42" spans="2:30" x14ac:dyDescent="0.2">
      <c r="B42" s="3" t="s">
        <v>44</v>
      </c>
      <c r="C42" s="32">
        <v>11301</v>
      </c>
      <c r="D42" s="68">
        <f>IF($C$20=0," ",C42/$C$20)</f>
        <v>2.7370902812501558E-2</v>
      </c>
      <c r="E42" s="32">
        <v>0</v>
      </c>
      <c r="F42" s="68">
        <f>+E42/$E$20</f>
        <v>0</v>
      </c>
      <c r="G42" s="68">
        <f>IF(C42=0,"",(E42-C42)/ABS(C42)+1)</f>
        <v>0</v>
      </c>
      <c r="H42" s="32"/>
      <c r="I42" s="68">
        <f>+H42/$H$20</f>
        <v>0</v>
      </c>
      <c r="J42" s="68" t="str">
        <f>IF(H42=0,"",(E42-H42)/ABS(H42))</f>
        <v/>
      </c>
      <c r="K42" s="32">
        <v>21614</v>
      </c>
      <c r="L42" s="68">
        <f>IF($K$20=0," ",K42/$K$20)</f>
        <v>1.2463714558533807E-2</v>
      </c>
      <c r="M42" s="32">
        <v>0</v>
      </c>
      <c r="N42" s="68">
        <f>+M42/$M$20</f>
        <v>0</v>
      </c>
      <c r="O42" s="68">
        <f>IF(K42=0,"",(M42-K42)/ABS(K42)+1)</f>
        <v>0</v>
      </c>
      <c r="P42" s="32"/>
      <c r="Q42" s="68">
        <f>+P42/$P$20</f>
        <v>0</v>
      </c>
      <c r="R42" s="68" t="str">
        <f>IF(P42=0,"",(M42-P42)/ABS(P42))</f>
        <v/>
      </c>
    </row>
    <row r="43" spans="2:30" x14ac:dyDescent="0.2">
      <c r="B43" s="20" t="s">
        <v>59</v>
      </c>
      <c r="C43" s="69">
        <f>C41-C42</f>
        <v>20287.038345660665</v>
      </c>
      <c r="D43" s="72">
        <f>IF($C$20=0," ",C43/$C$20)</f>
        <v>4.9134992913244004E-2</v>
      </c>
      <c r="E43" s="69">
        <f>+E41-E42</f>
        <v>148574.63000000003</v>
      </c>
      <c r="F43" s="72">
        <f>+E43/$E$20</f>
        <v>0.38527070199543628</v>
      </c>
      <c r="G43" s="72">
        <f>IF(C43=0,"",(E43-C43)/ABS(C43)+1)</f>
        <v>7.3236234618632583</v>
      </c>
      <c r="H43" s="69">
        <v>70589.98</v>
      </c>
      <c r="I43" s="72">
        <f>+H43/$H$20</f>
        <v>0.39884751736984536</v>
      </c>
      <c r="J43" s="72">
        <f>IF(H43=0,"",(E43-H43)/ABS(H43))</f>
        <v>1.1047552357997557</v>
      </c>
      <c r="K43" s="69">
        <f>+K41-K42</f>
        <v>5618.5512561905198</v>
      </c>
      <c r="L43" s="72">
        <f>IF($K$20=0," ",K43/$K$20)</f>
        <v>3.2399379610275835E-3</v>
      </c>
      <c r="M43" s="69">
        <f>+M41-M42</f>
        <v>181775.9000000004</v>
      </c>
      <c r="N43" s="72">
        <f>+M43/$M$20</f>
        <v>0.12549408802366874</v>
      </c>
      <c r="O43" s="72">
        <f>IF(K43=0,"",(M43-K43)/ABS(K43)+1)</f>
        <v>32.352806214897427</v>
      </c>
      <c r="P43" s="69">
        <v>449054.53000000014</v>
      </c>
      <c r="Q43" s="72">
        <f>+P43/$P$20</f>
        <v>0.42569169296518333</v>
      </c>
      <c r="R43" s="72">
        <f>IF(P43=0,"",(M43-P43)/ABS(P43))</f>
        <v>-0.59520305919194194</v>
      </c>
    </row>
    <row r="45" spans="2:30" x14ac:dyDescent="0.2">
      <c r="B45" s="3" t="s">
        <v>60</v>
      </c>
      <c r="C45" s="32">
        <f>+C43</f>
        <v>20287.038345660665</v>
      </c>
      <c r="D45" s="68">
        <f>IF($C$20=0," ",C45/$C$20)</f>
        <v>4.9134992913244004E-2</v>
      </c>
      <c r="E45" s="32">
        <v>149032.23000000004</v>
      </c>
      <c r="F45" s="68">
        <f>+E45/$E$20</f>
        <v>0.38645731018845764</v>
      </c>
      <c r="G45" s="68">
        <f>IF(C45=0,"",(E45-C45)/ABS(C45)+1)</f>
        <v>7.3461797360814654</v>
      </c>
      <c r="H45" s="32">
        <v>70589.98</v>
      </c>
      <c r="I45" s="68">
        <f>+H45/$H$20</f>
        <v>0.39884751736984536</v>
      </c>
      <c r="J45" s="68">
        <f>IF(H45=0,"",(E45-H45)/ABS(H45))</f>
        <v>1.1112377422404716</v>
      </c>
      <c r="K45" s="32">
        <f>+K43</f>
        <v>5618.5512561905198</v>
      </c>
      <c r="L45" s="68">
        <f>IF($K$20=0," ",K45/$K$20)</f>
        <v>3.2399379610275835E-3</v>
      </c>
      <c r="M45" s="32">
        <v>184526</v>
      </c>
      <c r="N45" s="68">
        <f>+M45/$M$20</f>
        <v>0.12739269664821048</v>
      </c>
      <c r="O45" s="68">
        <f>IF(K45=0,"",(M45-K45)/ABS(K45)+1)</f>
        <v>32.842274028681189</v>
      </c>
      <c r="P45" s="32">
        <v>449054.53000000014</v>
      </c>
      <c r="Q45" s="68">
        <f>+P45/$P$20</f>
        <v>0.42569169296518333</v>
      </c>
      <c r="R45" s="68">
        <f>IF(P45=0,"",(M45-P45)/ABS(P45))</f>
        <v>-0.58907885864106535</v>
      </c>
    </row>
    <row r="46" spans="2:30" x14ac:dyDescent="0.2">
      <c r="B46" s="3" t="s">
        <v>35</v>
      </c>
      <c r="C46" s="32"/>
      <c r="D46" s="68"/>
      <c r="E46" s="32">
        <v>96340.290000000008</v>
      </c>
      <c r="F46" s="68">
        <f>+E46/$E$20</f>
        <v>0.24982119194066918</v>
      </c>
      <c r="G46" s="68"/>
      <c r="H46" s="32">
        <v>54124.52</v>
      </c>
      <c r="I46" s="68">
        <f>+H46/$H$20</f>
        <v>0.30581437239158504</v>
      </c>
      <c r="J46" s="68"/>
      <c r="K46" s="102"/>
      <c r="L46" s="68"/>
      <c r="M46" s="32">
        <v>488166.75999999995</v>
      </c>
      <c r="N46" s="68">
        <f>+M46/$M$20</f>
        <v>0.33701960683274862</v>
      </c>
      <c r="O46" s="68" t="str">
        <f>IF(K46=0,"",(M46-K46)/ABS(K46)+1)</f>
        <v/>
      </c>
      <c r="P46" s="32">
        <v>314741.59999999998</v>
      </c>
      <c r="Q46" s="68"/>
      <c r="R46" s="68">
        <f>IF(P46=0,"",(M46-P46)/ABS(P46))</f>
        <v>0.55100806502858213</v>
      </c>
    </row>
    <row r="47" spans="2:30" x14ac:dyDescent="0.2">
      <c r="B47" s="61"/>
      <c r="C47" s="61"/>
      <c r="D47" s="61"/>
      <c r="E47" s="61" t="s">
        <v>61</v>
      </c>
      <c r="F47" s="61"/>
      <c r="G47" s="61"/>
      <c r="H47" s="61" t="s">
        <v>82</v>
      </c>
      <c r="I47" s="61"/>
      <c r="J47" s="61"/>
      <c r="K47" s="61"/>
      <c r="L47" s="61"/>
      <c r="M47" s="32" t="s">
        <v>61</v>
      </c>
      <c r="N47" s="61"/>
      <c r="O47" s="61"/>
      <c r="P47" s="61" t="s">
        <v>82</v>
      </c>
      <c r="Q47" s="61"/>
      <c r="R47" s="61"/>
    </row>
    <row r="48" spans="2:30" x14ac:dyDescent="0.2">
      <c r="H48" s="67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90C696-BFAB-44BC-84E4-31648D161FC1}">
  <sheetPr>
    <tabColor theme="2" tint="-0.249977111117893"/>
  </sheetPr>
  <dimension ref="A1:AY82"/>
  <sheetViews>
    <sheetView showGridLines="0" topLeftCell="AB1" zoomScale="96" zoomScaleNormal="96" workbookViewId="0">
      <selection activeCell="AH2" sqref="AH2"/>
    </sheetView>
  </sheetViews>
  <sheetFormatPr baseColWidth="10" defaultRowHeight="12.75" x14ac:dyDescent="0.2"/>
  <cols>
    <col min="1" max="1" width="2.85546875" style="2" customWidth="1"/>
    <col min="2" max="2" width="29.140625" style="2" customWidth="1"/>
    <col min="3" max="3" width="9.42578125" style="2" bestFit="1" customWidth="1"/>
    <col min="4" max="4" width="8.5703125" style="2" customWidth="1"/>
    <col min="5" max="5" width="9.28515625" style="2" bestFit="1" customWidth="1"/>
    <col min="6" max="6" width="8.5703125" style="2" customWidth="1"/>
    <col min="7" max="7" width="8.7109375" style="2" customWidth="1"/>
    <col min="8" max="8" width="13.28515625" style="2" bestFit="1" customWidth="1"/>
    <col min="9" max="9" width="10.28515625" style="2" customWidth="1"/>
    <col min="10" max="10" width="7.85546875" style="2" customWidth="1"/>
    <col min="11" max="11" width="12.7109375" style="2" bestFit="1" customWidth="1"/>
    <col min="12" max="12" width="9.85546875" style="2" customWidth="1"/>
    <col min="13" max="13" width="10.42578125" style="2" customWidth="1"/>
    <col min="14" max="14" width="6.7109375" style="2" customWidth="1"/>
    <col min="15" max="15" width="12.5703125" style="2" customWidth="1"/>
    <col min="16" max="16" width="13.28515625" style="2" bestFit="1" customWidth="1"/>
    <col min="17" max="17" width="9.28515625" style="2" customWidth="1"/>
    <col min="18" max="18" width="11.42578125" style="2" customWidth="1"/>
    <col min="19" max="19" width="9.7109375" style="2" customWidth="1"/>
    <col min="20" max="20" width="33.85546875" style="2" customWidth="1"/>
    <col min="21" max="22" width="9.7109375" style="2" customWidth="1"/>
    <col min="23" max="23" width="12.7109375" style="2" bestFit="1" customWidth="1"/>
    <col min="24" max="27" width="11.42578125" style="2"/>
    <col min="28" max="28" width="13.7109375" style="2" bestFit="1" customWidth="1"/>
    <col min="29" max="29" width="11.42578125" style="2"/>
    <col min="30" max="30" width="10.42578125" style="2" customWidth="1"/>
    <col min="31" max="31" width="10" style="2" customWidth="1"/>
    <col min="32" max="32" width="17.42578125" style="2" bestFit="1" customWidth="1"/>
    <col min="33" max="33" width="11.42578125" style="2"/>
    <col min="34" max="34" width="12.85546875" style="2" bestFit="1" customWidth="1"/>
    <col min="35" max="35" width="18.85546875" style="2" customWidth="1"/>
    <col min="36" max="39" width="11.42578125" style="2"/>
    <col min="40" max="40" width="13" style="2" customWidth="1"/>
    <col min="41" max="16384" width="11.42578125" style="2"/>
  </cols>
  <sheetData>
    <row r="1" spans="1:35" s="51" customFormat="1" ht="18.75" customHeight="1" x14ac:dyDescent="0.2">
      <c r="B1" s="50"/>
    </row>
    <row r="2" spans="1:35" ht="18.75" customHeight="1" x14ac:dyDescent="0.2">
      <c r="A2" s="51"/>
      <c r="Y2" s="54"/>
      <c r="Z2" s="54"/>
      <c r="AA2" s="54"/>
      <c r="AB2" s="54"/>
    </row>
    <row r="3" spans="1:35" ht="18" x14ac:dyDescent="0.25">
      <c r="B3" s="16" t="s">
        <v>116</v>
      </c>
      <c r="S3" s="54"/>
      <c r="T3" s="18" t="s">
        <v>116</v>
      </c>
      <c r="AF3" s="2" t="str">
        <f>+B6</f>
        <v>JUNIO de 2024</v>
      </c>
      <c r="AG3" s="2" t="s">
        <v>119</v>
      </c>
      <c r="AH3" s="103">
        <f>_xlfn.XLOOKUP(Paramet!E3,'VENEZUELA USD'!AL69:AL80,'VENEZUELA USD'!AM69:AM80,0,0)</f>
        <v>40.46</v>
      </c>
      <c r="AI3" s="2" t="s">
        <v>120</v>
      </c>
    </row>
    <row r="4" spans="1:35" x14ac:dyDescent="0.2">
      <c r="B4" s="2" t="s">
        <v>87</v>
      </c>
      <c r="S4" s="54"/>
      <c r="T4" s="3" t="s">
        <v>21</v>
      </c>
      <c r="AG4" s="2" t="s">
        <v>121</v>
      </c>
      <c r="AH4" s="103">
        <f>+AM54</f>
        <v>24.95</v>
      </c>
    </row>
    <row r="5" spans="1:35" ht="13.5" thickBot="1" x14ac:dyDescent="0.25">
      <c r="B5" s="3" t="s">
        <v>122</v>
      </c>
      <c r="S5" s="54"/>
      <c r="T5" s="3" t="s">
        <v>123</v>
      </c>
      <c r="X5" s="21" t="s">
        <v>23</v>
      </c>
      <c r="Y5" s="21"/>
      <c r="Z5" s="21"/>
      <c r="AA5" s="21"/>
      <c r="AB5" s="21"/>
      <c r="AC5" s="21"/>
    </row>
    <row r="6" spans="1:35" ht="13.5" thickBot="1" x14ac:dyDescent="0.25">
      <c r="B6" s="20" t="str">
        <f>+'VZLA BFS'!B6</f>
        <v>JUNIO de 2024</v>
      </c>
      <c r="C6" s="91"/>
      <c r="K6" s="101" t="s">
        <v>23</v>
      </c>
      <c r="L6" s="101"/>
      <c r="M6" s="101"/>
      <c r="N6" s="101"/>
      <c r="O6" s="101"/>
      <c r="P6" s="101"/>
      <c r="Q6" s="101"/>
      <c r="R6" s="101"/>
      <c r="T6" s="20" t="str">
        <f>+B6</f>
        <v>JUNIO de 2024</v>
      </c>
      <c r="Z6" s="2" t="s">
        <v>26</v>
      </c>
      <c r="AA6" s="2" t="s">
        <v>24</v>
      </c>
      <c r="AC6" s="2" t="s">
        <v>25</v>
      </c>
    </row>
    <row r="7" spans="1:35" ht="15.75" customHeight="1" x14ac:dyDescent="0.2">
      <c r="C7" s="2" t="str">
        <f>+'VZLA BFS'!C7</f>
        <v>Ppto 2024</v>
      </c>
      <c r="E7" s="2" t="str">
        <f>+'VZLA BFS'!E7</f>
        <v>Real 2024</v>
      </c>
      <c r="G7" s="2" t="str">
        <f>+'VZLA BFS'!G7</f>
        <v>Cump</v>
      </c>
      <c r="H7" s="2" t="str">
        <f>+'VZLA BFS'!H7</f>
        <v>Real 2023</v>
      </c>
      <c r="J7" s="51" t="s">
        <v>25</v>
      </c>
      <c r="K7" s="2" t="str">
        <f>+C7</f>
        <v>Ppto 2024</v>
      </c>
      <c r="M7" s="2" t="str">
        <f>+E7</f>
        <v>Real 2024</v>
      </c>
      <c r="O7" s="2" t="str">
        <f>+G7</f>
        <v>Cump</v>
      </c>
      <c r="P7" s="2" t="str">
        <f>+H7</f>
        <v>Real 2023</v>
      </c>
      <c r="Q7" s="51"/>
      <c r="R7" s="51" t="s">
        <v>25</v>
      </c>
      <c r="S7" s="51"/>
      <c r="U7" s="54" t="str">
        <f>+C7</f>
        <v>Ppto 2024</v>
      </c>
      <c r="V7" s="54" t="str">
        <f>+M7</f>
        <v>Real 2024</v>
      </c>
      <c r="W7" s="54" t="str">
        <f>+H7</f>
        <v>Real 2023</v>
      </c>
      <c r="X7" s="54" t="str">
        <f>+U7</f>
        <v>Ppto 2024</v>
      </c>
      <c r="Y7" s="54" t="str">
        <f>+V7</f>
        <v>Real 2024</v>
      </c>
      <c r="Z7" s="54" t="s">
        <v>26</v>
      </c>
      <c r="AA7" s="54" t="s">
        <v>24</v>
      </c>
      <c r="AB7" s="54" t="str">
        <f>+W7</f>
        <v>Real 2023</v>
      </c>
      <c r="AC7" s="54" t="s">
        <v>25</v>
      </c>
      <c r="AD7" s="54"/>
      <c r="AE7" s="54"/>
      <c r="AH7" s="2">
        <v>2819322440</v>
      </c>
      <c r="AI7" s="104">
        <f>1/AH4</f>
        <v>4.0080160320641281E-2</v>
      </c>
    </row>
    <row r="8" spans="1:35" ht="13.5" thickBot="1" x14ac:dyDescent="0.25">
      <c r="B8" s="29"/>
      <c r="C8" s="30" t="s">
        <v>28</v>
      </c>
      <c r="D8" s="30" t="s">
        <v>29</v>
      </c>
      <c r="E8" s="30" t="s">
        <v>28</v>
      </c>
      <c r="F8" s="30" t="s">
        <v>29</v>
      </c>
      <c r="G8" s="30" t="s">
        <v>30</v>
      </c>
      <c r="H8" s="30" t="s">
        <v>28</v>
      </c>
      <c r="I8" s="30" t="s">
        <v>29</v>
      </c>
      <c r="J8" s="30" t="s">
        <v>30</v>
      </c>
      <c r="K8" s="30" t="s">
        <v>28</v>
      </c>
      <c r="L8" s="30" t="s">
        <v>29</v>
      </c>
      <c r="M8" s="30" t="s">
        <v>28</v>
      </c>
      <c r="N8" s="30" t="s">
        <v>29</v>
      </c>
      <c r="O8" s="30" t="s">
        <v>30</v>
      </c>
      <c r="P8" s="30" t="s">
        <v>28</v>
      </c>
      <c r="Q8" s="30" t="s">
        <v>29</v>
      </c>
      <c r="R8" s="30" t="s">
        <v>30</v>
      </c>
      <c r="S8" s="54"/>
      <c r="T8" s="29"/>
      <c r="U8" s="30"/>
      <c r="V8" s="30"/>
      <c r="W8" s="30"/>
      <c r="X8" s="29"/>
      <c r="Y8" s="29"/>
      <c r="Z8" s="30"/>
      <c r="AA8" s="30" t="s">
        <v>30</v>
      </c>
      <c r="AB8" s="29"/>
      <c r="AC8" s="30" t="s">
        <v>30</v>
      </c>
      <c r="AD8" s="54"/>
      <c r="AE8" s="54"/>
      <c r="AI8" s="105">
        <f>+AI7*AH7</f>
        <v>112998895.39078155</v>
      </c>
    </row>
    <row r="9" spans="1:35" x14ac:dyDescent="0.2">
      <c r="S9" s="68"/>
      <c r="AD9" s="68"/>
      <c r="AE9" s="68"/>
      <c r="AH9" s="2">
        <f>+AH7/AH4</f>
        <v>112998895.39078157</v>
      </c>
    </row>
    <row r="10" spans="1:35" x14ac:dyDescent="0.2">
      <c r="B10" s="3" t="s">
        <v>65</v>
      </c>
      <c r="C10" s="32">
        <f>'VZLA BFS'!C10/'VENEZUELA USD'!$AH$3</f>
        <v>5562.0860108749384</v>
      </c>
      <c r="D10" s="34" t="str">
        <f t="shared" ref="D10:D20" si="0">IF(DD19&lt;=0," ",C10/$C$20)</f>
        <v xml:space="preserve"> </v>
      </c>
      <c r="E10" s="32">
        <f>'VZLA BFS'!E10/'VENEZUELA USD'!$AH$3</f>
        <v>2552.1749876421154</v>
      </c>
      <c r="F10" s="34">
        <f t="shared" ref="F10:F20" si="1">+E10/$E$20</f>
        <v>0.26776737023508479</v>
      </c>
      <c r="G10" s="34">
        <f>IF(C10=0,"",(E10-C10)/ABS(C10)+1)</f>
        <v>0.45885212538103992</v>
      </c>
      <c r="H10" s="63">
        <f>+'VZLA BFS'!H10/'VENEZUELA USD'!$AH$4</f>
        <v>3774.9899799599198</v>
      </c>
      <c r="I10" s="34">
        <f t="shared" ref="I10:I20" si="2">IF($H$20&lt;=0," ",H10/$H$20)</f>
        <v>0.53216975371003439</v>
      </c>
      <c r="J10" s="34">
        <f>IF(E10=0,"",(E10-H10)/ABS(H10))</f>
        <v>-0.32392536107626629</v>
      </c>
      <c r="K10" s="32">
        <f>'VZLA BFS'!K10/'VENEZUELA USD'!$AH$3</f>
        <v>22090.805734058329</v>
      </c>
      <c r="L10" s="34">
        <f t="shared" ref="L10:L22" si="3">IF($K$20&lt;=0," ",K10/$K$20)</f>
        <v>0.5154063704140911</v>
      </c>
      <c r="M10" s="32">
        <f>'VZLA BFS'!M10/'VENEZUELA USD'!$AH$3</f>
        <v>14020.341077607512</v>
      </c>
      <c r="N10" s="34">
        <f t="shared" ref="N10:N15" si="4">+M10/$M$20</f>
        <v>0.39162591330627566</v>
      </c>
      <c r="O10" s="34">
        <f>IF(K10=0,"",(M10-K10)/ABS(K10)+1)</f>
        <v>0.63466861491574122</v>
      </c>
      <c r="P10" s="63">
        <f>+'VZLA BFS'!P10/'VENEZUELA USD'!$AH$4</f>
        <v>19329.979959919841</v>
      </c>
      <c r="Q10" s="34">
        <f t="shared" ref="Q10:Q22" si="5">IF($P$20&lt;=0," ",P10/$P$20)</f>
        <v>0.45719139445787904</v>
      </c>
      <c r="R10" s="34">
        <f>IF(M10=0,"",(M10-P10)/ABS(P10))</f>
        <v>-0.27468413797229552</v>
      </c>
      <c r="S10" s="68"/>
      <c r="T10" s="3" t="s">
        <v>31</v>
      </c>
      <c r="U10" s="32">
        <f>+'VZLA BFS'!U10/'VENEZUELA USD'!$AH$3</f>
        <v>5849.0360850222442</v>
      </c>
      <c r="V10" s="32">
        <f>+'VZLA BFS'!V10/'VENEZUELA USD'!$AH$3</f>
        <v>7651.4809688581327</v>
      </c>
      <c r="W10" s="32">
        <f>+'VZLA BFS'!W10/'VENEZUELA USD'!$AH$3</f>
        <v>1539.5971329708354</v>
      </c>
      <c r="X10" s="32">
        <f>+'VZLA BFS'!X10/'VENEZUELA USD'!$AH$3</f>
        <v>5849.0360850222442</v>
      </c>
      <c r="Y10" s="32">
        <f>+'VZLA BFS'!Y10/'VENEZUELA USD'!$AH$3</f>
        <v>6277.2862086010873</v>
      </c>
      <c r="Z10" s="63">
        <f>+Y10-X10</f>
        <v>428.25012357884316</v>
      </c>
      <c r="AA10" s="68">
        <f>IF(X10=0,"",(Y10-X10)/ABS(X10)+1)</f>
        <v>1.073217213461116</v>
      </c>
      <c r="AB10" s="32">
        <f>+'VZLA BFS'!AB10/'VENEZUELA USD'!$AH$3</f>
        <v>915.1260504201681</v>
      </c>
      <c r="AC10" s="68">
        <f>IF(W10=0,"",(Y10-AB10)/ABS(AB10))</f>
        <v>5.8594771241830061</v>
      </c>
      <c r="AD10" s="68"/>
      <c r="AE10" s="68"/>
    </row>
    <row r="11" spans="1:35" x14ac:dyDescent="0.2">
      <c r="B11" s="3" t="s">
        <v>67</v>
      </c>
      <c r="C11" s="32">
        <f>'VZLA BFS'!C11/'VENEZUELA USD'!$AH$3</f>
        <v>648.46267918932278</v>
      </c>
      <c r="D11" s="34" t="str">
        <f t="shared" si="0"/>
        <v xml:space="preserve"> </v>
      </c>
      <c r="E11" s="32">
        <f>'VZLA BFS'!E11/'VENEZUELA USD'!$AH$3</f>
        <v>1685.8640632723677</v>
      </c>
      <c r="F11" s="34">
        <f t="shared" si="1"/>
        <v>0.17687634624666959</v>
      </c>
      <c r="G11" s="34">
        <f t="shared" ref="G11:G22" si="6">IF(C11=0,"",(E11-C11)/ABS(C11)+1)</f>
        <v>2.5997857970484204</v>
      </c>
      <c r="H11" s="63">
        <f>+'VZLA BFS'!H11/'VENEZUELA USD'!$AH$4</f>
        <v>862.6533066132265</v>
      </c>
      <c r="I11" s="34">
        <f t="shared" si="2"/>
        <v>0.12161038841284069</v>
      </c>
      <c r="J11" s="34">
        <f t="shared" ref="J11:J20" si="7">IF(E11=0,"",(E11-H11)/ABS(H11))</f>
        <v>0.95427763430370816</v>
      </c>
      <c r="K11" s="32">
        <f>'VZLA BFS'!K11/'VENEZUELA USD'!$AH$3</f>
        <v>3882.7871398912507</v>
      </c>
      <c r="L11" s="34">
        <f t="shared" si="3"/>
        <v>9.0590323003769124E-2</v>
      </c>
      <c r="M11" s="32">
        <f>'VZLA BFS'!M11/'VENEZUELA USD'!$AH$3</f>
        <v>4475.6127039050907</v>
      </c>
      <c r="N11" s="34">
        <f t="shared" si="4"/>
        <v>0.12501592529524252</v>
      </c>
      <c r="O11" s="34">
        <f t="shared" ref="O11:O22" si="8">IF(K11=0,"",(M11-K11)/ABS(K11)+1)</f>
        <v>1.1526804181262544</v>
      </c>
      <c r="P11" s="63">
        <f>+'VZLA BFS'!P11/'VENEZUELA USD'!$AH$4</f>
        <v>9329.1126252505019</v>
      </c>
      <c r="Q11" s="34">
        <f t="shared" si="5"/>
        <v>0.22065154847737198</v>
      </c>
      <c r="R11" s="34">
        <f t="shared" ref="R11:R22" si="9">IF(M11=0,"",(M11-P11)/ABS(P11))</f>
        <v>-0.52025311691583176</v>
      </c>
      <c r="S11" s="68"/>
      <c r="T11" s="3" t="s">
        <v>32</v>
      </c>
      <c r="U11" s="32">
        <f>+'VZLA BFS'!U11/'VENEZUELA USD'!$AH$3</f>
        <v>0</v>
      </c>
      <c r="V11" s="32">
        <f>+'VZLA BFS'!V11/'VENEZUELA USD'!$AH$3</f>
        <v>8115.4510627780528</v>
      </c>
      <c r="W11" s="32">
        <f>+'VZLA BFS'!W11/'VENEZUELA USD'!$AH$3</f>
        <v>3831.8786455758773</v>
      </c>
      <c r="X11" s="32">
        <f>+'VZLA BFS'!X11/'VENEZUELA USD'!$AH$3</f>
        <v>0</v>
      </c>
      <c r="Y11" s="32">
        <f>+'VZLA BFS'!Y11/'VENEZUELA USD'!$AH$3</f>
        <v>34406.54967869501</v>
      </c>
      <c r="Z11" s="63">
        <f>+Y11-X11</f>
        <v>34406.54967869501</v>
      </c>
      <c r="AA11" s="68" t="str">
        <f>IF(X11=0,"",(Y11-X11)/ABS(X11)+1)</f>
        <v/>
      </c>
      <c r="AB11" s="32">
        <f>+'VZLA BFS'!AB11/'VENEZUELA USD'!$AH$3</f>
        <v>24965.175481957489</v>
      </c>
      <c r="AC11" s="68">
        <f>IF(AB11=0,"",(Y11-AB11)/ABS(AB11))</f>
        <v>0.37818176778131879</v>
      </c>
      <c r="AD11" s="68"/>
      <c r="AE11" s="68"/>
    </row>
    <row r="12" spans="1:35" x14ac:dyDescent="0.2">
      <c r="B12" s="3" t="s">
        <v>69</v>
      </c>
      <c r="C12" s="32">
        <f>'VZLA BFS'!C12/'VENEZUELA USD'!$AH$3</f>
        <v>2041.378346811666</v>
      </c>
      <c r="D12" s="34" t="str">
        <f t="shared" si="0"/>
        <v xml:space="preserve"> </v>
      </c>
      <c r="E12" s="32">
        <f>'VZLA BFS'!E12/'VENEZUELA USD'!$AH$3</f>
        <v>828.73529411764696</v>
      </c>
      <c r="F12" s="34">
        <f t="shared" si="1"/>
        <v>8.694868941251431E-2</v>
      </c>
      <c r="G12" s="34">
        <f t="shared" si="6"/>
        <v>0.40596849447923766</v>
      </c>
      <c r="H12" s="63">
        <f>+'VZLA BFS'!H12/'VENEZUELA USD'!$AH$4</f>
        <v>923.56713426853707</v>
      </c>
      <c r="I12" s="34">
        <f t="shared" si="2"/>
        <v>0.13019756263924917</v>
      </c>
      <c r="J12" s="34">
        <f t="shared" si="7"/>
        <v>-0.10267996405696778</v>
      </c>
      <c r="K12" s="32">
        <f>'VZLA BFS'!K12/'VENEZUELA USD'!$AH$3</f>
        <v>8772.3559249258506</v>
      </c>
      <c r="L12" s="34">
        <f t="shared" si="3"/>
        <v>0.20467013207561988</v>
      </c>
      <c r="M12" s="32">
        <f>'VZLA BFS'!M12/'VENEZUELA USD'!$AH$3</f>
        <v>5841.7829955511606</v>
      </c>
      <c r="N12" s="34">
        <f t="shared" si="4"/>
        <v>0.16317674358320192</v>
      </c>
      <c r="O12" s="34">
        <f t="shared" si="8"/>
        <v>0.66593091360466428</v>
      </c>
      <c r="P12" s="63">
        <f>+'VZLA BFS'!P12/'VENEZUELA USD'!$AH$4</f>
        <v>5746.1823647294586</v>
      </c>
      <c r="Q12" s="34">
        <f t="shared" si="5"/>
        <v>0.13590832135300507</v>
      </c>
      <c r="R12" s="34">
        <f t="shared" si="9"/>
        <v>1.6637242738501749E-2</v>
      </c>
      <c r="S12" s="68"/>
      <c r="U12" s="32">
        <f>+'VZLA BFS'!U12/'VENEZUELA USD'!$AH$3</f>
        <v>0</v>
      </c>
      <c r="AD12" s="68"/>
      <c r="AE12" s="68"/>
    </row>
    <row r="13" spans="1:35" x14ac:dyDescent="0.2">
      <c r="B13" s="3" t="s">
        <v>71</v>
      </c>
      <c r="C13" s="32">
        <f>'VZLA BFS'!C13/'VENEZUELA USD'!$AH$3</f>
        <v>648.46267918932278</v>
      </c>
      <c r="D13" s="34" t="str">
        <f t="shared" si="0"/>
        <v xml:space="preserve"> </v>
      </c>
      <c r="E13" s="32">
        <f>'VZLA BFS'!E13/'VENEZUELA USD'!$AH$3</f>
        <v>3479.6240731586749</v>
      </c>
      <c r="F13" s="34">
        <f t="shared" si="1"/>
        <v>0.365072846488944</v>
      </c>
      <c r="G13" s="34">
        <f t="shared" si="6"/>
        <v>5.3659588821807533</v>
      </c>
      <c r="H13" s="63">
        <f>+'VZLA BFS'!H13/'VENEZUELA USD'!$AH$4</f>
        <v>415.1374749498998</v>
      </c>
      <c r="I13" s="34">
        <f t="shared" si="2"/>
        <v>5.8522965351616475E-2</v>
      </c>
      <c r="J13" s="34">
        <f t="shared" si="7"/>
        <v>7.3818597046161818</v>
      </c>
      <c r="K13" s="32">
        <f>'VZLA BFS'!K13/'VENEZUELA USD'!$AH$3</f>
        <v>2602.1001403855662</v>
      </c>
      <c r="L13" s="34">
        <f t="shared" si="3"/>
        <v>6.0710279423734685E-2</v>
      </c>
      <c r="M13" s="32">
        <f>'VZLA BFS'!M13/'VENEZUELA USD'!$AH$3</f>
        <v>6228.0422639644094</v>
      </c>
      <c r="N13" s="34">
        <f t="shared" si="4"/>
        <v>0.17396600597903272</v>
      </c>
      <c r="O13" s="34">
        <f t="shared" si="8"/>
        <v>2.3934675561877374</v>
      </c>
      <c r="P13" s="63">
        <f>+'VZLA BFS'!P13/'VENEZUELA USD'!$AH$4</f>
        <v>1543.3218436873749</v>
      </c>
      <c r="Q13" s="34">
        <f t="shared" si="5"/>
        <v>3.6502545128125508E-2</v>
      </c>
      <c r="R13" s="34">
        <f t="shared" si="9"/>
        <v>3.035478594072178</v>
      </c>
      <c r="S13" s="68"/>
      <c r="T13" s="3" t="s">
        <v>33</v>
      </c>
      <c r="U13" s="32">
        <f>+'VZLA BFS'!U13/'VENEZUELA USD'!$AH$3</f>
        <v>0</v>
      </c>
      <c r="V13" s="32">
        <f>+'VZLA BFS'!V13/'VENEZUELA USD'!$AH$3</f>
        <v>0</v>
      </c>
      <c r="W13" s="32">
        <f>+'VZLA BFS'!W13/'VENEZUELA USD'!$AH$3</f>
        <v>0</v>
      </c>
      <c r="X13" s="32">
        <f>+'VZLA BFS'!X13/'VENEZUELA USD'!$AH$3</f>
        <v>0</v>
      </c>
      <c r="Y13" s="32">
        <f>+'VZLA BFS'!Y13/'VENEZUELA USD'!$AH$3</f>
        <v>0</v>
      </c>
      <c r="Z13" s="63">
        <f>+X13-Y13</f>
        <v>0</v>
      </c>
      <c r="AA13" s="68" t="str">
        <f>IF(X13=0,"",(Y13-X13)/ABS(X13)+1)</f>
        <v/>
      </c>
      <c r="AB13" s="32">
        <f>+'VZLA BFS'!AB13/'VENEZUELA USD'!$AH$3</f>
        <v>0</v>
      </c>
      <c r="AC13" s="68" t="str">
        <f>IF(AB13=0,"",(Y13-AB13)/ABS(AB13))</f>
        <v/>
      </c>
      <c r="AD13" s="68"/>
      <c r="AE13" s="68"/>
    </row>
    <row r="14" spans="1:35" x14ac:dyDescent="0.2">
      <c r="B14" s="3" t="s">
        <v>72</v>
      </c>
      <c r="C14" s="32">
        <f>'VZLA BFS'!C14/'VENEZUELA USD'!$AH$3</f>
        <v>0</v>
      </c>
      <c r="D14" s="34" t="str">
        <f t="shared" si="0"/>
        <v xml:space="preserve"> </v>
      </c>
      <c r="E14" s="32">
        <f>'VZLA BFS'!E14/'VENEZUELA USD'!$AH$3</f>
        <v>0</v>
      </c>
      <c r="F14" s="34">
        <f t="shared" si="1"/>
        <v>0</v>
      </c>
      <c r="G14" s="34" t="str">
        <f t="shared" si="6"/>
        <v/>
      </c>
      <c r="H14" s="63">
        <f>+'VZLA BFS'!H14/'VENEZUELA USD'!$AH$4</f>
        <v>0</v>
      </c>
      <c r="I14" s="34">
        <f t="shared" si="2"/>
        <v>0</v>
      </c>
      <c r="J14" s="34" t="str">
        <f t="shared" si="7"/>
        <v/>
      </c>
      <c r="K14" s="32">
        <f>'VZLA BFS'!K14/'VENEZUELA USD'!$AH$3</f>
        <v>0</v>
      </c>
      <c r="L14" s="34">
        <f t="shared" si="3"/>
        <v>0</v>
      </c>
      <c r="M14" s="32">
        <f>'VZLA BFS'!M14/'VENEZUELA USD'!$AH$3</f>
        <v>0</v>
      </c>
      <c r="N14" s="34">
        <f t="shared" si="4"/>
        <v>0</v>
      </c>
      <c r="O14" s="34" t="str">
        <f t="shared" si="8"/>
        <v/>
      </c>
      <c r="P14" s="63">
        <f>+'VZLA BFS'!P14/'VENEZUELA USD'!$AH$4</f>
        <v>0</v>
      </c>
      <c r="Q14" s="34">
        <f t="shared" si="5"/>
        <v>0</v>
      </c>
      <c r="R14" s="34" t="str">
        <f t="shared" si="9"/>
        <v/>
      </c>
      <c r="S14" s="68"/>
      <c r="T14" s="3" t="s">
        <v>34</v>
      </c>
      <c r="U14" s="32">
        <f>+'VZLA BFS'!U14/'VENEZUELA USD'!$AH$3</f>
        <v>0</v>
      </c>
      <c r="V14" s="32">
        <f>+'VZLA BFS'!V14/'VENEZUELA USD'!$AH$3</f>
        <v>0</v>
      </c>
      <c r="W14" s="32">
        <f>+'VZLA BFS'!W14/'VENEZUELA USD'!$AH$3</f>
        <v>0</v>
      </c>
      <c r="X14" s="32">
        <f>+'VZLA BFS'!X14/'VENEZUELA USD'!$AH$3</f>
        <v>0</v>
      </c>
      <c r="Y14" s="32">
        <f>+'VZLA BFS'!Y14/'VENEZUELA USD'!$AH$3</f>
        <v>0</v>
      </c>
      <c r="Z14" s="63">
        <f>+X14-Y14</f>
        <v>0</v>
      </c>
      <c r="AA14" s="68" t="str">
        <f>IF(X14=0,"",(Y14-X14)/ABS(X14)+1)</f>
        <v/>
      </c>
      <c r="AB14" s="32">
        <f>+'VZLA BFS'!AB14/'VENEZUELA USD'!$AH$3</f>
        <v>0</v>
      </c>
      <c r="AC14" s="68" t="str">
        <f>IF(AB14=0,"",(Y14-AB14)/ABS(AB14))</f>
        <v/>
      </c>
      <c r="AD14" s="68"/>
      <c r="AE14" s="68"/>
    </row>
    <row r="15" spans="1:35" x14ac:dyDescent="0.2">
      <c r="B15" s="3" t="s">
        <v>74</v>
      </c>
      <c r="C15" s="32">
        <f>'VZLA BFS'!C15/'VENEZUELA USD'!$AH$3</f>
        <v>1304.3486348986651</v>
      </c>
      <c r="D15" s="34" t="str">
        <f t="shared" si="0"/>
        <v xml:space="preserve"> </v>
      </c>
      <c r="E15" s="32">
        <f>'VZLA BFS'!E15/'VENEZUELA USD'!$AH$3</f>
        <v>984.91596638655449</v>
      </c>
      <c r="F15" s="34">
        <f t="shared" si="1"/>
        <v>0.10333474761678714</v>
      </c>
      <c r="G15" s="34">
        <f t="shared" si="6"/>
        <v>0.75510177266607303</v>
      </c>
      <c r="H15" s="63">
        <f>+'VZLA BFS'!H15/'VENEZUELA USD'!$AH$4</f>
        <v>1117.2344689378758</v>
      </c>
      <c r="I15" s="34">
        <f t="shared" si="2"/>
        <v>0.15749932988625923</v>
      </c>
      <c r="J15" s="34">
        <f t="shared" si="7"/>
        <v>-0.11843396013113783</v>
      </c>
      <c r="K15" s="32">
        <f>'VZLA BFS'!K15/'VENEZUELA USD'!$AH$3</f>
        <v>5512.8992409293123</v>
      </c>
      <c r="L15" s="34">
        <f t="shared" si="3"/>
        <v>0.12862289508278521</v>
      </c>
      <c r="M15" s="32">
        <f>'VZLA BFS'!M15/'VENEZUELA USD'!$AH$3</f>
        <v>5234.5615422639639</v>
      </c>
      <c r="N15" s="34">
        <f t="shared" si="4"/>
        <v>0.14621541183624687</v>
      </c>
      <c r="O15" s="34">
        <f t="shared" si="8"/>
        <v>0.94951155707710178</v>
      </c>
      <c r="P15" s="63">
        <f>+'VZLA BFS'!P15/'VENEZUELA USD'!$AH$4</f>
        <v>6331.2452905811624</v>
      </c>
      <c r="Q15" s="34">
        <f t="shared" si="5"/>
        <v>0.1497461905836184</v>
      </c>
      <c r="R15" s="34">
        <f t="shared" si="9"/>
        <v>-0.17321770014955951</v>
      </c>
      <c r="S15" s="68"/>
      <c r="T15" s="3" t="s">
        <v>35</v>
      </c>
      <c r="U15" s="32">
        <f>+'VZLA BFS'!U15/'VENEZUELA USD'!$AH$3</f>
        <v>0</v>
      </c>
      <c r="V15" s="32">
        <f>+'VZLA BFS'!V15/'VENEZUELA USD'!$AH$3</f>
        <v>1994.3336628769155</v>
      </c>
      <c r="W15" s="32">
        <f>+'VZLA BFS'!W15/'VENEZUELA USD'!$AH$3</f>
        <v>1125.9859120118635</v>
      </c>
      <c r="X15" s="32">
        <f>+'VZLA BFS'!X15/'VENEZUELA USD'!$AH$3</f>
        <v>0</v>
      </c>
      <c r="Y15" s="32">
        <f>+'VZLA BFS'!Y15/'VENEZUELA USD'!$AH$3</f>
        <v>10469.154720711815</v>
      </c>
      <c r="Z15" s="63">
        <f>+X15-Y15</f>
        <v>-10469.154720711815</v>
      </c>
      <c r="AA15" s="68" t="str">
        <f>IF(X15=0,"",(Y15-X15)/ABS(X15)+1)</f>
        <v/>
      </c>
      <c r="AB15" s="32">
        <f>+'VZLA BFS'!AB15/'VENEZUELA USD'!$AH$3</f>
        <v>5671.2061295106278</v>
      </c>
      <c r="AC15" s="68">
        <f>IF(AB15=0,"",(Y15-AB15)/ABS(AB15))</f>
        <v>0.84601907982759306</v>
      </c>
      <c r="AD15" s="68"/>
      <c r="AE15" s="68"/>
      <c r="AG15" s="55"/>
    </row>
    <row r="16" spans="1:35" x14ac:dyDescent="0.2">
      <c r="B16" s="3" t="s">
        <v>75</v>
      </c>
      <c r="C16" s="32">
        <f>'VZLA BFS'!C16/'VENEZUELA USD'!$AH$3</f>
        <v>0</v>
      </c>
      <c r="D16" s="34" t="str">
        <f t="shared" si="0"/>
        <v xml:space="preserve"> </v>
      </c>
      <c r="E16" s="32">
        <f>'VZLA BFS'!E16/'VENEZUELA USD'!$AH$3</f>
        <v>0</v>
      </c>
      <c r="F16" s="34">
        <f t="shared" si="1"/>
        <v>0</v>
      </c>
      <c r="G16" s="34" t="str">
        <f t="shared" si="6"/>
        <v/>
      </c>
      <c r="H16" s="63">
        <f>+'VZLA BFS'!H16/'VENEZUELA USD'!$AH$4</f>
        <v>0</v>
      </c>
      <c r="I16" s="34">
        <f t="shared" si="2"/>
        <v>0</v>
      </c>
      <c r="J16" s="34" t="str">
        <f t="shared" si="7"/>
        <v/>
      </c>
      <c r="K16" s="32">
        <f>'VZLA BFS'!K16/'VENEZUELA USD'!$AH$3</f>
        <v>0</v>
      </c>
      <c r="L16" s="34">
        <f t="shared" si="3"/>
        <v>0</v>
      </c>
      <c r="M16" s="32">
        <f>'VZLA BFS'!M16/'VENEZUELA USD'!$AH$3</f>
        <v>0</v>
      </c>
      <c r="N16" s="34"/>
      <c r="O16" s="34" t="str">
        <f t="shared" si="8"/>
        <v/>
      </c>
      <c r="P16" s="63">
        <f>+'VZLA BFS'!P16/'VENEZUELA USD'!$AH$4</f>
        <v>0</v>
      </c>
      <c r="Q16" s="34">
        <f t="shared" si="5"/>
        <v>0</v>
      </c>
      <c r="R16" s="34" t="str">
        <f t="shared" si="9"/>
        <v/>
      </c>
      <c r="S16" s="68"/>
      <c r="T16" s="3" t="s">
        <v>36</v>
      </c>
      <c r="U16" s="32">
        <f>+'VZLA BFS'!U16/'VENEZUELA USD'!$AH$3</f>
        <v>0</v>
      </c>
      <c r="V16" s="32">
        <f>+'VZLA BFS'!V16/'VENEZUELA USD'!$AH$3</f>
        <v>1914.450568462679</v>
      </c>
      <c r="W16" s="32">
        <f>+'VZLA BFS'!W16/'VENEZUELA USD'!$AH$3</f>
        <v>2319.2867029164604</v>
      </c>
      <c r="X16" s="32">
        <f>+'VZLA BFS'!X16/'VENEZUELA USD'!$AH$3</f>
        <v>0</v>
      </c>
      <c r="Y16" s="32">
        <f>+'VZLA BFS'!Y16/'VENEZUELA USD'!$AH$3</f>
        <v>10088.556599110232</v>
      </c>
      <c r="Z16" s="63">
        <f>+X16-Y16</f>
        <v>-10088.556599110232</v>
      </c>
      <c r="AA16" s="68" t="str">
        <f>IF(X16=0,"",(Y16-X16)/ABS(X16)+1)</f>
        <v/>
      </c>
      <c r="AB16" s="32">
        <f>+'VZLA BFS'!AB16/'VENEZUELA USD'!$AH$3</f>
        <v>14693.524468610973</v>
      </c>
      <c r="AC16" s="68">
        <f>IF(AB16=0,"",(Y16-AB16)/ABS(AB16))</f>
        <v>-0.31340117746005042</v>
      </c>
      <c r="AD16" s="68"/>
      <c r="AE16" s="68"/>
    </row>
    <row r="17" spans="2:33" x14ac:dyDescent="0.2">
      <c r="B17" s="3" t="s">
        <v>76</v>
      </c>
      <c r="C17" s="32">
        <f>'VZLA BFS'!C17/'VENEZUELA USD'!$AH$3</f>
        <v>0</v>
      </c>
      <c r="D17" s="34" t="str">
        <f t="shared" si="0"/>
        <v xml:space="preserve"> </v>
      </c>
      <c r="E17" s="32">
        <f>'VZLA BFS'!E17/'VENEZUELA USD'!$AH$3</f>
        <v>0</v>
      </c>
      <c r="F17" s="34">
        <f t="shared" si="1"/>
        <v>0</v>
      </c>
      <c r="G17" s="34" t="str">
        <f t="shared" si="6"/>
        <v/>
      </c>
      <c r="H17" s="63">
        <f>+'VZLA BFS'!H17/'VENEZUELA USD'!$AH$4</f>
        <v>0</v>
      </c>
      <c r="I17" s="34">
        <f t="shared" si="2"/>
        <v>0</v>
      </c>
      <c r="J17" s="34" t="str">
        <f t="shared" si="7"/>
        <v/>
      </c>
      <c r="K17" s="32">
        <f>'VZLA BFS'!K17/'VENEZUELA USD'!$AH$3</f>
        <v>0</v>
      </c>
      <c r="L17" s="34">
        <f t="shared" si="3"/>
        <v>0</v>
      </c>
      <c r="M17" s="32">
        <f>'VZLA BFS'!M17/'VENEZUELA USD'!$AH$3</f>
        <v>0</v>
      </c>
      <c r="N17" s="34"/>
      <c r="O17" s="34" t="str">
        <f t="shared" si="8"/>
        <v/>
      </c>
      <c r="P17" s="63">
        <f>+'VZLA BFS'!P17/'VENEZUELA USD'!$AH$4</f>
        <v>0</v>
      </c>
      <c r="Q17" s="34">
        <f t="shared" si="5"/>
        <v>0</v>
      </c>
      <c r="R17" s="34" t="str">
        <f t="shared" si="9"/>
        <v/>
      </c>
      <c r="S17" s="68"/>
      <c r="T17" s="3" t="s">
        <v>37</v>
      </c>
      <c r="U17" s="32">
        <f>+'VZLA BFS'!U17/'VENEZUELA USD'!$AH$3</f>
        <v>0</v>
      </c>
      <c r="V17" s="32">
        <f>+'VZLA BFS'!V17/'VENEZUELA USD'!$AH$3</f>
        <v>3908.7842313395945</v>
      </c>
      <c r="W17" s="32">
        <f>+'VZLA BFS'!W17/'VENEZUELA USD'!$AH$3</f>
        <v>3445.2726149283239</v>
      </c>
      <c r="X17" s="32">
        <f>+'VZLA BFS'!X17/'VENEZUELA USD'!$AH$3</f>
        <v>0</v>
      </c>
      <c r="Y17" s="32">
        <f>+'VZLA BFS'!Y17/'VENEZUELA USD'!$AH$3</f>
        <v>20557.711319822047</v>
      </c>
      <c r="Z17" s="63">
        <f>+Y17-X17</f>
        <v>20557.711319822047</v>
      </c>
      <c r="AA17" s="68" t="str">
        <f>IF(X17=0,"",(Y17-X17)/ABS(X17)+1)</f>
        <v/>
      </c>
      <c r="AB17" s="32">
        <f>+'VZLA BFS'!AB17/'VENEZUELA USD'!$AH$3</f>
        <v>20364.730598121601</v>
      </c>
      <c r="AC17" s="68">
        <f>IF(AB17=0,"",(Y17-AB17)/ABS(AB17))</f>
        <v>9.4762226669595894E-3</v>
      </c>
      <c r="AD17" s="68"/>
      <c r="AE17" s="68"/>
    </row>
    <row r="18" spans="2:33" x14ac:dyDescent="0.2">
      <c r="B18" s="3" t="s">
        <v>118</v>
      </c>
      <c r="C18" s="32">
        <f>'VZLA BFS'!C18/'VENEZUELA USD'!$AH$3</f>
        <v>0</v>
      </c>
      <c r="D18" s="34" t="str">
        <f t="shared" si="0"/>
        <v xml:space="preserve"> </v>
      </c>
      <c r="E18" s="32">
        <f>'VZLA BFS'!E18/'VENEZUELA USD'!$AH$3</f>
        <v>0</v>
      </c>
      <c r="F18" s="34">
        <f t="shared" si="1"/>
        <v>0</v>
      </c>
      <c r="G18" s="34" t="str">
        <f t="shared" si="6"/>
        <v/>
      </c>
      <c r="H18" s="63">
        <f>+'VZLA BFS'!H18/'VENEZUELA USD'!$AH$4</f>
        <v>0</v>
      </c>
      <c r="I18" s="34">
        <f t="shared" si="2"/>
        <v>0</v>
      </c>
      <c r="J18" s="34" t="str">
        <f t="shared" si="7"/>
        <v/>
      </c>
      <c r="K18" s="32">
        <f>'VZLA BFS'!K18/'VENEZUELA USD'!$AH$3</f>
        <v>0</v>
      </c>
      <c r="L18" s="34">
        <f t="shared" si="3"/>
        <v>0</v>
      </c>
      <c r="M18" s="32">
        <f>'VZLA BFS'!M18/'VENEZUELA USD'!$AH$3</f>
        <v>0</v>
      </c>
      <c r="N18" s="34"/>
      <c r="O18" s="34" t="str">
        <f t="shared" si="8"/>
        <v/>
      </c>
      <c r="P18" s="63">
        <f>+'VZLA BFS'!P18/'VENEZUELA USD'!$AH$4</f>
        <v>0</v>
      </c>
      <c r="Q18" s="34">
        <f t="shared" si="5"/>
        <v>0</v>
      </c>
      <c r="R18" s="34" t="str">
        <f t="shared" si="9"/>
        <v/>
      </c>
      <c r="S18" s="68"/>
      <c r="U18" s="32">
        <f>+'VZLA BFS'!U18/'VENEZUELA USD'!$AH$3</f>
        <v>0</v>
      </c>
      <c r="AD18" s="68"/>
      <c r="AE18" s="68"/>
    </row>
    <row r="19" spans="2:33" x14ac:dyDescent="0.2">
      <c r="B19" s="3" t="s">
        <v>80</v>
      </c>
      <c r="C19" s="32">
        <f>'VZLA BFS'!C19/'VENEZUELA USD'!$AH$3</f>
        <v>0</v>
      </c>
      <c r="D19" s="34" t="str">
        <f t="shared" si="0"/>
        <v xml:space="preserve"> </v>
      </c>
      <c r="E19" s="32">
        <f>'VZLA BFS'!E19/'VENEZUELA USD'!$AH$3</f>
        <v>0</v>
      </c>
      <c r="F19" s="34">
        <f t="shared" si="1"/>
        <v>0</v>
      </c>
      <c r="G19" s="34" t="str">
        <f t="shared" si="6"/>
        <v/>
      </c>
      <c r="H19" s="63">
        <f>+'VZLA BFS'!H19/'VENEZUELA USD'!$AH$4</f>
        <v>0</v>
      </c>
      <c r="I19" s="34">
        <f t="shared" si="2"/>
        <v>0</v>
      </c>
      <c r="J19" s="34" t="str">
        <f t="shared" si="7"/>
        <v/>
      </c>
      <c r="K19" s="32">
        <f>'VZLA BFS'!K19/'VENEZUELA USD'!$AH$3</f>
        <v>0</v>
      </c>
      <c r="L19" s="34">
        <f t="shared" si="3"/>
        <v>0</v>
      </c>
      <c r="M19" s="32">
        <f>'VZLA BFS'!M19/'VENEZUELA USD'!$AH$3</f>
        <v>0</v>
      </c>
      <c r="N19" s="34"/>
      <c r="O19" s="34" t="str">
        <f t="shared" si="8"/>
        <v/>
      </c>
      <c r="P19" s="63">
        <f>+'VZLA BFS'!P19/'VENEZUELA USD'!$AH$4</f>
        <v>0</v>
      </c>
      <c r="Q19" s="34">
        <f t="shared" si="5"/>
        <v>0</v>
      </c>
      <c r="R19" s="34" t="str">
        <f t="shared" si="9"/>
        <v/>
      </c>
      <c r="S19" s="68"/>
      <c r="T19" s="3" t="s">
        <v>38</v>
      </c>
      <c r="U19" s="32">
        <f>+'VZLA BFS'!U19/'VENEZUELA USD'!$AH$3</f>
        <v>0</v>
      </c>
      <c r="V19" s="32">
        <f>+V11-V17</f>
        <v>4206.6668314384588</v>
      </c>
      <c r="W19" s="32">
        <f>+'VZLA BFS'!W19/'VENEZUELA USD'!$AH$3</f>
        <v>386.60603064755355</v>
      </c>
      <c r="X19" s="32">
        <f>+'VZLA BFS'!X19/'VENEZUELA USD'!$AH$3</f>
        <v>0</v>
      </c>
      <c r="Y19" s="32">
        <f>Y11-Y17</f>
        <v>13848.838358872963</v>
      </c>
      <c r="Z19" s="63">
        <f>+Y19-X19</f>
        <v>13848.838358872963</v>
      </c>
      <c r="AA19" s="68" t="str">
        <f>IF(X19=0,"",(Y19-X19)/ABS(X19)+1)</f>
        <v/>
      </c>
      <c r="AB19" s="32">
        <f>+'VZLA BFS'!AB19/'VENEZUELA USD'!$AH$3</f>
        <v>4600.4448838358876</v>
      </c>
      <c r="AC19" s="68">
        <f>IF(AB19=0,"",(Y19-AB19)/ABS(AB19))</f>
        <v>2.01032589424823</v>
      </c>
      <c r="AD19" s="68"/>
      <c r="AE19" s="68"/>
      <c r="AG19" s="55"/>
    </row>
    <row r="20" spans="2:33" x14ac:dyDescent="0.2">
      <c r="B20" s="3" t="s">
        <v>39</v>
      </c>
      <c r="C20" s="32">
        <f>'VZLA BFS'!C20/'VENEZUELA USD'!$AH$3</f>
        <v>10204.738350963915</v>
      </c>
      <c r="D20" s="34" t="str">
        <f t="shared" si="0"/>
        <v xml:space="preserve"> </v>
      </c>
      <c r="E20" s="32">
        <f>'VZLA BFS'!E20/'VENEZUELA USD'!$AH$3</f>
        <v>9531.3143845773611</v>
      </c>
      <c r="F20" s="34">
        <f t="shared" si="1"/>
        <v>1</v>
      </c>
      <c r="G20" s="34">
        <f t="shared" si="6"/>
        <v>0.934008698388338</v>
      </c>
      <c r="H20" s="63">
        <f>+'VZLA BFS'!H20/'VENEZUELA USD'!$AH$4</f>
        <v>7093.5823647294592</v>
      </c>
      <c r="I20" s="34">
        <f t="shared" si="2"/>
        <v>1</v>
      </c>
      <c r="J20" s="34">
        <f t="shared" si="7"/>
        <v>0.34365316345218389</v>
      </c>
      <c r="K20" s="32">
        <f>'VZLA BFS'!K20/'VENEZUELA USD'!$AH$3</f>
        <v>42860.948180190309</v>
      </c>
      <c r="L20" s="34">
        <f t="shared" si="3"/>
        <v>1</v>
      </c>
      <c r="M20" s="32">
        <f>'VZLA BFS'!M20/'VENEZUELA USD'!$AH$3</f>
        <v>35800.340583292149</v>
      </c>
      <c r="N20" s="34">
        <f>+M20/$M$20</f>
        <v>1</v>
      </c>
      <c r="O20" s="34">
        <f t="shared" si="8"/>
        <v>0.83526711618196381</v>
      </c>
      <c r="P20" s="63">
        <f>+'VZLA BFS'!P20/'VENEZUELA USD'!$AH$4</f>
        <v>42279.84208416834</v>
      </c>
      <c r="Q20" s="34">
        <f t="shared" si="5"/>
        <v>1</v>
      </c>
      <c r="R20" s="34">
        <f t="shared" si="9"/>
        <v>-0.15325273656361257</v>
      </c>
      <c r="S20" s="68"/>
      <c r="T20" s="3"/>
      <c r="U20" s="32">
        <f>+'VZLA BFS'!U20/'VENEZUELA USD'!$AH$3</f>
        <v>0</v>
      </c>
      <c r="V20" s="32"/>
      <c r="W20" s="32"/>
      <c r="X20" s="32"/>
      <c r="Y20" s="32"/>
      <c r="Z20" s="63"/>
      <c r="AA20" s="68"/>
      <c r="AB20" s="32"/>
      <c r="AC20" s="68" t="str">
        <f>IF(AB20=0,"",(Y20-AB20)/ABS(AB20))</f>
        <v/>
      </c>
      <c r="AD20" s="68"/>
      <c r="AE20" s="68"/>
    </row>
    <row r="21" spans="2:33" x14ac:dyDescent="0.2">
      <c r="E21" s="32">
        <f>'VZLA BFS'!E21/'VENEZUELA USD'!$AH$3</f>
        <v>0</v>
      </c>
      <c r="G21" s="34" t="str">
        <f t="shared" si="6"/>
        <v/>
      </c>
      <c r="H21" s="63">
        <f>+'VZLA BFS'!H21/'VENEZUELA USD'!$AH$4</f>
        <v>0</v>
      </c>
      <c r="L21" s="34">
        <f t="shared" si="3"/>
        <v>0</v>
      </c>
      <c r="M21" s="32">
        <f>'VZLA BFS'!M21/'VENEZUELA USD'!$AH$3</f>
        <v>0</v>
      </c>
      <c r="O21" s="34" t="str">
        <f t="shared" si="8"/>
        <v/>
      </c>
      <c r="P21" s="63">
        <f>+'VZLA BFS'!P21/'VENEZUELA USD'!$AH$4</f>
        <v>0</v>
      </c>
      <c r="Q21" s="34">
        <f t="shared" si="5"/>
        <v>0</v>
      </c>
      <c r="R21" s="34" t="str">
        <f t="shared" si="9"/>
        <v/>
      </c>
      <c r="S21" s="68"/>
      <c r="T21" s="3" t="s">
        <v>40</v>
      </c>
      <c r="U21" s="32">
        <f>+'VZLA BFS'!U21/'VENEZUELA USD'!$AH$3</f>
        <v>5849.0360850222442</v>
      </c>
      <c r="V21" s="32">
        <f>+V10+V19</f>
        <v>11858.147800296592</v>
      </c>
      <c r="W21" s="32">
        <f>+'VZLA BFS'!W21/'VENEZUELA USD'!$AH$3</f>
        <v>1926.203163618389</v>
      </c>
      <c r="X21" s="32">
        <f>+'VZLA BFS'!X21/'VENEZUELA USD'!$AH$3</f>
        <v>5849.0360850222442</v>
      </c>
      <c r="Y21" s="32">
        <f>+Y10+Y19</f>
        <v>20126.124567474049</v>
      </c>
      <c r="Z21" s="63">
        <f>+Y21-X21</f>
        <v>14277.088482451805</v>
      </c>
      <c r="AA21" s="68">
        <f>IF(X21=0,"",(Y21-X21)/ABS(X21)+1)</f>
        <v>3.4409301421496545</v>
      </c>
      <c r="AB21" s="32">
        <f>+'VZLA BFS'!AB21/'VENEZUELA USD'!$AH$3</f>
        <v>5515.5709342560549</v>
      </c>
      <c r="AC21" s="68">
        <f>IF(AB21=0,"",(Y21-AB21)/ABS(AB21))</f>
        <v>2.6489648682559603</v>
      </c>
      <c r="AD21" s="68"/>
      <c r="AE21" s="68"/>
      <c r="AG21" s="55"/>
    </row>
    <row r="22" spans="2:33" x14ac:dyDescent="0.2">
      <c r="B22" s="3" t="s">
        <v>41</v>
      </c>
      <c r="C22" s="32">
        <f>'VZLA BFS'!C21/'VENEZUELA USD'!$AH$3</f>
        <v>0</v>
      </c>
      <c r="D22" s="34" t="str">
        <f>IF(DD30&lt;=0," ",C22/$C$20)</f>
        <v xml:space="preserve"> </v>
      </c>
      <c r="E22" s="32">
        <f>'VZLA BFS'!E22/'VENEZUELA USD'!$AH$3</f>
        <v>0</v>
      </c>
      <c r="F22" s="34">
        <f>+E22/$E$20</f>
        <v>0</v>
      </c>
      <c r="G22" s="34" t="str">
        <f t="shared" si="6"/>
        <v/>
      </c>
      <c r="H22" s="63">
        <f>+'VZLA BFS'!H22/'VENEZUELA USD'!$AH$4</f>
        <v>0</v>
      </c>
      <c r="I22" s="34">
        <f>IF($H$20&lt;=0," ",H22/$H$20)</f>
        <v>0</v>
      </c>
      <c r="J22" s="34" t="str">
        <f>IF(E22=0,"",(E22-H22)/ABS(H22))</f>
        <v/>
      </c>
      <c r="K22" s="32">
        <f>'VZLA BFS'!K21/'VENEZUELA USD'!$AH$3</f>
        <v>0</v>
      </c>
      <c r="L22" s="34">
        <f t="shared" si="3"/>
        <v>0</v>
      </c>
      <c r="M22" s="32">
        <f>'VZLA BFS'!M22/'VENEZUELA USD'!$AH$3</f>
        <v>0</v>
      </c>
      <c r="N22" s="34">
        <f>+M22/$M$20</f>
        <v>0</v>
      </c>
      <c r="O22" s="34" t="str">
        <f t="shared" si="8"/>
        <v/>
      </c>
      <c r="P22" s="63">
        <f>+'VZLA BFS'!P22/'VENEZUELA USD'!$AH$4</f>
        <v>0</v>
      </c>
      <c r="Q22" s="34">
        <f t="shared" si="5"/>
        <v>0</v>
      </c>
      <c r="R22" s="34" t="str">
        <f t="shared" si="9"/>
        <v/>
      </c>
      <c r="S22" s="68"/>
      <c r="U22" s="32">
        <f>+'VZLA BFS'!U22/'VENEZUELA USD'!$AH$3</f>
        <v>0</v>
      </c>
      <c r="AD22" s="68"/>
      <c r="AE22" s="68"/>
    </row>
    <row r="23" spans="2:33" x14ac:dyDescent="0.2">
      <c r="E23" s="32">
        <f>'VZLA BFS'!E23/'VENEZUELA USD'!$AH$3</f>
        <v>0</v>
      </c>
      <c r="H23" s="63">
        <f>+'VZLA BFS'!H23/'VENEZUELA USD'!$AH$4</f>
        <v>0</v>
      </c>
      <c r="M23" s="32">
        <f>'VZLA BFS'!M23/'VENEZUELA USD'!$AH$3</f>
        <v>0</v>
      </c>
      <c r="P23" s="63">
        <f>+'VZLA BFS'!P23/'VENEZUELA USD'!$AH$4</f>
        <v>0</v>
      </c>
      <c r="S23" s="68"/>
      <c r="T23" s="3" t="s">
        <v>42</v>
      </c>
      <c r="U23" s="32">
        <f>+'VZLA BFS'!U23/'VENEZUELA USD'!$AH$3</f>
        <v>0</v>
      </c>
      <c r="V23" s="32"/>
      <c r="W23" s="32"/>
      <c r="X23" s="32"/>
      <c r="Y23" s="32"/>
      <c r="Z23" s="63">
        <f>+Y23-X23</f>
        <v>0</v>
      </c>
      <c r="AA23" s="68" t="str">
        <f>IF(X23=0,"",(Y23-X23)/ABS(X23)+1)</f>
        <v/>
      </c>
      <c r="AB23" s="32">
        <v>0</v>
      </c>
      <c r="AC23" s="68" t="str">
        <f>IF(AB23=0,"",(Y23-AB23)/ABS(AB23))</f>
        <v/>
      </c>
      <c r="AD23" s="68"/>
      <c r="AE23" s="68"/>
    </row>
    <row r="24" spans="2:33" x14ac:dyDescent="0.2">
      <c r="B24" s="3" t="s">
        <v>43</v>
      </c>
      <c r="C24" s="32">
        <f>'VZLA BFS'!C22/'VENEZUELA USD'!$AH$3</f>
        <v>0</v>
      </c>
      <c r="D24" s="34" t="str">
        <f>IF(DD31&lt;=0," ",C24/$C$20)</f>
        <v xml:space="preserve"> </v>
      </c>
      <c r="E24" s="32">
        <f>'VZLA BFS'!E24/'VENEZUELA USD'!$AH$3</f>
        <v>9531.3143845773611</v>
      </c>
      <c r="F24" s="34">
        <f>+E24/$E$20</f>
        <v>1</v>
      </c>
      <c r="G24" s="34" t="str">
        <f>IF(C24=0,"",(E24-C24)/ABS(C24)+1)</f>
        <v/>
      </c>
      <c r="H24" s="63">
        <f>+'VZLA BFS'!H24/'VENEZUELA USD'!$AH$4</f>
        <v>7093.5823647294592</v>
      </c>
      <c r="I24" s="34">
        <f>IF($H$20&lt;=0," ",H24/$H$20)</f>
        <v>1</v>
      </c>
      <c r="J24" s="34">
        <f>IF(E24=0,"",(E24-H24)/ABS(H24))</f>
        <v>0.34365316345218389</v>
      </c>
      <c r="K24" s="32">
        <f>'VZLA BFS'!K22/'VENEZUELA USD'!$AH$3</f>
        <v>0</v>
      </c>
      <c r="L24" s="34">
        <f>IF($K$20&lt;=0," ",K24/$K$20)</f>
        <v>0</v>
      </c>
      <c r="M24" s="32">
        <f>'VZLA BFS'!M24/'VENEZUELA USD'!$AH$3</f>
        <v>35800.340583292149</v>
      </c>
      <c r="N24" s="34">
        <f>+M24/$M$20</f>
        <v>1</v>
      </c>
      <c r="O24" s="34" t="str">
        <f>IF(K24=0,"",(M24-K24)/ABS(K24)+1)</f>
        <v/>
      </c>
      <c r="P24" s="63">
        <f>+'VZLA BFS'!P24/'VENEZUELA USD'!$AH$4</f>
        <v>42279.84208416834</v>
      </c>
      <c r="Q24" s="34">
        <f>IF($P$20&lt;=0," ",P24/$P$20)</f>
        <v>1</v>
      </c>
      <c r="R24" s="34">
        <f>IF(M24=0,"",(M24-P24)/ABS(P24))</f>
        <v>-0.15325273656361257</v>
      </c>
      <c r="S24" s="68"/>
      <c r="U24" s="32">
        <f>+'VZLA BFS'!U24/'VENEZUELA USD'!$AH$3</f>
        <v>0</v>
      </c>
      <c r="AD24" s="68"/>
      <c r="AE24" s="68"/>
    </row>
    <row r="25" spans="2:33" x14ac:dyDescent="0.2">
      <c r="E25" s="32">
        <f>'VZLA BFS'!E25/'VENEZUELA USD'!$AH$3</f>
        <v>0</v>
      </c>
      <c r="H25" s="63">
        <f>+'VZLA BFS'!H25/'VENEZUELA USD'!$AH$4</f>
        <v>0</v>
      </c>
      <c r="M25" s="32">
        <f>'VZLA BFS'!M25/'VENEZUELA USD'!$AH$3</f>
        <v>0</v>
      </c>
      <c r="P25" s="63">
        <f>+'VZLA BFS'!P25/'VENEZUELA USD'!$AH$4</f>
        <v>0</v>
      </c>
      <c r="S25" s="68"/>
      <c r="T25" s="3" t="s">
        <v>44</v>
      </c>
      <c r="U25" s="32">
        <f>+'VZLA BFS'!U25/'VENEZUELA USD'!$AH$3</f>
        <v>0</v>
      </c>
      <c r="V25" s="32">
        <v>1736.09</v>
      </c>
      <c r="W25" s="32">
        <f>+'VZLA BFS'!W25/'VENEZUELA USD'!$AH$3</f>
        <v>193.94587246663372</v>
      </c>
      <c r="X25" s="32">
        <f>+'VZLA BFS'!X25/'VENEZUELA USD'!$AH$3</f>
        <v>0</v>
      </c>
      <c r="Y25" s="32">
        <f>+'VZLA BFS'!Y25/'VENEZUELA USD'!$AH$3</f>
        <v>8762.8521997034113</v>
      </c>
      <c r="Z25" s="63">
        <f>+Y25-X25</f>
        <v>8762.8521997034113</v>
      </c>
      <c r="AA25" s="68" t="str">
        <f>IF(X25=0,"",(Y25-X25)/ABS(X25)+1)</f>
        <v/>
      </c>
      <c r="AB25" s="32">
        <f>+'VZLA BFS'!AB25/'VENEZUELA USD'!$AH$3</f>
        <v>3783.2921403855657</v>
      </c>
      <c r="AC25" s="68">
        <f>IF(AB25=0,"",(Y25-AB25)/ABS(AB25))</f>
        <v>1.3161976063551797</v>
      </c>
    </row>
    <row r="26" spans="2:33" x14ac:dyDescent="0.2">
      <c r="B26" s="3" t="s">
        <v>45</v>
      </c>
      <c r="C26" s="32">
        <f>'VZLA BFS'!C23/'VENEZUELA USD'!$AH$3</f>
        <v>0</v>
      </c>
      <c r="D26" s="34" t="str">
        <f>IF(DD32&lt;=0," ",C26/$C$20)</f>
        <v xml:space="preserve"> </v>
      </c>
      <c r="E26" s="32">
        <f>'VZLA BFS'!E26/'VENEZUELA USD'!$AH$3</f>
        <v>107.04374691052891</v>
      </c>
      <c r="F26" s="34">
        <f>+E26/$E$20</f>
        <v>1.1230743483158693E-2</v>
      </c>
      <c r="G26" s="34" t="str">
        <f>IF(C26=0,"",(E26-C26)/ABS(C26)+1)</f>
        <v/>
      </c>
      <c r="H26" s="63">
        <f>+'VZLA BFS'!H26/'VENEZUELA USD'!$AH$4</f>
        <v>113.65410821643287</v>
      </c>
      <c r="I26" s="34">
        <f>IF($H$20&lt;=0," ",H26/$H$20)</f>
        <v>1.6022103131069727E-2</v>
      </c>
      <c r="J26" s="34">
        <f>IF(E26=0,"",(E26-H26)/ABS(H26))</f>
        <v>-5.8162097346413338E-2</v>
      </c>
      <c r="K26" s="32">
        <f>'VZLA BFS'!K23/'VENEZUELA USD'!$AH$3</f>
        <v>0</v>
      </c>
      <c r="L26" s="34">
        <f>IF($K$20&lt;=0," ",K26/$K$20)</f>
        <v>0</v>
      </c>
      <c r="M26" s="32">
        <f>'VZLA BFS'!M26/'VENEZUELA USD'!$AH$3</f>
        <v>525.97528423133963</v>
      </c>
      <c r="N26" s="34">
        <f>+M26/$M$20</f>
        <v>1.4691907274111515E-2</v>
      </c>
      <c r="O26" s="34" t="str">
        <f>IF(K26=0,"",(M26-K26)/ABS(K26)+1)</f>
        <v/>
      </c>
      <c r="P26" s="63">
        <f>+'VZLA BFS'!P26/'VENEZUELA USD'!$AH$4</f>
        <v>1172.3054108216434</v>
      </c>
      <c r="Q26" s="34">
        <f>IF($P$20&lt;=0," ",P26/$P$20)</f>
        <v>2.7727289247861508E-2</v>
      </c>
      <c r="R26" s="34">
        <f>IF(M26=0,"",(M26-P26)/ABS(P26))</f>
        <v>-0.55133254578881885</v>
      </c>
      <c r="S26" s="68"/>
      <c r="U26" s="32">
        <f>+'VZLA BFS'!U26/'VENEZUELA USD'!$AH$3</f>
        <v>0</v>
      </c>
    </row>
    <row r="27" spans="2:33" x14ac:dyDescent="0.2">
      <c r="B27" s="3" t="s">
        <v>46</v>
      </c>
      <c r="C27" s="32">
        <f>'VZLA BFS'!C24/'VENEZUELA USD'!$AH$3</f>
        <v>10204.738350963915</v>
      </c>
      <c r="D27" s="34" t="str">
        <f>IF(DD33&lt;=0," ",C27/$C$20)</f>
        <v xml:space="preserve"> </v>
      </c>
      <c r="E27" s="32">
        <f>'VZLA BFS'!E27/'VENEZUELA USD'!$AH$3</f>
        <v>1124.2078596144338</v>
      </c>
      <c r="F27" s="34">
        <f>+E27/$E$20</f>
        <v>0.11794888031744255</v>
      </c>
      <c r="G27" s="34">
        <f>IF(C27=0,"",(E27-C27)/ABS(C27)+1)</f>
        <v>0.1101652801816565</v>
      </c>
      <c r="H27" s="63">
        <f>+'VZLA BFS'!H27/'VENEZUELA USD'!$AH$4</f>
        <v>848.83486973947902</v>
      </c>
      <c r="I27" s="34">
        <f>IF($H$20&lt;=0," ",H27/$H$20)</f>
        <v>0.11966236889840534</v>
      </c>
      <c r="J27" s="34">
        <f>IF(E27=0,"",(E27-H27)/ABS(H27))</f>
        <v>0.32441290961511882</v>
      </c>
      <c r="K27" s="32">
        <f>'VZLA BFS'!K24/'VENEZUELA USD'!$AH$3</f>
        <v>42860.948180190309</v>
      </c>
      <c r="L27" s="34">
        <f>IF($K$20&lt;=0," ",K27/$K$20)</f>
        <v>1</v>
      </c>
      <c r="M27" s="32">
        <f>'VZLA BFS'!M27/'VENEZUELA USD'!$AH$3</f>
        <v>4457.5425111220957</v>
      </c>
      <c r="N27" s="34">
        <f>+M27/$M$20</f>
        <v>0.12451117610882199</v>
      </c>
      <c r="O27" s="34">
        <f>IF(K27=0,"",(M27-K27)/ABS(K27)+1)</f>
        <v>0.1040000910008404</v>
      </c>
      <c r="P27" s="63">
        <f>+'VZLA BFS'!P27/'VENEZUELA USD'!$AH$4</f>
        <v>4183.9462925851703</v>
      </c>
      <c r="Q27" s="34">
        <f>IF($P$20&lt;=0," ",P27/$P$20)</f>
        <v>9.8958418157191891E-2</v>
      </c>
      <c r="R27" s="34">
        <f>IF(M27=0,"",(M27-P27)/ABS(P27))</f>
        <v>6.5391905011255802E-2</v>
      </c>
      <c r="S27" s="68"/>
      <c r="T27" s="3" t="s">
        <v>47</v>
      </c>
      <c r="U27" s="32">
        <f>+'VZLA BFS'!U27/'VENEZUELA USD'!$AH$3</f>
        <v>0</v>
      </c>
      <c r="V27" s="32"/>
      <c r="W27" s="32"/>
      <c r="X27" s="32">
        <f>+'VZLA BFS'!X27/'VENEZUELA USD'!$AH$3</f>
        <v>0</v>
      </c>
      <c r="Y27" s="32">
        <f>+'VZLA BFS'!Y27/'VENEZUELA USD'!$AH$3</f>
        <v>0</v>
      </c>
      <c r="Z27" s="63">
        <f>+Y27-X27</f>
        <v>0</v>
      </c>
      <c r="AA27" s="68" t="str">
        <f>IF(X27=0,"",(Y27-X27)/ABS(X27)+1)</f>
        <v/>
      </c>
      <c r="AB27" s="32">
        <f>+'VZLA BFS'!AB27/'VENEZUELA USD'!$AH$3</f>
        <v>0</v>
      </c>
      <c r="AC27" s="68" t="str">
        <f>IF(AB27=0,"",(Y27-AB27)/ABS(AB27))</f>
        <v/>
      </c>
    </row>
    <row r="28" spans="2:33" x14ac:dyDescent="0.2">
      <c r="B28" s="3" t="s">
        <v>48</v>
      </c>
      <c r="C28" s="32">
        <f>'VZLA BFS'!C25/'VENEZUELA USD'!$AH$3</f>
        <v>0</v>
      </c>
      <c r="D28" s="34" t="str">
        <f>IF(DD34&lt;=0," ",C28/$C$20)</f>
        <v xml:space="preserve"> </v>
      </c>
      <c r="E28" s="32">
        <f>'VZLA BFS'!E28/'VENEZUELA USD'!$AH$3</f>
        <v>1231.2516065249629</v>
      </c>
      <c r="F28" s="34">
        <f>+E28/$E$20</f>
        <v>0.12917962380060127</v>
      </c>
      <c r="G28" s="34" t="str">
        <f>IF(C28=0,"",(E28-C28)/ABS(C28)+1)</f>
        <v/>
      </c>
      <c r="H28" s="63">
        <f>+'VZLA BFS'!H28/'VENEZUELA USD'!$AH$4</f>
        <v>962.48897795591176</v>
      </c>
      <c r="I28" s="34">
        <f>IF($H$20&lt;=0," ",H28/$H$20)</f>
        <v>0.13568447202947503</v>
      </c>
      <c r="J28" s="34">
        <f>IF(E28=0,"",(E28-H28)/ABS(H28))</f>
        <v>0.27923709748846826</v>
      </c>
      <c r="K28" s="32">
        <f>'VZLA BFS'!K25/'VENEZUELA USD'!$AH$3</f>
        <v>0</v>
      </c>
      <c r="L28" s="34">
        <f>IF($K$20&lt;=0," ",K28/$K$20)</f>
        <v>0</v>
      </c>
      <c r="M28" s="32">
        <f>'VZLA BFS'!M28/'VENEZUELA USD'!$AH$3</f>
        <v>4983.5177953534348</v>
      </c>
      <c r="N28" s="34">
        <f>+M28/$M$20</f>
        <v>0.1392030833829335</v>
      </c>
      <c r="O28" s="34" t="str">
        <f>IF(K28=0,"",(M28-K28)/ABS(K28)+1)</f>
        <v/>
      </c>
      <c r="P28" s="63">
        <f>+'VZLA BFS'!P28/'VENEZUELA USD'!$AH$4</f>
        <v>5356.2517034068132</v>
      </c>
      <c r="Q28" s="34">
        <f>IF($P$20&lt;=0," ",P28/$P$20)</f>
        <v>0.12668570740505339</v>
      </c>
      <c r="R28" s="34">
        <f>IF(M28=0,"",(M28-P28)/ABS(P28))</f>
        <v>-6.958857213829274E-2</v>
      </c>
      <c r="S28" s="68"/>
      <c r="T28" s="3" t="s">
        <v>49</v>
      </c>
      <c r="U28" s="32">
        <f>+'VZLA BFS'!U28/'VENEZUELA USD'!$AH$3</f>
        <v>0</v>
      </c>
      <c r="V28" s="32"/>
      <c r="W28" s="32"/>
      <c r="X28" s="32"/>
      <c r="Y28" s="32">
        <f>+'VZLA BFS'!Y28/'VENEZUELA USD'!$AH$3</f>
        <v>0</v>
      </c>
      <c r="Z28" s="63">
        <f>+Y28-X28</f>
        <v>0</v>
      </c>
      <c r="AA28" s="68" t="str">
        <f>IF(X28=0,"",(Y28-X28)/ABS(X28)+1)</f>
        <v/>
      </c>
      <c r="AB28" s="32">
        <f>+'VZLA BFS'!AB28/'VENEZUELA USD'!$AH$3</f>
        <v>0</v>
      </c>
      <c r="AC28" s="68" t="str">
        <f>IF(AB28=0,"",(Y28-AB28)/ABS(AB28))</f>
        <v/>
      </c>
    </row>
    <row r="29" spans="2:33" x14ac:dyDescent="0.2">
      <c r="E29" s="32">
        <f>'VZLA BFS'!E29/'VENEZUELA USD'!$AH$3</f>
        <v>0</v>
      </c>
      <c r="H29" s="63">
        <f>+'VZLA BFS'!H29/'VENEZUELA USD'!$AH$4</f>
        <v>0</v>
      </c>
      <c r="M29" s="32">
        <f>'VZLA BFS'!M29/'VENEZUELA USD'!$AH$3</f>
        <v>0</v>
      </c>
      <c r="P29" s="63">
        <f>+'VZLA BFS'!P29/'VENEZUELA USD'!$AH$4</f>
        <v>0</v>
      </c>
      <c r="S29" s="68"/>
      <c r="U29" s="32">
        <f>+'VZLA BFS'!U29/'VENEZUELA USD'!$AH$3</f>
        <v>0</v>
      </c>
    </row>
    <row r="30" spans="2:33" x14ac:dyDescent="0.2">
      <c r="B30" s="3" t="s">
        <v>50</v>
      </c>
      <c r="C30" s="32">
        <f>'VZLA BFS'!C26/'VENEZUELA USD'!$AH$3</f>
        <v>250.26564955803258</v>
      </c>
      <c r="D30" s="34" t="str">
        <f>IF(DD35&lt;=0," ",C30/$C$20)</f>
        <v xml:space="preserve"> </v>
      </c>
      <c r="E30" s="32">
        <f>'VZLA BFS'!E30/'VENEZUELA USD'!$AH$3</f>
        <v>3454.9038556599112</v>
      </c>
      <c r="F30" s="34">
        <f>+E30/$E$20</f>
        <v>0.36247926741880404</v>
      </c>
      <c r="G30" s="34">
        <f>IF(C30=0,"",(E30-C30)/ABS(C30)+1)</f>
        <v>13.80494631109482</v>
      </c>
      <c r="H30" s="63">
        <f>+'VZLA BFS'!H30/'VENEZUELA USD'!$AH$4</f>
        <v>3457.5098196392792</v>
      </c>
      <c r="I30" s="34">
        <f>IF($H$20&lt;=0," ",H30/$H$20)</f>
        <v>0.48741378359552529</v>
      </c>
      <c r="J30" s="34">
        <f>IF(E30=0,"",(E30-H30)/ABS(H30))</f>
        <v>-7.5371123013610126E-4</v>
      </c>
      <c r="K30" s="32">
        <f>'VZLA BFS'!K26/'VENEZUELA USD'!$AH$3</f>
        <v>1095.3619333363695</v>
      </c>
      <c r="L30" s="34">
        <f>IF($K$20&lt;=0," ",K30/$K$20)</f>
        <v>2.5556175956056647E-2</v>
      </c>
      <c r="M30" s="32">
        <f>'VZLA BFS'!M30/'VENEZUELA USD'!$AH$3</f>
        <v>19782.120118635688</v>
      </c>
      <c r="N30" s="34">
        <f>+M30/$M$20</f>
        <v>0.55256793081649935</v>
      </c>
      <c r="O30" s="34">
        <f>IF(K30=0,"",(M30-K30)/ABS(K30)+1)</f>
        <v>18.059893736110773</v>
      </c>
      <c r="P30" s="63">
        <f>+'VZLA BFS'!P30/'VENEZUELA USD'!$AH$4</f>
        <v>19471.070541082165</v>
      </c>
      <c r="Q30" s="34">
        <f>IF($P$20&lt;=0," ",P30/$P$20)</f>
        <v>0.46052845945640591</v>
      </c>
      <c r="R30" s="34">
        <f>IF(M30=0,"",(M30-P30)/ABS(P30))</f>
        <v>1.5974960231243462E-2</v>
      </c>
      <c r="S30" s="68"/>
      <c r="T30" s="3" t="s">
        <v>51</v>
      </c>
      <c r="U30" s="32">
        <f>+'VZLA BFS'!U30/'VENEZUELA USD'!$AH$3</f>
        <v>5849.0360850222442</v>
      </c>
      <c r="V30" s="32">
        <f>+V21-V25-V23+V27</f>
        <v>10122.057800296592</v>
      </c>
      <c r="W30" s="32">
        <f>+W21-W25-W23+W27</f>
        <v>1732.2572911517552</v>
      </c>
      <c r="X30" s="32">
        <f>+X21-X25-X23-X27</f>
        <v>5849.0360850222442</v>
      </c>
      <c r="Y30" s="32">
        <f>+Y21-Y25-Y23+Y27</f>
        <v>11363.272367770638</v>
      </c>
      <c r="Z30" s="63">
        <f>+Y30-X30</f>
        <v>5514.2362827483939</v>
      </c>
      <c r="AA30" s="68">
        <f>IF(U30=0,"",(V30-U30)/ABS(U30)+1)</f>
        <v>1.7305514367087542</v>
      </c>
      <c r="AB30" s="32">
        <f>+AB21-AB25-AB23-AB27</f>
        <v>1732.2787938704892</v>
      </c>
      <c r="AC30" s="68">
        <f>IF(AB30=0,"",(Y30-AB30)/ABS(AB30))</f>
        <v>5.5597249172468901</v>
      </c>
    </row>
    <row r="31" spans="2:33" x14ac:dyDescent="0.2">
      <c r="B31" s="3" t="s">
        <v>52</v>
      </c>
      <c r="C31" s="32">
        <f>'VZLA BFS'!C27/'VENEZUELA USD'!$AH$3</f>
        <v>643.90386390883828</v>
      </c>
      <c r="D31" s="34" t="str">
        <f>IF(DD36&lt;=0," ",C31/$C$20)</f>
        <v xml:space="preserve"> </v>
      </c>
      <c r="E31" s="32">
        <f>'VZLA BFS'!E31/'VENEZUELA USD'!$AH$3</f>
        <v>1039.4340088976767</v>
      </c>
      <c r="F31" s="34">
        <f>+E31/$E$20</f>
        <v>0.10905463475001799</v>
      </c>
      <c r="G31" s="34">
        <f>IF(C31=0,"",(E31-C31)/ABS(C31)+1)</f>
        <v>1.6142689416208196</v>
      </c>
      <c r="H31" s="63">
        <f>+'VZLA BFS'!H31/'VENEZUELA USD'!$AH$4</f>
        <v>877.70741482965934</v>
      </c>
      <c r="I31" s="34">
        <f>IF($H$20&lt;=0," ",H31/$H$20)</f>
        <v>0.1237326035986803</v>
      </c>
      <c r="J31" s="34">
        <f>IF(E31=0,"",(E31-H31)/ABS(H31))</f>
        <v>0.18426025727423567</v>
      </c>
      <c r="K31" s="32">
        <f>'VZLA BFS'!K27/'VENEZUELA USD'!$AH$3</f>
        <v>4478.4854363697223</v>
      </c>
      <c r="L31" s="34">
        <f>IF($K$20&lt;=0," ",K31/$K$20)</f>
        <v>0.10448871587119044</v>
      </c>
      <c r="M31" s="32">
        <f>'VZLA BFS'!M31/'VENEZUELA USD'!$AH$3</f>
        <v>6052.5247157686599</v>
      </c>
      <c r="N31" s="34">
        <f>+M31/$M$20</f>
        <v>0.16906332781072325</v>
      </c>
      <c r="O31" s="34">
        <f>IF(K31=0,"",(M31-K31)/ABS(K31)+1)</f>
        <v>1.3514668746304688</v>
      </c>
      <c r="P31" s="63">
        <f>+'VZLA BFS'!P31/'VENEZUELA USD'!$AH$4</f>
        <v>4733.234468937876</v>
      </c>
      <c r="Q31" s="34">
        <f>IF($P$20&lt;=0," ",P31/$P$20)</f>
        <v>0.11195014540298467</v>
      </c>
      <c r="R31" s="34">
        <f>IF(M31=0,"",(M31-P31)/ABS(P31))</f>
        <v>0.27872911335550821</v>
      </c>
      <c r="S31" s="68"/>
      <c r="T31" s="68"/>
      <c r="U31" s="58"/>
    </row>
    <row r="32" spans="2:33" x14ac:dyDescent="0.2">
      <c r="B32" s="3" t="s">
        <v>53</v>
      </c>
      <c r="C32" s="32">
        <f>'VZLA BFS'!C28/'VENEZUELA USD'!$AH$3</f>
        <v>894.16951346687097</v>
      </c>
      <c r="D32" s="34" t="str">
        <f>IF(DD37&lt;=0," ",C32/$C$20)</f>
        <v xml:space="preserve"> </v>
      </c>
      <c r="E32" s="32">
        <f>'VZLA BFS'!E32/'VENEZUELA USD'!$AH$3</f>
        <v>4494.3378645575876</v>
      </c>
      <c r="F32" s="34">
        <f>+E32/$E$20</f>
        <v>0.47153390216882202</v>
      </c>
      <c r="G32" s="34">
        <f>IF(C32=0,"",(E32-C32)/ABS(C32)+1)</f>
        <v>5.0262705190340888</v>
      </c>
      <c r="H32" s="63">
        <f>+'VZLA BFS'!H32/'VENEZUELA USD'!$AH$4</f>
        <v>4335.2172344689388</v>
      </c>
      <c r="I32" s="34">
        <f>IF($H$20&lt;=0," ",H32/$H$20)</f>
        <v>0.61114638719420566</v>
      </c>
      <c r="J32" s="34">
        <f>IF(E32=0,"",(E32-H32)/ABS(H32))</f>
        <v>3.6704188390721086E-2</v>
      </c>
      <c r="K32" s="32">
        <f>'VZLA BFS'!K28/'VENEZUELA USD'!$AH$3</f>
        <v>5573.8473697060917</v>
      </c>
      <c r="L32" s="34">
        <f>IF($K$20&lt;=0," ",K32/$K$20)</f>
        <v>0.1300448918272471</v>
      </c>
      <c r="M32" s="32">
        <f>'VZLA BFS'!M32/'VENEZUELA USD'!$AH$3</f>
        <v>25834.644834404349</v>
      </c>
      <c r="N32" s="34">
        <f>+M32/$M$20</f>
        <v>0.72163125862722255</v>
      </c>
      <c r="O32" s="34">
        <f>IF(K32=0,"",(M32-K32)/ABS(K32)+1)</f>
        <v>4.6349752910020223</v>
      </c>
      <c r="P32" s="63">
        <f>+'VZLA BFS'!P32/'VENEZUELA USD'!$AH$4</f>
        <v>24204.305010020038</v>
      </c>
      <c r="Q32" s="34">
        <f>IF($P$20&lt;=0," ",P32/$P$20)</f>
        <v>0.57247860485939051</v>
      </c>
      <c r="R32" s="34">
        <f>IF(M32=0,"",(M32-P32)/ABS(P32))</f>
        <v>6.735743181675273E-2</v>
      </c>
      <c r="S32" s="68"/>
    </row>
    <row r="33" spans="2:51" x14ac:dyDescent="0.2">
      <c r="E33" s="32">
        <f>'VZLA BFS'!E33/'VENEZUELA USD'!$AH$3</f>
        <v>0</v>
      </c>
      <c r="H33" s="63">
        <f>+'VZLA BFS'!H33/'VENEZUELA USD'!$AH$4</f>
        <v>0</v>
      </c>
      <c r="M33" s="32">
        <f>'VZLA BFS'!M33/'VENEZUELA USD'!$AH$3</f>
        <v>0</v>
      </c>
      <c r="P33" s="63">
        <f>+'VZLA BFS'!P33/'VENEZUELA USD'!$AH$4</f>
        <v>0</v>
      </c>
      <c r="S33" s="68"/>
    </row>
    <row r="34" spans="2:51" x14ac:dyDescent="0.2">
      <c r="B34" s="3" t="s">
        <v>54</v>
      </c>
      <c r="C34" s="32">
        <f>'VZLA BFS'!C29/'VENEZUELA USD'!$AH$3</f>
        <v>0</v>
      </c>
      <c r="D34" s="34" t="str">
        <f>IF(DD38&lt;=0," ",C34/$C$20)</f>
        <v xml:space="preserve"> </v>
      </c>
      <c r="E34" s="32">
        <f>'VZLA BFS'!E34/'VENEZUELA USD'!$AH$3</f>
        <v>5725.5894710825505</v>
      </c>
      <c r="F34" s="34">
        <f>+E34/$E$20</f>
        <v>0.60071352596942329</v>
      </c>
      <c r="G34" s="34" t="str">
        <f>IF(C34=0,"",(E34-C34)/ABS(C34)+1)</f>
        <v/>
      </c>
      <c r="H34" s="63">
        <f>+'VZLA BFS'!H34/'VENEZUELA USD'!$AH$4</f>
        <v>5297.7062124248505</v>
      </c>
      <c r="I34" s="34">
        <f>IF($H$20&lt;=0," ",H34/$H$20)</f>
        <v>0.74683085922368064</v>
      </c>
      <c r="J34" s="34">
        <f>IF(E34=0,"",(E34-H34)/ABS(H34))</f>
        <v>8.0767645750942946E-2</v>
      </c>
      <c r="K34" s="32">
        <f>'VZLA BFS'!K29/'VENEZUELA USD'!$AH$3</f>
        <v>0</v>
      </c>
      <c r="L34" s="34">
        <f>IF($K$20&lt;=0," ",K34/$K$20)</f>
        <v>0</v>
      </c>
      <c r="M34" s="32">
        <f>'VZLA BFS'!M34/'VENEZUELA USD'!$AH$3</f>
        <v>30818.162629757782</v>
      </c>
      <c r="N34" s="34">
        <f>+M34/$M$20</f>
        <v>0.86083434201015607</v>
      </c>
      <c r="O34" s="34" t="str">
        <f>IF(K34=0,"",(M34-K34)/ABS(K34)+1)</f>
        <v/>
      </c>
      <c r="P34" s="63">
        <f>+'VZLA BFS'!P34/'VENEZUELA USD'!$AH$4</f>
        <v>29560.556713426849</v>
      </c>
      <c r="Q34" s="34">
        <f>IF($P$20&lt;=0," ",P34/$P$20)</f>
        <v>0.69916431226444387</v>
      </c>
      <c r="R34" s="34">
        <f>IF(M34=0,"",(M34-P34)/ABS(P34))</f>
        <v>4.2543377261894035E-2</v>
      </c>
      <c r="S34" s="68"/>
      <c r="AL34" s="79" t="s">
        <v>124</v>
      </c>
      <c r="AT34" s="79" t="s">
        <v>125</v>
      </c>
    </row>
    <row r="35" spans="2:51" ht="15" x14ac:dyDescent="0.25">
      <c r="E35" s="32">
        <f>'VZLA BFS'!E35/'VENEZUELA USD'!$AH$3</f>
        <v>0</v>
      </c>
      <c r="H35" s="63">
        <f>+'VZLA BFS'!H35/'VENEZUELA USD'!$AH$4</f>
        <v>0</v>
      </c>
      <c r="M35" s="32">
        <f>'VZLA BFS'!M35/'VENEZUELA USD'!$AH$3</f>
        <v>0</v>
      </c>
      <c r="P35" s="63">
        <f>+'VZLA BFS'!P35/'VENEZUELA USD'!$AH$4</f>
        <v>0</v>
      </c>
      <c r="S35" s="68"/>
      <c r="AL35" s="106" t="s">
        <v>6</v>
      </c>
      <c r="AM35" s="107">
        <v>1788641</v>
      </c>
      <c r="AN35" s="108"/>
      <c r="AO35" s="108"/>
      <c r="AP35" s="108"/>
      <c r="AQ35" s="108"/>
      <c r="AT35" s="106" t="s">
        <v>6</v>
      </c>
      <c r="AU35" s="107">
        <v>4.71</v>
      </c>
      <c r="AV35" s="108"/>
      <c r="AW35" s="108"/>
      <c r="AX35" s="108"/>
      <c r="AY35" s="108"/>
    </row>
    <row r="36" spans="2:51" ht="15" x14ac:dyDescent="0.25">
      <c r="B36" s="3" t="s">
        <v>55</v>
      </c>
      <c r="C36" s="32">
        <f>'VZLA BFS'!C30/'VENEZUELA USD'!$AH$3</f>
        <v>7435.9509841688023</v>
      </c>
      <c r="D36" s="34" t="str">
        <f>IF(DD39&lt;=0," ",C36/$C$20)</f>
        <v xml:space="preserve"> </v>
      </c>
      <c r="E36" s="32">
        <f>'VZLA BFS'!E36/'VENEZUELA USD'!$AH$3</f>
        <v>3805.7249134948106</v>
      </c>
      <c r="F36" s="34">
        <f>+E36/$E$20</f>
        <v>0.39928647403057671</v>
      </c>
      <c r="G36" s="34">
        <f>IF(C36=0,"",(E36-C36)/ABS(C36)+1)</f>
        <v>0.5118006992780384</v>
      </c>
      <c r="H36" s="63">
        <f>+'VZLA BFS'!H36/'VENEZUELA USD'!$AH$4</f>
        <v>1795.8761523046087</v>
      </c>
      <c r="I36" s="34">
        <f>IF($H$20&lt;=0," ",H36/$H$20)</f>
        <v>0.25316914077631936</v>
      </c>
      <c r="J36" s="34">
        <f>IF(E36=0,"",(E36-H36)/ABS(H36))</f>
        <v>1.119146639711768</v>
      </c>
      <c r="K36" s="32">
        <f>'VZLA BFS'!K30/'VENEZUELA USD'!$AH$3</f>
        <v>30169.773789817122</v>
      </c>
      <c r="L36" s="34">
        <f>IF($K$20&lt;=0," ",K36/$K$20)</f>
        <v>0.70389888863357297</v>
      </c>
      <c r="M36" s="32">
        <f>'VZLA BFS'!M36/'VENEZUELA USD'!$AH$3</f>
        <v>4982.1779535343649</v>
      </c>
      <c r="N36" s="34">
        <f>+M36/$M$20</f>
        <v>0.13916565798984393</v>
      </c>
      <c r="O36" s="34">
        <f>IF(K36=0,"",(M36-K36)/ABS(K36)+1)</f>
        <v>0.1651380613008091</v>
      </c>
      <c r="P36" s="63">
        <f>+'VZLA BFS'!P36/'VENEZUELA USD'!$AH$4</f>
        <v>12719.285370741489</v>
      </c>
      <c r="Q36" s="34">
        <f>IF($P$20&lt;=0," ",P36/$P$20)</f>
        <v>0.30083568773555608</v>
      </c>
      <c r="R36" s="34">
        <f>IF(M36=0,"",(M36-P36)/ABS(P36))</f>
        <v>-0.60829733681461373</v>
      </c>
      <c r="AL36" s="106" t="s">
        <v>9</v>
      </c>
      <c r="AM36" s="107">
        <v>1899023</v>
      </c>
      <c r="AN36" s="108"/>
      <c r="AO36" s="108"/>
      <c r="AP36" s="108"/>
      <c r="AQ36" s="108"/>
      <c r="AT36" s="106" t="s">
        <v>9</v>
      </c>
      <c r="AU36" s="107">
        <v>4.6100000000000003</v>
      </c>
      <c r="AV36" s="108"/>
      <c r="AW36" s="108"/>
      <c r="AX36" s="108"/>
      <c r="AY36" s="108"/>
    </row>
    <row r="37" spans="2:51" ht="13.5" customHeight="1" x14ac:dyDescent="0.25">
      <c r="E37" s="32">
        <f>'VZLA BFS'!E37/'VENEZUELA USD'!$AH$3</f>
        <v>0</v>
      </c>
      <c r="H37" s="63">
        <f>+'VZLA BFS'!H37/'VENEZUELA USD'!$AH$4</f>
        <v>0</v>
      </c>
      <c r="M37" s="32">
        <f>'VZLA BFS'!M37/'VENEZUELA USD'!$AH$3</f>
        <v>0</v>
      </c>
      <c r="P37" s="63">
        <f>+'VZLA BFS'!P37/'VENEZUELA USD'!$AH$4</f>
        <v>0</v>
      </c>
      <c r="AL37" s="106" t="s">
        <v>10</v>
      </c>
      <c r="AM37" s="107">
        <v>2115582</v>
      </c>
      <c r="AN37" s="108"/>
      <c r="AO37" s="108"/>
      <c r="AP37" s="108"/>
      <c r="AQ37" s="108"/>
      <c r="AT37" s="106" t="s">
        <v>10</v>
      </c>
      <c r="AU37" s="107">
        <v>4.4800000000000004</v>
      </c>
      <c r="AV37" s="108"/>
      <c r="AW37" s="108"/>
      <c r="AX37" s="108"/>
      <c r="AY37" s="108"/>
    </row>
    <row r="38" spans="2:51" ht="15" x14ac:dyDescent="0.25">
      <c r="B38" s="3" t="s">
        <v>56</v>
      </c>
      <c r="C38" s="32">
        <f>'VZLA BFS'!C31/'VENEZUELA USD'!$AH$3</f>
        <v>1035.7390014829462</v>
      </c>
      <c r="D38" s="34" t="str">
        <f>IF(DD40&lt;=0," ",C38/$C$20)</f>
        <v xml:space="preserve"> </v>
      </c>
      <c r="E38" s="32">
        <f>'VZLA BFS'!E38/'VENEZUELA USD'!$AH$3</f>
        <v>-39.915966386554622</v>
      </c>
      <c r="F38" s="34">
        <f>+E38/$E$20</f>
        <v>-4.1878763805276139E-3</v>
      </c>
      <c r="G38" s="34">
        <f>IF(C38=0,"",(E38-C38)/ABS(C38)+1)</f>
        <v>-3.8538634085811152E-2</v>
      </c>
      <c r="H38" s="63">
        <f>+'VZLA BFS'!H38/'VENEZUELA USD'!$AH$4</f>
        <v>1151.2164328657313</v>
      </c>
      <c r="I38" s="34">
        <f>IF($H$20&lt;=0," ",H38/$H$20)</f>
        <v>0.16228985210488034</v>
      </c>
      <c r="J38" s="34">
        <f>IF(E38=0,"",(E38-H38)/ABS(H38))</f>
        <v>-1.0346728601564448</v>
      </c>
      <c r="K38" s="32">
        <f>'VZLA BFS'!K31/'VENEZUELA USD'!$AH$3</f>
        <v>6199.9382105783488</v>
      </c>
      <c r="L38" s="34">
        <f>IF($K$20&lt;=0," ",K38/$K$20)</f>
        <v>0.14465238110256898</v>
      </c>
      <c r="M38" s="32">
        <f>'VZLA BFS'!M38/'VENEZUELA USD'!$AH$3</f>
        <v>178.2001977261493</v>
      </c>
      <c r="N38" s="34">
        <f>+M38/$M$20</f>
        <v>4.9776117998529459E-3</v>
      </c>
      <c r="O38" s="34">
        <f>IF(K38=0,"",(M38-K38)/ABS(K38)+1)</f>
        <v>2.8742253821514407E-2</v>
      </c>
      <c r="P38" s="63">
        <f>+'VZLA BFS'!P38/'VENEZUELA USD'!$AH$4</f>
        <v>5980.1498997995986</v>
      </c>
      <c r="Q38" s="34">
        <f>IF($P$20&lt;=0," ",P38/$P$20)</f>
        <v>0.14144210585968253</v>
      </c>
      <c r="R38" s="34">
        <f>IF(M38=0,"",(M38-P38)/ABS(P38))</f>
        <v>-0.97020138278939783</v>
      </c>
      <c r="AL38" s="106" t="s">
        <v>11</v>
      </c>
      <c r="AM38" s="107">
        <v>2900823</v>
      </c>
      <c r="AN38" s="108"/>
      <c r="AO38" s="108"/>
      <c r="AP38" s="108"/>
      <c r="AQ38" s="108"/>
      <c r="AT38" s="106" t="s">
        <v>11</v>
      </c>
      <c r="AU38" s="107">
        <v>4.57</v>
      </c>
      <c r="AV38" s="108"/>
      <c r="AW38" s="108"/>
      <c r="AX38" s="108"/>
      <c r="AY38" s="108"/>
    </row>
    <row r="39" spans="2:51" ht="15" x14ac:dyDescent="0.25">
      <c r="B39" s="3" t="s">
        <v>57</v>
      </c>
      <c r="C39" s="32">
        <f>'VZLA BFS'!C32/'VENEZUELA USD'!$AH$3</f>
        <v>8471.6899856517484</v>
      </c>
      <c r="D39" s="34" t="str">
        <f>IF(DD41&lt;=0," ",C39/$C$20)</f>
        <v xml:space="preserve"> </v>
      </c>
      <c r="E39" s="32">
        <f>'VZLA BFS'!E39/'VENEZUELA USD'!$AH$3</f>
        <v>93.672763222936226</v>
      </c>
      <c r="F39" s="34">
        <f>+E39/$E$20</f>
        <v>9.8278956546127907E-3</v>
      </c>
      <c r="G39" s="34">
        <f>IF(C39=0,"",(E39-C39)/ABS(C39)+1)</f>
        <v>1.1057151923829389E-2</v>
      </c>
      <c r="H39" s="63">
        <f>+'VZLA BFS'!H39/'VENEZUELA USD'!$AH$4</f>
        <v>117.83486973947896</v>
      </c>
      <c r="I39" s="34">
        <f>IF($H$20&lt;=0," ",H39/$H$20)</f>
        <v>1.6611475511354418E-2</v>
      </c>
      <c r="J39" s="34">
        <f>IF(E39=0,"",(E39-H39)/ABS(H39))</f>
        <v>-0.20505056414932796</v>
      </c>
      <c r="K39" s="32">
        <f>'VZLA BFS'!K32/'VENEZUELA USD'!$AH$3</f>
        <v>36369.71200039547</v>
      </c>
      <c r="L39" s="34">
        <f>IF($K$20&lt;=0," ",K39/$K$20)</f>
        <v>0.84855126973614192</v>
      </c>
      <c r="M39" s="32">
        <f>'VZLA BFS'!M39/'VENEZUELA USD'!$AH$3</f>
        <v>667.64705882352939</v>
      </c>
      <c r="N39" s="34">
        <f>+M39/$M$20</f>
        <v>1.8649181766028144E-2</v>
      </c>
      <c r="O39" s="34">
        <f>IF(K39=0,"",(M39-K39)/ABS(K39)+1)</f>
        <v>1.8357226991961628E-2</v>
      </c>
      <c r="P39" s="63">
        <f>+'VZLA BFS'!P39/'VENEZUELA USD'!$AH$4</f>
        <v>701.25771543086182</v>
      </c>
      <c r="Q39" s="34">
        <f>IF($P$20&lt;=0," ",P39/$P$20)</f>
        <v>1.6586100630055271E-2</v>
      </c>
      <c r="R39" s="34">
        <f>IF(M39=0,"",(M39-P39)/ABS(P39))</f>
        <v>-4.7929107755601101E-2</v>
      </c>
      <c r="AL39" s="106" t="s">
        <v>12</v>
      </c>
      <c r="AM39" s="107">
        <v>3143738</v>
      </c>
      <c r="AN39" s="108"/>
      <c r="AO39" s="108"/>
      <c r="AP39" s="108"/>
      <c r="AQ39" s="108"/>
      <c r="AT39" s="106" t="s">
        <v>12</v>
      </c>
      <c r="AU39" s="107">
        <v>5.14</v>
      </c>
      <c r="AV39" s="108"/>
      <c r="AW39" s="108"/>
      <c r="AX39" s="108"/>
      <c r="AY39" s="108"/>
    </row>
    <row r="40" spans="2:51" ht="15" x14ac:dyDescent="0.25">
      <c r="E40" s="32">
        <f>'VZLA BFS'!E40/'VENEZUELA USD'!$AH$3</f>
        <v>0</v>
      </c>
      <c r="H40" s="63">
        <f>+'VZLA BFS'!H40/'VENEZUELA USD'!$AH$4</f>
        <v>0</v>
      </c>
      <c r="M40" s="32">
        <f>'VZLA BFS'!M40/'VENEZUELA USD'!$AH$3</f>
        <v>0</v>
      </c>
      <c r="P40" s="63">
        <f>+'VZLA BFS'!P40/'VENEZUELA USD'!$AH$4</f>
        <v>0</v>
      </c>
      <c r="AL40" s="106" t="s">
        <v>7</v>
      </c>
      <c r="AM40" s="107">
        <v>3267940</v>
      </c>
      <c r="AN40" s="108"/>
      <c r="AO40" s="108"/>
      <c r="AP40" s="108"/>
      <c r="AQ40" s="108"/>
      <c r="AT40" s="106" t="s">
        <v>7</v>
      </c>
      <c r="AU40" s="107">
        <v>5.78</v>
      </c>
      <c r="AV40" s="108"/>
      <c r="AW40" s="108"/>
      <c r="AX40" s="108"/>
      <c r="AY40" s="108"/>
    </row>
    <row r="41" spans="2:51" ht="15" x14ac:dyDescent="0.25">
      <c r="B41" s="3" t="s">
        <v>58</v>
      </c>
      <c r="C41" s="32">
        <f>'VZLA BFS'!C33/'VENEZUELA USD'!$AH$3</f>
        <v>0</v>
      </c>
      <c r="D41" s="34" t="str">
        <f>IF(DD42&lt;=0," ",C41/$C$20)</f>
        <v xml:space="preserve"> </v>
      </c>
      <c r="E41" s="32">
        <f>'VZLA BFS'!E41/'VENEZUELA USD'!$AH$3</f>
        <v>3672.1361838853195</v>
      </c>
      <c r="F41" s="34">
        <f>+E41/$E$20</f>
        <v>0.38527070199543628</v>
      </c>
      <c r="G41" s="34" t="str">
        <f>IF(C41=0,"",(E41-C41)/ABS(C41)+1)</f>
        <v/>
      </c>
      <c r="H41" s="63">
        <f>+'VZLA BFS'!H41/'VENEZUELA USD'!$AH$4</f>
        <v>2829.2577154308615</v>
      </c>
      <c r="I41" s="34">
        <f>IF($H$20&lt;=0," ",H41/$H$20)</f>
        <v>0.39884751736984531</v>
      </c>
      <c r="J41" s="34">
        <f>IF(E41=0,"",(E41-H41)/ABS(H41))</f>
        <v>0.29791505519535111</v>
      </c>
      <c r="K41" s="32">
        <f>'VZLA BFS'!K33/'VENEZUELA USD'!$AH$3</f>
        <v>0</v>
      </c>
      <c r="L41" s="34">
        <f>IF($K$20&lt;=0," ",K41/$K$20)</f>
        <v>0</v>
      </c>
      <c r="M41" s="32">
        <f>'VZLA BFS'!M41/'VENEZUELA USD'!$AH$3</f>
        <v>4492.7310924369849</v>
      </c>
      <c r="N41" s="34">
        <f>+M41/$M$20</f>
        <v>0.12549408802366874</v>
      </c>
      <c r="O41" s="34" t="str">
        <f>IF(K41=0,"",(M41-K41)/ABS(K41)+1)</f>
        <v/>
      </c>
      <c r="P41" s="63">
        <f>+'VZLA BFS'!P41/'VENEZUELA USD'!$AH$4</f>
        <v>17998.177555110226</v>
      </c>
      <c r="Q41" s="34">
        <f>IF($P$20&lt;=0," ",P41/$P$20)</f>
        <v>0.42569169296518333</v>
      </c>
      <c r="R41" s="34">
        <f>IF(M41=0,"",(M41-P41)/ABS(P41))</f>
        <v>-0.75037855479087867</v>
      </c>
      <c r="AL41" s="106" t="s">
        <v>13</v>
      </c>
      <c r="AM41" s="107">
        <v>4139112</v>
      </c>
      <c r="AN41" s="108"/>
      <c r="AO41" s="108"/>
      <c r="AP41" s="108"/>
      <c r="AQ41" s="108"/>
      <c r="AT41" s="106" t="s">
        <v>13</v>
      </c>
      <c r="AU41" s="107">
        <v>5.91</v>
      </c>
      <c r="AV41" s="108"/>
      <c r="AW41" s="108"/>
      <c r="AX41" s="108"/>
      <c r="AY41" s="108"/>
    </row>
    <row r="42" spans="2:51" ht="15" x14ac:dyDescent="0.25">
      <c r="B42" s="3" t="s">
        <v>44</v>
      </c>
      <c r="C42" s="32">
        <f>'VZLA BFS'!C34/'VENEZUELA USD'!$AH$3</f>
        <v>9365.8594991186183</v>
      </c>
      <c r="D42" s="34" t="str">
        <f>IF(DD43&lt;=0," ",C42/$C$20)</f>
        <v xml:space="preserve"> </v>
      </c>
      <c r="E42" s="32">
        <f>'VZLA BFS'!E42/'VENEZUELA USD'!$AH$3</f>
        <v>0</v>
      </c>
      <c r="F42" s="34">
        <f>+E42/$E$20</f>
        <v>0</v>
      </c>
      <c r="G42" s="34">
        <f>IF(C42=0,"",(E42-C42)/ABS(C42)+1)</f>
        <v>0</v>
      </c>
      <c r="H42" s="63">
        <f>+'VZLA BFS'!H42/'VENEZUELA USD'!$AH$4</f>
        <v>0</v>
      </c>
      <c r="I42" s="34">
        <f>IF($H$20&lt;=0," ",H42/$H$20)</f>
        <v>0</v>
      </c>
      <c r="J42" s="34" t="str">
        <f>IF(E42=0,"",(E42-H42)/ABS(H42))</f>
        <v/>
      </c>
      <c r="K42" s="32">
        <f>'VZLA BFS'!K34/'VENEZUELA USD'!$AH$3</f>
        <v>41943.559370101568</v>
      </c>
      <c r="L42" s="34">
        <f>IF($K$20&lt;=0," ",K42/$K$20)</f>
        <v>0.97859616156338913</v>
      </c>
      <c r="M42" s="32">
        <f>'VZLA BFS'!M42/'VENEZUELA USD'!$AH$3</f>
        <v>0</v>
      </c>
      <c r="N42" s="34">
        <f>+M42/$M$20</f>
        <v>0</v>
      </c>
      <c r="O42" s="34">
        <f>IF(K42=0,"",(M42-K42)/ABS(K42)+1)</f>
        <v>0</v>
      </c>
      <c r="P42" s="63">
        <f>+'VZLA BFS'!P42/'VENEZUELA USD'!$AH$4</f>
        <v>0</v>
      </c>
      <c r="Q42" s="34">
        <f>IF($P$20&lt;=0," ",P42/$P$20)</f>
        <v>0</v>
      </c>
      <c r="R42" s="34" t="str">
        <f>IF(M42=0,"",(M42-P42)/ABS(P42))</f>
        <v/>
      </c>
      <c r="AL42" s="106" t="s">
        <v>14</v>
      </c>
      <c r="AM42" s="107">
        <v>4148043</v>
      </c>
      <c r="AN42" s="108"/>
      <c r="AO42" s="108"/>
      <c r="AP42" s="108"/>
      <c r="AQ42" s="108"/>
      <c r="AT42" s="106" t="s">
        <v>14</v>
      </c>
      <c r="AU42" s="107">
        <v>8.39</v>
      </c>
      <c r="AV42" s="108"/>
      <c r="AW42" s="108"/>
      <c r="AX42" s="108"/>
      <c r="AY42" s="108"/>
    </row>
    <row r="43" spans="2:51" ht="15" x14ac:dyDescent="0.25">
      <c r="B43" s="3" t="s">
        <v>59</v>
      </c>
      <c r="C43" s="32">
        <f>'VZLA BFS'!C35/'VENEZUELA USD'!$AH$3</f>
        <v>0</v>
      </c>
      <c r="D43" s="34" t="str">
        <f>IF(DD44&lt;=0," ",C43/$C$20)</f>
        <v xml:space="preserve"> </v>
      </c>
      <c r="E43" s="32">
        <f>'VZLA BFS'!E43/'VENEZUELA USD'!$AH$3</f>
        <v>3672.1361838853195</v>
      </c>
      <c r="F43" s="34">
        <f>+E43/$E$20</f>
        <v>0.38527070199543628</v>
      </c>
      <c r="G43" s="34" t="str">
        <f>IF(C43=0,"",(E43-C43)/ABS(C43)+1)</f>
        <v/>
      </c>
      <c r="H43" s="63">
        <f>+'VZLA BFS'!H43/'VENEZUELA USD'!$AH$4</f>
        <v>2829.2577154308615</v>
      </c>
      <c r="I43" s="34">
        <f>IF($H$20&lt;=0," ",H43/$H$20)</f>
        <v>0.39884751736984531</v>
      </c>
      <c r="J43" s="34">
        <f>IF(E43=0,"",(E43-H43)/ABS(H43))</f>
        <v>0.29791505519535111</v>
      </c>
      <c r="K43" s="32">
        <f>'VZLA BFS'!K35/'VENEZUELA USD'!$AH$3</f>
        <v>0</v>
      </c>
      <c r="L43" s="34">
        <f>IF($K$20&lt;=0," ",K43/$K$20)</f>
        <v>0</v>
      </c>
      <c r="M43" s="32">
        <f>'VZLA BFS'!M43/'VENEZUELA USD'!$AH$3</f>
        <v>4492.7310924369849</v>
      </c>
      <c r="N43" s="34">
        <f>+M43/$M$20</f>
        <v>0.12549408802366874</v>
      </c>
      <c r="O43" s="34" t="str">
        <f>IF(K43=0,"",(M43-K43)/ABS(K43)+1)</f>
        <v/>
      </c>
      <c r="P43" s="63">
        <f>+'VZLA BFS'!P43/'VENEZUELA USD'!$AH$4</f>
        <v>17998.177555110226</v>
      </c>
      <c r="Q43" s="34">
        <f>IF($P$20&lt;=0," ",P43/$P$20)</f>
        <v>0.42569169296518333</v>
      </c>
      <c r="R43" s="34">
        <f>IF(M43=0,"",(M43-P43)/ABS(P43))</f>
        <v>-0.75037855479087867</v>
      </c>
      <c r="AL43" s="106" t="s">
        <v>15</v>
      </c>
      <c r="AM43" s="107">
        <v>4549688</v>
      </c>
      <c r="AN43" s="108"/>
      <c r="AO43" s="108"/>
      <c r="AP43" s="108"/>
      <c r="AQ43" s="108"/>
      <c r="AT43" s="106" t="s">
        <v>15</v>
      </c>
      <c r="AU43" s="107">
        <v>8.3699999999999992</v>
      </c>
      <c r="AV43" s="108"/>
      <c r="AW43" s="108"/>
      <c r="AX43" s="108"/>
      <c r="AY43" s="108"/>
    </row>
    <row r="44" spans="2:51" ht="15" x14ac:dyDescent="0.25">
      <c r="E44" s="32">
        <f>'VZLA BFS'!E44/'VENEZUELA USD'!$AH$3</f>
        <v>0</v>
      </c>
      <c r="H44" s="63">
        <f>+'VZLA BFS'!H44/'VENEZUELA USD'!$AH$4</f>
        <v>0</v>
      </c>
      <c r="M44" s="32">
        <f>'VZLA BFS'!M44/'VENEZUELA USD'!$AH$3</f>
        <v>0</v>
      </c>
      <c r="P44" s="63">
        <f>+'VZLA BFS'!P44/'VENEZUELA USD'!$AH$4</f>
        <v>0</v>
      </c>
      <c r="AL44" s="106" t="s">
        <v>16</v>
      </c>
      <c r="AM44" s="107">
        <v>4.5599999999999996</v>
      </c>
      <c r="AN44" s="108"/>
      <c r="AO44" s="108"/>
      <c r="AP44" s="108"/>
      <c r="AQ44" s="108"/>
      <c r="AT44" s="106" t="s">
        <v>16</v>
      </c>
      <c r="AU44" s="107">
        <v>9.0500000000000007</v>
      </c>
      <c r="AV44" s="108"/>
      <c r="AW44" s="108"/>
      <c r="AX44" s="108"/>
      <c r="AY44" s="108"/>
    </row>
    <row r="45" spans="2:51" ht="23.25" x14ac:dyDescent="0.25">
      <c r="B45" s="3" t="s">
        <v>60</v>
      </c>
      <c r="C45" s="32">
        <f>'VZLA BFS'!C36/'VENEZUELA USD'!$AH$3</f>
        <v>838.87885184529569</v>
      </c>
      <c r="D45" s="34" t="str">
        <f>IF(DD45&lt;=0," ",C45/$C$20)</f>
        <v xml:space="preserve"> </v>
      </c>
      <c r="E45" s="32">
        <f>'VZLA BFS'!E45/'VENEZUELA USD'!$AH$3</f>
        <v>3683.446119624321</v>
      </c>
      <c r="F45" s="34">
        <f>+E45/$E$20</f>
        <v>0.38645731018845758</v>
      </c>
      <c r="G45" s="34">
        <f>IF(C45=0,"",(E45-C45)/ABS(C45)+1)</f>
        <v>4.3909154599877969</v>
      </c>
      <c r="H45" s="63">
        <f>+'VZLA BFS'!H45/'VENEZUELA USD'!$AH$4</f>
        <v>2829.2577154308615</v>
      </c>
      <c r="I45" s="34">
        <f>IF($H$20&lt;=0," ",H45/$H$20)</f>
        <v>0.39884751736984531</v>
      </c>
      <c r="J45" s="34">
        <f>IF(E45=0,"",(E45-H45)/ABS(H45))</f>
        <v>0.30191254742708268</v>
      </c>
      <c r="K45" s="32">
        <f>'VZLA BFS'!K36/'VENEZUELA USD'!$AH$3</f>
        <v>917.38881008874239</v>
      </c>
      <c r="L45" s="34">
        <f>IF($K$20&lt;=0," ",K45/$K$20)</f>
        <v>2.1403838436610832E-2</v>
      </c>
      <c r="M45" s="32">
        <f>'VZLA BFS'!M45/'VENEZUELA USD'!$AH$3</f>
        <v>4560.7019278299558</v>
      </c>
      <c r="N45" s="34">
        <f>+M45/$M$20</f>
        <v>0.12739269664821048</v>
      </c>
      <c r="O45" s="34">
        <f>IF(K45=0,"",(M45-K45)/ABS(K45)+1)</f>
        <v>4.9713947648748649</v>
      </c>
      <c r="P45" s="63">
        <f>+'VZLA BFS'!P45/'VENEZUELA USD'!$AH$4</f>
        <v>17998.177555110226</v>
      </c>
      <c r="Q45" s="34">
        <f>IF($P$20&lt;=0," ",P45/$P$20)</f>
        <v>0.42569169296518333</v>
      </c>
      <c r="R45" s="34">
        <f>IF(M45=0,"",(M45-P45)/ABS(P45))</f>
        <v>-0.74660201490594613</v>
      </c>
      <c r="AL45" s="106" t="s">
        <v>17</v>
      </c>
      <c r="AM45" s="107">
        <v>4.99</v>
      </c>
      <c r="AN45" s="108"/>
      <c r="AO45" s="108"/>
      <c r="AP45" s="109" t="s">
        <v>126</v>
      </c>
      <c r="AQ45" s="108" t="s">
        <v>127</v>
      </c>
      <c r="AT45" s="106" t="s">
        <v>17</v>
      </c>
      <c r="AU45" s="107">
        <v>13.1</v>
      </c>
      <c r="AV45" s="108"/>
      <c r="AW45" s="108"/>
      <c r="AX45" s="109" t="s">
        <v>126</v>
      </c>
      <c r="AY45" s="108" t="s">
        <v>127</v>
      </c>
    </row>
    <row r="46" spans="2:51" ht="15" x14ac:dyDescent="0.25">
      <c r="B46" s="3" t="s">
        <v>35</v>
      </c>
      <c r="C46" s="32">
        <f>'VZLA BFS'!C37/'VENEZUELA USD'!$AH$3</f>
        <v>0</v>
      </c>
      <c r="D46" s="34" t="str">
        <f>IF(DD46&lt;=0," ",C46/$C$20)</f>
        <v xml:space="preserve"> </v>
      </c>
      <c r="E46" s="32">
        <f>'VZLA BFS'!E46/'VENEZUELA USD'!$AH$3</f>
        <v>2381.1243203163622</v>
      </c>
      <c r="F46" s="34">
        <f>+E46/$E$20</f>
        <v>0.24982119194066918</v>
      </c>
      <c r="G46" s="34" t="str">
        <f>IF(C46=0,"",(E46-C46)/ABS(C46)+1)</f>
        <v/>
      </c>
      <c r="H46" s="63">
        <f>+'VZLA BFS'!H46/'VENEZUELA USD'!$AH$4</f>
        <v>2169.3194388777556</v>
      </c>
      <c r="I46" s="34">
        <f>IF($H$20&lt;=0," ",H46/$H$20)</f>
        <v>0.3058143723915851</v>
      </c>
      <c r="J46" s="34">
        <f>IF(E46=0,"",(E46-H46)/ABS(H46))</f>
        <v>9.7636557181352071E-2</v>
      </c>
      <c r="K46" s="32">
        <f>'VZLA BFS'!K37/'VENEZUELA USD'!$AH$3</f>
        <v>0</v>
      </c>
      <c r="L46" s="34">
        <f>IF($K$20&lt;=0," ",K46/$K$20)</f>
        <v>0</v>
      </c>
      <c r="M46" s="32">
        <f>'VZLA BFS'!M46/'VENEZUELA USD'!$AH$3</f>
        <v>12065.416707859613</v>
      </c>
      <c r="N46" s="34">
        <f>+M46/$M$20</f>
        <v>0.33701960683274856</v>
      </c>
      <c r="O46" s="34" t="str">
        <f>IF(K46=0,"",(M46-K46)/ABS(K46)+1)</f>
        <v/>
      </c>
      <c r="P46" s="63">
        <f>+'VZLA BFS'!P46/'VENEZUELA USD'!$AH$4</f>
        <v>12614.893787575149</v>
      </c>
      <c r="Q46" s="34">
        <f>IF($P$20&lt;=0," ",P46/$P$20)</f>
        <v>0.29836662498554573</v>
      </c>
      <c r="R46" s="34">
        <f>IF(M46=0,"",(M46-P46)/ABS(P46))</f>
        <v>-4.3557804684549568E-2</v>
      </c>
      <c r="AL46" s="106" t="s">
        <v>18</v>
      </c>
      <c r="AM46" s="107">
        <v>4.6900000000000004</v>
      </c>
      <c r="AN46" s="110">
        <f>1/AM46</f>
        <v>0.21321961620469082</v>
      </c>
      <c r="AO46" s="108" t="s">
        <v>128</v>
      </c>
      <c r="AP46" s="108">
        <v>11272</v>
      </c>
      <c r="AQ46" s="111">
        <f>+AP46*AN46</f>
        <v>2403.4115138592751</v>
      </c>
      <c r="AT46" s="106" t="s">
        <v>18</v>
      </c>
      <c r="AU46" s="107">
        <v>18.600000000000001</v>
      </c>
      <c r="AV46" s="110">
        <f>1/AU46</f>
        <v>5.3763440860215048E-2</v>
      </c>
      <c r="AW46" s="108" t="s">
        <v>128</v>
      </c>
      <c r="AX46" s="112">
        <v>11272</v>
      </c>
      <c r="AY46" s="111">
        <f>+AX46*AV46</f>
        <v>606.02150537634407</v>
      </c>
    </row>
    <row r="47" spans="2:51" ht="15" x14ac:dyDescent="0.25">
      <c r="E47" s="53"/>
      <c r="M47" s="53"/>
      <c r="P47" s="63" t="e">
        <f>+'VZLA BFS'!P47/'VENEZUELA USD'!$AH$4</f>
        <v>#VALUE!</v>
      </c>
      <c r="AL47" s="108" t="s">
        <v>129</v>
      </c>
      <c r="AM47" s="113">
        <f>AVERAGE(AM35:AM46)</f>
        <v>2329383.6866666665</v>
      </c>
      <c r="AN47" s="110">
        <f>1/AM47</f>
        <v>4.2929810392507461E-7</v>
      </c>
      <c r="AO47" s="108" t="s">
        <v>130</v>
      </c>
      <c r="AP47" s="114">
        <v>11272</v>
      </c>
      <c r="AQ47" s="115">
        <f>+AP47*AN47</f>
        <v>4.8390482274434411E-3</v>
      </c>
      <c r="AT47" s="108" t="s">
        <v>129</v>
      </c>
      <c r="AU47" s="113">
        <f>AVERAGE(AU35:AU46)</f>
        <v>7.725833333333334</v>
      </c>
      <c r="AV47" s="110">
        <f>1/AU47</f>
        <v>0.12943587531010678</v>
      </c>
      <c r="AW47" s="108" t="s">
        <v>130</v>
      </c>
      <c r="AX47" s="114">
        <v>11272</v>
      </c>
      <c r="AY47" s="115">
        <f>+AX47*AV47</f>
        <v>1459.0011864955236</v>
      </c>
    </row>
    <row r="51" spans="35:43" x14ac:dyDescent="0.2">
      <c r="AL51" s="79" t="s">
        <v>131</v>
      </c>
    </row>
    <row r="52" spans="35:43" ht="15" x14ac:dyDescent="0.25">
      <c r="AL52" s="106" t="s">
        <v>6</v>
      </c>
      <c r="AM52" s="107">
        <v>23.11</v>
      </c>
      <c r="AN52" s="108"/>
      <c r="AO52" s="108"/>
      <c r="AP52" s="108"/>
      <c r="AQ52" s="108"/>
    </row>
    <row r="53" spans="35:43" ht="15" x14ac:dyDescent="0.25">
      <c r="AL53" s="106" t="s">
        <v>9</v>
      </c>
      <c r="AM53" s="107">
        <v>25.1</v>
      </c>
      <c r="AN53" s="108"/>
      <c r="AO53" s="108"/>
      <c r="AP53" s="108"/>
      <c r="AQ53" s="108"/>
    </row>
    <row r="54" spans="35:43" ht="15" x14ac:dyDescent="0.25">
      <c r="AL54" s="106" t="s">
        <v>10</v>
      </c>
      <c r="AM54" s="107">
        <v>24.95</v>
      </c>
      <c r="AN54" s="108"/>
      <c r="AO54" s="108"/>
      <c r="AP54" s="108"/>
      <c r="AQ54" s="108"/>
    </row>
    <row r="55" spans="35:43" ht="15" x14ac:dyDescent="0.25">
      <c r="AI55" s="2">
        <f>1/36.48</f>
        <v>2.7412280701754388E-2</v>
      </c>
      <c r="AL55" s="106" t="s">
        <v>11</v>
      </c>
      <c r="AM55" s="107">
        <v>28.23</v>
      </c>
      <c r="AN55" s="108"/>
      <c r="AO55" s="108"/>
      <c r="AP55" s="108"/>
      <c r="AQ55" s="108"/>
    </row>
    <row r="56" spans="35:43" ht="15" x14ac:dyDescent="0.25">
      <c r="AL56" s="106" t="s">
        <v>12</v>
      </c>
      <c r="AM56" s="107">
        <v>28.23</v>
      </c>
      <c r="AN56" s="108"/>
      <c r="AO56" s="108"/>
      <c r="AP56" s="108"/>
      <c r="AQ56" s="108"/>
    </row>
    <row r="57" spans="35:43" ht="15" x14ac:dyDescent="0.25">
      <c r="AL57" s="106" t="s">
        <v>7</v>
      </c>
      <c r="AM57" s="107">
        <v>28.35</v>
      </c>
      <c r="AN57" s="108"/>
      <c r="AO57" s="108"/>
      <c r="AP57" s="108"/>
      <c r="AQ57" s="108"/>
    </row>
    <row r="58" spans="35:43" ht="15" x14ac:dyDescent="0.25">
      <c r="AL58" s="106" t="s">
        <v>13</v>
      </c>
      <c r="AM58" s="107">
        <v>33.93</v>
      </c>
      <c r="AN58" s="108"/>
      <c r="AO58" s="108"/>
      <c r="AP58" s="108"/>
      <c r="AQ58" s="108"/>
    </row>
    <row r="59" spans="35:43" ht="15" x14ac:dyDescent="0.25">
      <c r="AL59" s="106" t="s">
        <v>14</v>
      </c>
      <c r="AM59" s="107">
        <v>34.659999999999997</v>
      </c>
      <c r="AN59" s="108"/>
      <c r="AO59" s="108"/>
      <c r="AP59" s="108"/>
      <c r="AQ59" s="108"/>
    </row>
    <row r="60" spans="35:43" ht="15" x14ac:dyDescent="0.25">
      <c r="AL60" s="106" t="s">
        <v>15</v>
      </c>
      <c r="AM60" s="107">
        <v>35.74</v>
      </c>
      <c r="AN60" s="108"/>
      <c r="AO60" s="108"/>
      <c r="AP60" s="108"/>
      <c r="AQ60" s="108"/>
    </row>
    <row r="61" spans="35:43" ht="15" x14ac:dyDescent="0.25">
      <c r="AL61" s="106" t="s">
        <v>16</v>
      </c>
      <c r="AM61" s="107">
        <v>37.29</v>
      </c>
      <c r="AN61" s="108"/>
      <c r="AO61" s="108"/>
      <c r="AP61" s="108"/>
      <c r="AQ61" s="108"/>
    </row>
    <row r="62" spans="35:43" ht="23.25" x14ac:dyDescent="0.25">
      <c r="AL62" s="106" t="s">
        <v>17</v>
      </c>
      <c r="AM62" s="107">
        <v>37.950000000000003</v>
      </c>
      <c r="AN62" s="108"/>
      <c r="AO62" s="108"/>
      <c r="AP62" s="109" t="s">
        <v>126</v>
      </c>
      <c r="AQ62" s="108" t="s">
        <v>127</v>
      </c>
    </row>
    <row r="63" spans="35:43" ht="15" x14ac:dyDescent="0.25">
      <c r="AL63" s="106" t="s">
        <v>18</v>
      </c>
      <c r="AM63" s="107">
        <v>39.08</v>
      </c>
      <c r="AN63" s="110">
        <f>1/AM63</f>
        <v>2.5588536335721598E-2</v>
      </c>
      <c r="AO63" s="108" t="s">
        <v>128</v>
      </c>
      <c r="AP63" s="112">
        <v>394358</v>
      </c>
      <c r="AQ63" s="111">
        <f>+AP63*AN63</f>
        <v>10091.044012282498</v>
      </c>
    </row>
    <row r="64" spans="35:43" ht="15" x14ac:dyDescent="0.25">
      <c r="AL64" s="108" t="s">
        <v>129</v>
      </c>
      <c r="AM64" s="113">
        <f>AVERAGE(AM52:AM63)</f>
        <v>31.385000000000002</v>
      </c>
      <c r="AN64" s="110">
        <f>1/AM64</f>
        <v>3.186235462800701E-2</v>
      </c>
      <c r="AO64" s="108" t="s">
        <v>130</v>
      </c>
      <c r="AP64" s="112">
        <v>394358</v>
      </c>
      <c r="AQ64" s="115">
        <f>+AP64*AN64</f>
        <v>12565.174446391589</v>
      </c>
    </row>
    <row r="69" spans="38:43" x14ac:dyDescent="0.2">
      <c r="AL69" s="79" t="s">
        <v>132</v>
      </c>
    </row>
    <row r="70" spans="38:43" ht="15" x14ac:dyDescent="0.25">
      <c r="AL70" s="106" t="s">
        <v>6</v>
      </c>
      <c r="AM70" s="107">
        <v>38.53</v>
      </c>
      <c r="AN70" s="108"/>
      <c r="AO70" s="108"/>
      <c r="AP70" s="108"/>
      <c r="AQ70" s="108"/>
    </row>
    <row r="71" spans="38:43" ht="15" x14ac:dyDescent="0.25">
      <c r="AL71" s="106" t="s">
        <v>9</v>
      </c>
      <c r="AM71" s="107">
        <v>38.92</v>
      </c>
      <c r="AN71" s="108"/>
      <c r="AO71" s="108"/>
      <c r="AP71" s="108"/>
      <c r="AQ71" s="108"/>
    </row>
    <row r="72" spans="38:43" ht="15" x14ac:dyDescent="0.25">
      <c r="AL72" s="106" t="s">
        <v>10</v>
      </c>
      <c r="AM72" s="107">
        <v>39.119999999999997</v>
      </c>
      <c r="AN72" s="108"/>
      <c r="AO72" s="108"/>
      <c r="AP72" s="108"/>
      <c r="AQ72" s="108"/>
    </row>
    <row r="73" spans="38:43" ht="15" x14ac:dyDescent="0.25">
      <c r="AL73" s="106" t="s">
        <v>11</v>
      </c>
      <c r="AM73" s="107">
        <v>40.86</v>
      </c>
      <c r="AN73" s="108"/>
      <c r="AO73" s="108"/>
      <c r="AP73" s="108"/>
      <c r="AQ73" s="108"/>
    </row>
    <row r="74" spans="38:43" ht="15" x14ac:dyDescent="0.25">
      <c r="AL74" s="106" t="s">
        <v>12</v>
      </c>
      <c r="AM74" s="107">
        <v>36.46</v>
      </c>
      <c r="AN74" s="108"/>
      <c r="AO74" s="108"/>
      <c r="AP74" s="108"/>
      <c r="AQ74" s="108"/>
    </row>
    <row r="75" spans="38:43" ht="15" x14ac:dyDescent="0.25">
      <c r="AL75" s="106" t="s">
        <v>7</v>
      </c>
      <c r="AM75" s="107">
        <v>40.46</v>
      </c>
      <c r="AN75" s="108"/>
      <c r="AO75" s="108"/>
      <c r="AP75" s="108"/>
      <c r="AQ75" s="108"/>
    </row>
    <row r="76" spans="38:43" ht="15" x14ac:dyDescent="0.25">
      <c r="AL76" s="106" t="s">
        <v>13</v>
      </c>
      <c r="AM76" s="107"/>
      <c r="AN76" s="108"/>
      <c r="AO76" s="108"/>
      <c r="AP76" s="108"/>
      <c r="AQ76" s="108"/>
    </row>
    <row r="77" spans="38:43" ht="15" x14ac:dyDescent="0.25">
      <c r="AL77" s="106" t="s">
        <v>14</v>
      </c>
      <c r="AM77" s="107"/>
      <c r="AN77" s="108"/>
      <c r="AO77" s="108"/>
      <c r="AP77" s="108"/>
      <c r="AQ77" s="108"/>
    </row>
    <row r="78" spans="38:43" ht="15" x14ac:dyDescent="0.25">
      <c r="AL78" s="106" t="s">
        <v>15</v>
      </c>
      <c r="AM78" s="107"/>
      <c r="AN78" s="108"/>
      <c r="AO78" s="108"/>
      <c r="AP78" s="108"/>
      <c r="AQ78" s="108"/>
    </row>
    <row r="79" spans="38:43" ht="15" x14ac:dyDescent="0.25">
      <c r="AL79" s="106" t="s">
        <v>16</v>
      </c>
      <c r="AM79" s="107"/>
      <c r="AN79" s="108"/>
      <c r="AO79" s="108"/>
      <c r="AP79" s="108"/>
      <c r="AQ79" s="108"/>
    </row>
    <row r="80" spans="38:43" ht="23.25" x14ac:dyDescent="0.25">
      <c r="AL80" s="106" t="s">
        <v>17</v>
      </c>
      <c r="AM80" s="107"/>
      <c r="AN80" s="108"/>
      <c r="AO80" s="108"/>
      <c r="AP80" s="109" t="s">
        <v>126</v>
      </c>
      <c r="AQ80" s="108" t="s">
        <v>127</v>
      </c>
    </row>
    <row r="81" spans="38:43" ht="15" x14ac:dyDescent="0.25">
      <c r="AL81" s="106" t="s">
        <v>18</v>
      </c>
      <c r="AM81" s="107"/>
      <c r="AN81" s="110" t="e">
        <f>1/AM81</f>
        <v>#DIV/0!</v>
      </c>
      <c r="AO81" s="108" t="s">
        <v>128</v>
      </c>
      <c r="AP81" s="112"/>
      <c r="AQ81" s="111" t="e">
        <f>+AP81*AN81</f>
        <v>#DIV/0!</v>
      </c>
    </row>
    <row r="82" spans="38:43" ht="15" x14ac:dyDescent="0.25">
      <c r="AL82" s="108" t="s">
        <v>129</v>
      </c>
      <c r="AM82" s="113">
        <f>AVERAGE(AM70:AM81)</f>
        <v>39.058333333333337</v>
      </c>
      <c r="AN82" s="110">
        <f>1/AM82</f>
        <v>2.5602730957968847E-2</v>
      </c>
      <c r="AO82" s="108" t="s">
        <v>130</v>
      </c>
      <c r="AP82" s="112"/>
      <c r="AQ82" s="115">
        <f>+AP82*AN82</f>
        <v>0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E04202-338C-40B9-AAF6-1B2F8A6F4489}">
  <sheetPr>
    <tabColor theme="2" tint="-0.249977111117893"/>
  </sheetPr>
  <dimension ref="A1:AH48"/>
  <sheetViews>
    <sheetView showGridLines="0" topLeftCell="Y1" zoomScale="93" zoomScaleNormal="93" workbookViewId="0">
      <selection activeCell="Y12" sqref="Y12"/>
    </sheetView>
  </sheetViews>
  <sheetFormatPr baseColWidth="10" defaultRowHeight="14.25" customHeight="1" x14ac:dyDescent="0.2"/>
  <cols>
    <col min="1" max="1" width="5.85546875" style="2" customWidth="1"/>
    <col min="2" max="2" width="25.7109375" style="2" customWidth="1"/>
    <col min="3" max="3" width="11.140625" style="2" customWidth="1"/>
    <col min="4" max="4" width="7.5703125" style="2" customWidth="1"/>
    <col min="5" max="5" width="10.85546875" style="2" customWidth="1"/>
    <col min="6" max="7" width="5.85546875" style="2" customWidth="1"/>
    <col min="8" max="8" width="10" style="2" customWidth="1"/>
    <col min="9" max="9" width="7.85546875" style="2" customWidth="1"/>
    <col min="10" max="10" width="6.5703125" style="2" customWidth="1"/>
    <col min="11" max="11" width="10.42578125" style="2" customWidth="1"/>
    <col min="12" max="12" width="7.28515625" style="2" customWidth="1"/>
    <col min="13" max="13" width="9.28515625" style="2" customWidth="1"/>
    <col min="14" max="14" width="5.7109375" style="2" bestFit="1" customWidth="1"/>
    <col min="15" max="15" width="7.85546875" style="2" customWidth="1"/>
    <col min="16" max="16" width="9.42578125" style="2" customWidth="1"/>
    <col min="17" max="17" width="8.28515625" style="2" customWidth="1"/>
    <col min="18" max="18" width="6.85546875" style="2" customWidth="1"/>
    <col min="19" max="19" width="8.7109375" style="2" customWidth="1"/>
    <col min="20" max="20" width="28" style="2" customWidth="1"/>
    <col min="21" max="26" width="9.7109375" style="2" customWidth="1"/>
    <col min="27" max="27" width="6.5703125" style="2" customWidth="1"/>
    <col min="28" max="28" width="9.28515625" style="2" bestFit="1" customWidth="1"/>
    <col min="29" max="29" width="6.42578125" style="2" customWidth="1"/>
    <col min="30" max="16384" width="11.42578125" style="2"/>
  </cols>
  <sheetData>
    <row r="1" spans="1:34" s="54" customFormat="1" ht="14.25" customHeight="1" x14ac:dyDescent="0.2"/>
    <row r="3" spans="1:34" ht="14.25" customHeight="1" x14ac:dyDescent="0.25">
      <c r="B3" s="16" t="s">
        <v>133</v>
      </c>
      <c r="T3" s="18" t="s">
        <v>133</v>
      </c>
    </row>
    <row r="4" spans="1:34" ht="14.25" customHeight="1" x14ac:dyDescent="0.2">
      <c r="A4" s="78" t="str">
        <f>+Paramet!A3</f>
        <v>202301</v>
      </c>
      <c r="B4" s="2" t="s">
        <v>20</v>
      </c>
      <c r="K4" s="116"/>
      <c r="L4" s="116"/>
      <c r="M4" s="116"/>
      <c r="N4" s="116"/>
      <c r="O4" s="116"/>
      <c r="P4" s="116"/>
      <c r="Q4" s="116"/>
      <c r="R4" s="116"/>
      <c r="S4" s="116"/>
      <c r="T4" s="3" t="s">
        <v>21</v>
      </c>
    </row>
    <row r="5" spans="1:34" ht="14.25" customHeight="1" x14ac:dyDescent="0.2">
      <c r="A5" s="78" t="str">
        <f>+Paramet!A4</f>
        <v>202306</v>
      </c>
      <c r="B5" s="3" t="s">
        <v>134</v>
      </c>
      <c r="K5" s="13"/>
      <c r="L5" s="13"/>
      <c r="M5" s="23"/>
      <c r="N5" s="23"/>
      <c r="O5" s="10"/>
      <c r="P5" s="13"/>
      <c r="Q5" s="13"/>
      <c r="R5" s="10"/>
      <c r="S5" s="10"/>
      <c r="T5" s="3" t="s">
        <v>134</v>
      </c>
    </row>
    <row r="6" spans="1:34" ht="14.25" customHeight="1" thickBot="1" x14ac:dyDescent="0.25">
      <c r="A6" s="78" t="str">
        <f>+Paramet!B3</f>
        <v>202401</v>
      </c>
      <c r="B6" s="20" t="str">
        <f>+'COLOMB$ '!B6</f>
        <v>JUNIO de 2024</v>
      </c>
      <c r="K6" s="21" t="s">
        <v>23</v>
      </c>
      <c r="L6" s="21"/>
      <c r="M6" s="21"/>
      <c r="N6" s="21"/>
      <c r="O6" s="21"/>
      <c r="P6" s="21"/>
      <c r="Q6" s="21"/>
      <c r="R6" s="21"/>
      <c r="S6" s="15"/>
      <c r="T6" s="20" t="str">
        <f>+B6</f>
        <v>JUNIO de 2024</v>
      </c>
      <c r="X6" s="21" t="s">
        <v>23</v>
      </c>
      <c r="Y6" s="21"/>
      <c r="Z6" s="21"/>
      <c r="AA6" s="21"/>
      <c r="AB6" s="21"/>
      <c r="AC6" s="21"/>
    </row>
    <row r="7" spans="1:34" ht="14.25" customHeight="1" x14ac:dyDescent="0.2">
      <c r="A7" s="78" t="str">
        <f>+Paramet!B4</f>
        <v>202406</v>
      </c>
      <c r="B7" s="61"/>
      <c r="C7" s="61" t="str">
        <f>+'COLOMB$ '!D7:D7</f>
        <v>Ppto 2024</v>
      </c>
      <c r="D7" s="61"/>
      <c r="E7" s="61" t="str">
        <f>+'COLOMB$ '!F7:F7</f>
        <v>Real 2024</v>
      </c>
      <c r="F7" s="61"/>
      <c r="G7" s="61" t="s">
        <v>24</v>
      </c>
      <c r="H7" s="61" t="str">
        <f>+'COLOMB$ '!I7:I7</f>
        <v>Real 2023</v>
      </c>
      <c r="I7" s="61"/>
      <c r="J7" s="61" t="s">
        <v>25</v>
      </c>
      <c r="K7" s="61" t="str">
        <f>+C7</f>
        <v>Ppto 2024</v>
      </c>
      <c r="L7" s="61"/>
      <c r="M7" s="61" t="str">
        <f>+E7</f>
        <v>Real 2024</v>
      </c>
      <c r="N7" s="61"/>
      <c r="O7" s="61" t="s">
        <v>24</v>
      </c>
      <c r="P7" s="61" t="str">
        <f>+H7</f>
        <v>Real 2023</v>
      </c>
      <c r="Q7" s="61"/>
      <c r="R7" s="61" t="s">
        <v>25</v>
      </c>
      <c r="T7" s="54"/>
      <c r="U7" s="54" t="str">
        <f>+C7</f>
        <v>Ppto 2024</v>
      </c>
      <c r="V7" s="54" t="str">
        <f>+M7</f>
        <v>Real 2024</v>
      </c>
      <c r="W7" s="54" t="str">
        <f>+H7</f>
        <v>Real 2023</v>
      </c>
      <c r="X7" s="117" t="str">
        <f>+K7</f>
        <v>Ppto 2024</v>
      </c>
      <c r="Y7" s="54" t="str">
        <f>+V7</f>
        <v>Real 2024</v>
      </c>
      <c r="Z7" s="54" t="s">
        <v>26</v>
      </c>
      <c r="AA7" s="54" t="s">
        <v>24</v>
      </c>
      <c r="AB7" s="54" t="str">
        <f>+W7</f>
        <v>Real 2023</v>
      </c>
      <c r="AC7" s="54" t="s">
        <v>25</v>
      </c>
    </row>
    <row r="8" spans="1:34" ht="14.25" customHeight="1" thickBot="1" x14ac:dyDescent="0.25">
      <c r="B8" s="26" t="s">
        <v>27</v>
      </c>
      <c r="C8" s="27" t="s">
        <v>28</v>
      </c>
      <c r="D8" s="27" t="s">
        <v>29</v>
      </c>
      <c r="E8" s="27" t="s">
        <v>28</v>
      </c>
      <c r="F8" s="27" t="s">
        <v>29</v>
      </c>
      <c r="G8" s="27" t="s">
        <v>30</v>
      </c>
      <c r="H8" s="27" t="s">
        <v>28</v>
      </c>
      <c r="I8" s="27" t="s">
        <v>29</v>
      </c>
      <c r="J8" s="27" t="s">
        <v>30</v>
      </c>
      <c r="K8" s="27" t="s">
        <v>28</v>
      </c>
      <c r="L8" s="27" t="s">
        <v>29</v>
      </c>
      <c r="M8" s="27" t="s">
        <v>28</v>
      </c>
      <c r="N8" s="27" t="s">
        <v>29</v>
      </c>
      <c r="O8" s="27" t="s">
        <v>30</v>
      </c>
      <c r="P8" s="27" t="s">
        <v>28</v>
      </c>
      <c r="Q8" s="27" t="s">
        <v>29</v>
      </c>
      <c r="R8" s="27" t="s">
        <v>30</v>
      </c>
      <c r="T8" s="29"/>
      <c r="U8" s="30"/>
      <c r="V8" s="30"/>
      <c r="W8" s="30"/>
      <c r="X8" s="30"/>
      <c r="Y8" s="30"/>
      <c r="Z8" s="30"/>
      <c r="AA8" s="30" t="s">
        <v>30</v>
      </c>
      <c r="AB8" s="30"/>
      <c r="AC8" s="30" t="s">
        <v>30</v>
      </c>
    </row>
    <row r="9" spans="1:34" ht="14.25" customHeight="1" x14ac:dyDescent="0.2">
      <c r="T9" s="3"/>
    </row>
    <row r="10" spans="1:34" ht="14.25" customHeight="1" x14ac:dyDescent="0.2">
      <c r="B10" s="3" t="s">
        <v>65</v>
      </c>
      <c r="C10" s="32">
        <f>+E10</f>
        <v>0</v>
      </c>
      <c r="D10" s="34" t="str">
        <f>IF($C$20&lt;=0," ",C10/$C$20)</f>
        <v xml:space="preserve"> </v>
      </c>
      <c r="E10" s="32">
        <v>0</v>
      </c>
      <c r="F10" s="34" t="str">
        <f>IF($E$20&lt;=0," ",E10/$E$20)</f>
        <v xml:space="preserve"> </v>
      </c>
      <c r="G10" s="34" t="str">
        <f>IF(C10=0,"",(E10-C10)/ABS(C10)+1)</f>
        <v/>
      </c>
      <c r="H10" s="32">
        <v>0</v>
      </c>
      <c r="I10" s="34" t="str">
        <f>IF(E10=0,"",(G10-E10)/ABS(E10)+1)</f>
        <v/>
      </c>
      <c r="J10" s="34" t="str">
        <f>IF($H$20&lt;=0," ",I10/$H$20)</f>
        <v xml:space="preserve"> </v>
      </c>
      <c r="K10" s="32">
        <f t="shared" ref="K10:K15" si="0">+M10</f>
        <v>0</v>
      </c>
      <c r="L10" s="34" t="str">
        <f>IF($K$20&lt;=0," ",K10/$K$20)</f>
        <v xml:space="preserve"> </v>
      </c>
      <c r="M10" s="32">
        <v>0</v>
      </c>
      <c r="N10" s="34" t="str">
        <f>IF($M$20&lt;=0," ",M10/$M$20)</f>
        <v xml:space="preserve"> </v>
      </c>
      <c r="O10" s="34" t="str">
        <f t="shared" ref="O10:O15" si="1">IF(K10=0,"",(M10-K10)/ABS(K10)+1)</f>
        <v/>
      </c>
      <c r="P10" s="32">
        <v>0</v>
      </c>
      <c r="Q10" s="34" t="e">
        <f t="shared" ref="Q10:Q15" si="2">+P10/$P$20</f>
        <v>#DIV/0!</v>
      </c>
      <c r="R10" s="34" t="str">
        <f>IF(P10=0,"",(M10-P10)/ABS(P10))</f>
        <v/>
      </c>
      <c r="T10" s="3" t="s">
        <v>31</v>
      </c>
      <c r="U10" s="32">
        <f>+V10</f>
        <v>0</v>
      </c>
      <c r="V10" s="32">
        <v>0</v>
      </c>
      <c r="W10" s="32">
        <v>8811.7900000000009</v>
      </c>
      <c r="X10" s="32">
        <f>+Y10</f>
        <v>0</v>
      </c>
      <c r="Y10" s="32">
        <v>0</v>
      </c>
      <c r="Z10" s="63">
        <f>+Y10-X10</f>
        <v>0</v>
      </c>
      <c r="AA10" s="68" t="str">
        <f>IF(X10=0,"",(Y10-X10)/ABS(X10)+1)</f>
        <v/>
      </c>
      <c r="AB10" s="32">
        <v>9874.7900000000009</v>
      </c>
      <c r="AC10" s="68">
        <f>IF(W10=0,"",(Y10-AB10)/ABS(AB10))</f>
        <v>-1</v>
      </c>
      <c r="AE10" s="32"/>
      <c r="AF10" s="32"/>
    </row>
    <row r="11" spans="1:34" ht="14.25" customHeight="1" x14ac:dyDescent="0.2">
      <c r="B11" s="3" t="s">
        <v>67</v>
      </c>
      <c r="C11" s="32">
        <v>0</v>
      </c>
      <c r="D11" s="34" t="str">
        <f t="shared" ref="D11:D20" si="3">IF($C$20&lt;=0," ",C11/$C$20)</f>
        <v xml:space="preserve"> </v>
      </c>
      <c r="E11" s="32">
        <v>0</v>
      </c>
      <c r="F11" s="34" t="str">
        <f t="shared" ref="F11:F20" si="4">IF($E$20&lt;=0," ",E11/$E$20)</f>
        <v xml:space="preserve"> </v>
      </c>
      <c r="G11" s="34" t="str">
        <f t="shared" ref="G11:G46" si="5">IF(C11=0,"",(E11-C11)/ABS(C11)+1)</f>
        <v/>
      </c>
      <c r="H11" s="32">
        <v>0</v>
      </c>
      <c r="I11" s="34" t="str">
        <f t="shared" ref="I11:I46" si="6">IF(E11=0,"",(G11-E11)/ABS(E11)+1)</f>
        <v/>
      </c>
      <c r="J11" s="34" t="str">
        <f>IF(H11=0,"",(E11-H11)/ABS(H11))</f>
        <v/>
      </c>
      <c r="K11" s="32">
        <f t="shared" si="0"/>
        <v>0</v>
      </c>
      <c r="L11" s="34" t="str">
        <f t="shared" ref="L11:L20" si="7">IF($K$20&lt;=0," ",K11/$K$20)</f>
        <v xml:space="preserve"> </v>
      </c>
      <c r="M11" s="32">
        <v>0</v>
      </c>
      <c r="N11" s="34" t="str">
        <f t="shared" ref="N11:N24" si="8">IF($M$20&lt;=0," ",M11/$M$20)</f>
        <v xml:space="preserve"> </v>
      </c>
      <c r="O11" s="34" t="str">
        <f t="shared" si="1"/>
        <v/>
      </c>
      <c r="P11" s="32">
        <v>0</v>
      </c>
      <c r="Q11" s="34" t="e">
        <f t="shared" si="2"/>
        <v>#DIV/0!</v>
      </c>
      <c r="R11" s="34" t="str">
        <f t="shared" ref="R11:R46" si="9">IF(P11=0,"",(M11-P11)/ABS(P11))</f>
        <v/>
      </c>
      <c r="T11" s="3" t="s">
        <v>32</v>
      </c>
      <c r="U11" s="32">
        <f>+V11</f>
        <v>0</v>
      </c>
      <c r="V11" s="32">
        <v>0</v>
      </c>
      <c r="W11" s="32">
        <v>0</v>
      </c>
      <c r="X11" s="32">
        <f>+Y11</f>
        <v>0</v>
      </c>
      <c r="Y11" s="32">
        <v>0</v>
      </c>
      <c r="Z11" s="63">
        <f>+Y11-X11</f>
        <v>0</v>
      </c>
      <c r="AA11" s="68" t="str">
        <f>IF(X11=0,"",(Y11-X11)/ABS(X11)+1)</f>
        <v/>
      </c>
      <c r="AB11" s="32">
        <v>47375</v>
      </c>
      <c r="AC11" s="68">
        <f>IF(AB11=0,"",(Y11-AB11)/ABS(AB11))</f>
        <v>-1</v>
      </c>
      <c r="AD11" s="67"/>
      <c r="AE11" s="67"/>
      <c r="AF11" s="67"/>
      <c r="AH11" s="55"/>
    </row>
    <row r="12" spans="1:34" ht="14.25" customHeight="1" x14ac:dyDescent="0.2">
      <c r="B12" s="3" t="s">
        <v>69</v>
      </c>
      <c r="C12" s="32">
        <v>0</v>
      </c>
      <c r="D12" s="34" t="str">
        <f t="shared" si="3"/>
        <v xml:space="preserve"> </v>
      </c>
      <c r="E12" s="32">
        <v>0</v>
      </c>
      <c r="F12" s="34" t="str">
        <f t="shared" si="4"/>
        <v xml:space="preserve"> </v>
      </c>
      <c r="G12" s="34" t="str">
        <f t="shared" si="5"/>
        <v/>
      </c>
      <c r="H12" s="32">
        <v>0</v>
      </c>
      <c r="I12" s="34" t="str">
        <f t="shared" si="6"/>
        <v/>
      </c>
      <c r="J12" s="34" t="str">
        <f>IF(H12=0,"",(E12-H12)/ABS(H12))</f>
        <v/>
      </c>
      <c r="K12" s="32">
        <f t="shared" si="0"/>
        <v>0</v>
      </c>
      <c r="L12" s="34" t="str">
        <f t="shared" si="7"/>
        <v xml:space="preserve"> </v>
      </c>
      <c r="M12" s="32">
        <v>0</v>
      </c>
      <c r="N12" s="34" t="str">
        <f t="shared" si="8"/>
        <v xml:space="preserve"> </v>
      </c>
      <c r="O12" s="34" t="str">
        <f t="shared" si="1"/>
        <v/>
      </c>
      <c r="P12" s="32">
        <v>0</v>
      </c>
      <c r="Q12" s="34" t="e">
        <f t="shared" si="2"/>
        <v>#DIV/0!</v>
      </c>
      <c r="R12" s="34" t="str">
        <f t="shared" si="9"/>
        <v/>
      </c>
      <c r="AE12" s="67"/>
      <c r="AF12" s="67"/>
    </row>
    <row r="13" spans="1:34" ht="14.25" customHeight="1" x14ac:dyDescent="0.2">
      <c r="B13" s="3" t="s">
        <v>71</v>
      </c>
      <c r="C13" s="32">
        <v>0</v>
      </c>
      <c r="D13" s="34" t="str">
        <f t="shared" si="3"/>
        <v xml:space="preserve"> </v>
      </c>
      <c r="E13" s="32">
        <v>0</v>
      </c>
      <c r="F13" s="34" t="str">
        <f t="shared" si="4"/>
        <v xml:space="preserve"> </v>
      </c>
      <c r="G13" s="34" t="str">
        <f t="shared" si="5"/>
        <v/>
      </c>
      <c r="H13" s="32">
        <v>0</v>
      </c>
      <c r="I13" s="34" t="str">
        <f t="shared" si="6"/>
        <v/>
      </c>
      <c r="J13" s="34" t="str">
        <f>IF(H13=0,"",(E13-H13)/ABS(H13))</f>
        <v/>
      </c>
      <c r="K13" s="32">
        <f t="shared" si="0"/>
        <v>0</v>
      </c>
      <c r="L13" s="34" t="str">
        <f t="shared" si="7"/>
        <v xml:space="preserve"> </v>
      </c>
      <c r="M13" s="32">
        <v>0</v>
      </c>
      <c r="N13" s="34" t="str">
        <f t="shared" si="8"/>
        <v xml:space="preserve"> </v>
      </c>
      <c r="O13" s="34" t="str">
        <f t="shared" si="1"/>
        <v/>
      </c>
      <c r="P13" s="32"/>
      <c r="Q13" s="34" t="e">
        <f t="shared" si="2"/>
        <v>#DIV/0!</v>
      </c>
      <c r="R13" s="34" t="str">
        <f t="shared" si="9"/>
        <v/>
      </c>
      <c r="T13" s="3" t="s">
        <v>33</v>
      </c>
      <c r="U13" s="32">
        <v>0</v>
      </c>
      <c r="V13" s="32">
        <v>0</v>
      </c>
      <c r="W13" s="32">
        <v>0</v>
      </c>
      <c r="X13" s="32"/>
      <c r="Y13" s="32"/>
      <c r="Z13" s="63">
        <f>+X13-Y13</f>
        <v>0</v>
      </c>
      <c r="AA13" s="68" t="str">
        <f>IF(X13=0,"",(Y13-X13)/ABS(X13)+1)</f>
        <v/>
      </c>
      <c r="AB13" s="32"/>
      <c r="AC13" s="68" t="str">
        <f>IF(AB13=0,"",(Y13-AB13)/ABS(AB13))</f>
        <v/>
      </c>
      <c r="AE13" s="67"/>
      <c r="AF13" s="67"/>
    </row>
    <row r="14" spans="1:34" ht="14.25" customHeight="1" x14ac:dyDescent="0.2">
      <c r="B14" s="3" t="s">
        <v>72</v>
      </c>
      <c r="C14" s="32">
        <v>0</v>
      </c>
      <c r="D14" s="34" t="str">
        <f t="shared" si="3"/>
        <v xml:space="preserve"> </v>
      </c>
      <c r="E14" s="32">
        <v>0</v>
      </c>
      <c r="F14" s="34" t="str">
        <f t="shared" si="4"/>
        <v xml:space="preserve"> </v>
      </c>
      <c r="G14" s="34" t="str">
        <f t="shared" si="5"/>
        <v/>
      </c>
      <c r="H14" s="32">
        <v>0</v>
      </c>
      <c r="I14" s="34" t="str">
        <f t="shared" si="6"/>
        <v/>
      </c>
      <c r="J14" s="34" t="str">
        <f>IF(H14=0,"",(E14-H14)/ABS(H14))</f>
        <v/>
      </c>
      <c r="K14" s="32">
        <f t="shared" si="0"/>
        <v>0</v>
      </c>
      <c r="L14" s="34" t="str">
        <f t="shared" si="7"/>
        <v xml:space="preserve"> </v>
      </c>
      <c r="M14" s="32">
        <v>0</v>
      </c>
      <c r="N14" s="34" t="str">
        <f t="shared" si="8"/>
        <v xml:space="preserve"> </v>
      </c>
      <c r="O14" s="34" t="str">
        <f t="shared" si="1"/>
        <v/>
      </c>
      <c r="P14" s="32">
        <v>0</v>
      </c>
      <c r="Q14" s="34" t="e">
        <f t="shared" si="2"/>
        <v>#DIV/0!</v>
      </c>
      <c r="R14" s="34" t="str">
        <f t="shared" si="9"/>
        <v/>
      </c>
      <c r="T14" s="3" t="s">
        <v>34</v>
      </c>
      <c r="U14" s="32">
        <v>0</v>
      </c>
      <c r="V14" s="32">
        <v>0</v>
      </c>
      <c r="W14" s="32">
        <v>0</v>
      </c>
      <c r="X14" s="32"/>
      <c r="Y14" s="32"/>
      <c r="Z14" s="63">
        <f>+X14-Y14</f>
        <v>0</v>
      </c>
      <c r="AA14" s="68" t="str">
        <f>IF(X14=0,"",(Y14-X14)/ABS(X14)+1)</f>
        <v/>
      </c>
      <c r="AB14" s="32"/>
      <c r="AC14" s="68" t="str">
        <f>IF(AB14=0,"",(Y14-AB14)/ABS(AB14))</f>
        <v/>
      </c>
      <c r="AE14" s="67"/>
      <c r="AF14" s="67"/>
    </row>
    <row r="15" spans="1:34" ht="14.25" customHeight="1" x14ac:dyDescent="0.2">
      <c r="B15" s="3" t="s">
        <v>74</v>
      </c>
      <c r="C15" s="32">
        <v>0</v>
      </c>
      <c r="D15" s="34" t="str">
        <f t="shared" si="3"/>
        <v xml:space="preserve"> </v>
      </c>
      <c r="E15" s="32">
        <v>0</v>
      </c>
      <c r="F15" s="34" t="str">
        <f t="shared" si="4"/>
        <v xml:space="preserve"> </v>
      </c>
      <c r="G15" s="34" t="str">
        <f t="shared" si="5"/>
        <v/>
      </c>
      <c r="H15" s="32">
        <v>0</v>
      </c>
      <c r="I15" s="34" t="str">
        <f t="shared" si="6"/>
        <v/>
      </c>
      <c r="J15" s="34" t="str">
        <f>IF(H15=0,"",(E15-H15)/ABS(H15))</f>
        <v/>
      </c>
      <c r="K15" s="32">
        <f t="shared" si="0"/>
        <v>0</v>
      </c>
      <c r="L15" s="34" t="str">
        <f t="shared" si="7"/>
        <v xml:space="preserve"> </v>
      </c>
      <c r="M15" s="32">
        <v>0</v>
      </c>
      <c r="N15" s="34" t="str">
        <f t="shared" si="8"/>
        <v xml:space="preserve"> </v>
      </c>
      <c r="O15" s="34" t="str">
        <f t="shared" si="1"/>
        <v/>
      </c>
      <c r="P15" s="32">
        <v>0</v>
      </c>
      <c r="Q15" s="34" t="e">
        <f t="shared" si="2"/>
        <v>#DIV/0!</v>
      </c>
      <c r="R15" s="34" t="str">
        <f t="shared" si="9"/>
        <v/>
      </c>
      <c r="T15" s="3" t="s">
        <v>35</v>
      </c>
      <c r="U15" s="32"/>
      <c r="V15" s="32">
        <v>0</v>
      </c>
      <c r="W15" s="32">
        <v>0</v>
      </c>
      <c r="X15" s="32"/>
      <c r="Y15" s="32"/>
      <c r="Z15" s="63">
        <f>+X15-Y15</f>
        <v>0</v>
      </c>
      <c r="AA15" s="68" t="str">
        <f>IF(X15=0,"",(Y15-X15)/ABS(X15)+1)</f>
        <v/>
      </c>
      <c r="AB15" s="32"/>
      <c r="AC15" s="68" t="str">
        <f>IF(AB15=0,"",(Y15-AB15)/ABS(AB15))</f>
        <v/>
      </c>
      <c r="AE15" s="67"/>
      <c r="AF15" s="67"/>
    </row>
    <row r="16" spans="1:34" ht="14.25" customHeight="1" x14ac:dyDescent="0.2">
      <c r="B16" s="3" t="s">
        <v>75</v>
      </c>
      <c r="C16" s="32"/>
      <c r="D16" s="34" t="str">
        <f t="shared" si="3"/>
        <v xml:space="preserve"> </v>
      </c>
      <c r="E16" s="32"/>
      <c r="F16" s="34" t="str">
        <f t="shared" si="4"/>
        <v xml:space="preserve"> </v>
      </c>
      <c r="G16" s="34" t="str">
        <f t="shared" si="5"/>
        <v/>
      </c>
      <c r="H16" s="32"/>
      <c r="I16" s="34" t="str">
        <f t="shared" si="6"/>
        <v/>
      </c>
      <c r="J16" s="34"/>
      <c r="K16" s="32"/>
      <c r="L16" s="34" t="str">
        <f t="shared" si="7"/>
        <v xml:space="preserve"> </v>
      </c>
      <c r="M16" s="32"/>
      <c r="N16" s="34" t="str">
        <f t="shared" si="8"/>
        <v xml:space="preserve"> </v>
      </c>
      <c r="O16" s="34"/>
      <c r="P16" s="32"/>
      <c r="Q16" s="34"/>
      <c r="R16" s="34" t="str">
        <f t="shared" si="9"/>
        <v/>
      </c>
      <c r="T16" s="3" t="s">
        <v>36</v>
      </c>
      <c r="U16" s="32">
        <f>+V16</f>
        <v>0</v>
      </c>
      <c r="V16" s="32">
        <v>0</v>
      </c>
      <c r="W16" s="32">
        <v>1934</v>
      </c>
      <c r="X16" s="32">
        <f>+Y16</f>
        <v>0</v>
      </c>
      <c r="Y16" s="32">
        <v>0</v>
      </c>
      <c r="Z16" s="63">
        <f>+X16-Y16</f>
        <v>0</v>
      </c>
      <c r="AA16" s="68" t="str">
        <f>IF(X16=0,"",(Y16-X16)/ABS(X16)+1)</f>
        <v/>
      </c>
      <c r="AB16" s="32">
        <v>4372</v>
      </c>
      <c r="AC16" s="68">
        <f>IF(AB16=0,"",(Y16-AB16)/ABS(AB16))</f>
        <v>-1</v>
      </c>
      <c r="AE16" s="67"/>
      <c r="AF16" s="67"/>
    </row>
    <row r="17" spans="1:32" ht="14.25" customHeight="1" x14ac:dyDescent="0.2">
      <c r="B17" s="3" t="s">
        <v>76</v>
      </c>
      <c r="C17" s="32"/>
      <c r="D17" s="34" t="str">
        <f t="shared" si="3"/>
        <v xml:space="preserve"> </v>
      </c>
      <c r="E17" s="32"/>
      <c r="F17" s="34" t="str">
        <f t="shared" si="4"/>
        <v xml:space="preserve"> </v>
      </c>
      <c r="G17" s="34" t="str">
        <f t="shared" si="5"/>
        <v/>
      </c>
      <c r="H17" s="32"/>
      <c r="I17" s="34" t="str">
        <f t="shared" si="6"/>
        <v/>
      </c>
      <c r="J17" s="34"/>
      <c r="K17" s="32"/>
      <c r="L17" s="34" t="str">
        <f t="shared" si="7"/>
        <v xml:space="preserve"> </v>
      </c>
      <c r="M17" s="32"/>
      <c r="N17" s="34" t="str">
        <f t="shared" si="8"/>
        <v xml:space="preserve"> </v>
      </c>
      <c r="O17" s="34"/>
      <c r="P17" s="32"/>
      <c r="Q17" s="34"/>
      <c r="R17" s="34" t="str">
        <f t="shared" si="9"/>
        <v/>
      </c>
      <c r="T17" s="3" t="s">
        <v>37</v>
      </c>
      <c r="U17" s="32">
        <f>SUM(U16)</f>
        <v>0</v>
      </c>
      <c r="V17" s="32">
        <f>+V16</f>
        <v>0</v>
      </c>
      <c r="W17" s="32">
        <v>1934</v>
      </c>
      <c r="X17" s="32">
        <f>SUM(X16)</f>
        <v>0</v>
      </c>
      <c r="Y17" s="32">
        <f>+Y16</f>
        <v>0</v>
      </c>
      <c r="Z17" s="63">
        <f>+Y17-X17</f>
        <v>0</v>
      </c>
      <c r="AA17" s="68" t="str">
        <f>IF(X17=0,"",(Y17-X17)/ABS(X17)+1)</f>
        <v/>
      </c>
      <c r="AB17" s="32">
        <v>4372</v>
      </c>
      <c r="AC17" s="68">
        <f>IF(AB17=0,"",(Y17-AB17)/ABS(AB17))</f>
        <v>-1</v>
      </c>
    </row>
    <row r="18" spans="1:32" ht="14.25" customHeight="1" x14ac:dyDescent="0.2">
      <c r="B18" s="3" t="s">
        <v>78</v>
      </c>
      <c r="C18" s="32"/>
      <c r="D18" s="34" t="str">
        <f t="shared" si="3"/>
        <v xml:space="preserve"> </v>
      </c>
      <c r="E18" s="32"/>
      <c r="F18" s="34" t="str">
        <f t="shared" si="4"/>
        <v xml:space="preserve"> </v>
      </c>
      <c r="G18" s="34" t="str">
        <f t="shared" si="5"/>
        <v/>
      </c>
      <c r="H18" s="32"/>
      <c r="I18" s="34" t="str">
        <f t="shared" si="6"/>
        <v/>
      </c>
      <c r="J18" s="34"/>
      <c r="K18" s="32"/>
      <c r="L18" s="34" t="str">
        <f t="shared" si="7"/>
        <v xml:space="preserve"> </v>
      </c>
      <c r="M18" s="32"/>
      <c r="N18" s="34" t="str">
        <f t="shared" si="8"/>
        <v xml:space="preserve"> </v>
      </c>
      <c r="O18" s="34"/>
      <c r="P18" s="32"/>
      <c r="Q18" s="34"/>
      <c r="R18" s="34" t="str">
        <f t="shared" si="9"/>
        <v/>
      </c>
      <c r="AD18" s="67"/>
      <c r="AE18" s="67"/>
      <c r="AF18" s="67"/>
    </row>
    <row r="19" spans="1:32" ht="14.25" customHeight="1" x14ac:dyDescent="0.2">
      <c r="B19" s="3" t="s">
        <v>80</v>
      </c>
      <c r="C19" s="32">
        <f>+E19</f>
        <v>0</v>
      </c>
      <c r="D19" s="34" t="str">
        <f t="shared" si="3"/>
        <v xml:space="preserve"> </v>
      </c>
      <c r="E19" s="32">
        <v>0</v>
      </c>
      <c r="F19" s="34" t="str">
        <f t="shared" si="4"/>
        <v xml:space="preserve"> </v>
      </c>
      <c r="G19" s="34" t="str">
        <f t="shared" si="5"/>
        <v/>
      </c>
      <c r="H19" s="32">
        <v>0</v>
      </c>
      <c r="I19" s="34" t="str">
        <f t="shared" si="6"/>
        <v/>
      </c>
      <c r="J19" s="34"/>
      <c r="K19" s="32">
        <f>+M19</f>
        <v>0</v>
      </c>
      <c r="L19" s="34" t="str">
        <f t="shared" si="7"/>
        <v xml:space="preserve"> </v>
      </c>
      <c r="M19" s="32">
        <v>0</v>
      </c>
      <c r="N19" s="34" t="str">
        <f t="shared" si="8"/>
        <v xml:space="preserve"> </v>
      </c>
      <c r="O19" s="34"/>
      <c r="P19" s="32">
        <v>0</v>
      </c>
      <c r="Q19" s="32" t="e">
        <f>+P19/$P$20</f>
        <v>#DIV/0!</v>
      </c>
      <c r="R19" s="34" t="str">
        <f t="shared" si="9"/>
        <v/>
      </c>
      <c r="T19" s="3" t="s">
        <v>38</v>
      </c>
      <c r="U19" s="32">
        <f>+U11-U16</f>
        <v>0</v>
      </c>
      <c r="V19" s="32">
        <f>+V11-V16</f>
        <v>0</v>
      </c>
      <c r="W19" s="32">
        <v>-1934</v>
      </c>
      <c r="X19" s="32">
        <f>+X11-X16</f>
        <v>0</v>
      </c>
      <c r="Y19" s="32">
        <f>+Y11-Y16</f>
        <v>0</v>
      </c>
      <c r="Z19" s="63">
        <f>+Y19-X19</f>
        <v>0</v>
      </c>
      <c r="AA19" s="68" t="str">
        <f>IF(X19=0,"",(Y19-X19)/ABS(X19)+1)</f>
        <v/>
      </c>
      <c r="AB19" s="32">
        <v>43003</v>
      </c>
      <c r="AC19" s="68">
        <f>IF(AB19=0,"",(Y19-AB19)/ABS(AB19))</f>
        <v>-1</v>
      </c>
      <c r="AD19" s="67"/>
      <c r="AE19" s="67"/>
      <c r="AF19" s="67"/>
    </row>
    <row r="20" spans="1:32" ht="14.25" customHeight="1" x14ac:dyDescent="0.2">
      <c r="B20" s="20" t="s">
        <v>39</v>
      </c>
      <c r="C20" s="69">
        <f>SUM(C10:C16)</f>
        <v>0</v>
      </c>
      <c r="D20" s="45" t="str">
        <f t="shared" si="3"/>
        <v xml:space="preserve"> </v>
      </c>
      <c r="E20" s="69">
        <f>SUM(E10:E16)</f>
        <v>0</v>
      </c>
      <c r="F20" s="45" t="str">
        <f t="shared" si="4"/>
        <v xml:space="preserve"> </v>
      </c>
      <c r="G20" s="34" t="str">
        <f t="shared" si="5"/>
        <v/>
      </c>
      <c r="H20" s="69">
        <v>0</v>
      </c>
      <c r="I20" s="34" t="str">
        <f t="shared" si="6"/>
        <v/>
      </c>
      <c r="J20" s="45" t="str">
        <f>IF(H20=0,"",(E20-H20)/ABS(H20))</f>
        <v/>
      </c>
      <c r="K20" s="69">
        <f>SUM(K10:K16)</f>
        <v>0</v>
      </c>
      <c r="L20" s="45" t="str">
        <f t="shared" si="7"/>
        <v xml:space="preserve"> </v>
      </c>
      <c r="M20" s="69">
        <f>SUM(M10:M16)</f>
        <v>0</v>
      </c>
      <c r="N20" s="34" t="str">
        <f t="shared" si="8"/>
        <v xml:space="preserve"> </v>
      </c>
      <c r="O20" s="45" t="str">
        <f>IF(K20=0,"",(M20-K20)/ABS(K20)+1)</f>
        <v/>
      </c>
      <c r="P20" s="69">
        <f>+P10</f>
        <v>0</v>
      </c>
      <c r="Q20" s="45" t="e">
        <f>+P20/$P$20</f>
        <v>#DIV/0!</v>
      </c>
      <c r="R20" s="45" t="str">
        <f t="shared" si="9"/>
        <v/>
      </c>
      <c r="T20" s="3"/>
      <c r="U20" s="32"/>
      <c r="V20" s="32"/>
      <c r="W20" s="32"/>
      <c r="X20" s="32"/>
      <c r="Y20" s="32"/>
      <c r="Z20" s="63"/>
      <c r="AA20" s="68"/>
      <c r="AB20" s="32"/>
      <c r="AC20" s="68"/>
      <c r="AD20" s="67"/>
      <c r="AE20" s="67"/>
      <c r="AF20" s="67"/>
    </row>
    <row r="21" spans="1:32" ht="14.25" customHeight="1" x14ac:dyDescent="0.2">
      <c r="G21" s="34" t="str">
        <f t="shared" si="5"/>
        <v/>
      </c>
      <c r="I21" s="34" t="str">
        <f t="shared" si="6"/>
        <v/>
      </c>
      <c r="N21" s="34" t="str">
        <f t="shared" si="8"/>
        <v xml:space="preserve"> </v>
      </c>
      <c r="R21" s="34" t="str">
        <f t="shared" si="9"/>
        <v/>
      </c>
      <c r="T21" s="3" t="s">
        <v>40</v>
      </c>
      <c r="U21" s="32">
        <f>+U10+U19</f>
        <v>0</v>
      </c>
      <c r="V21" s="32">
        <f>+V10+V19</f>
        <v>0</v>
      </c>
      <c r="W21" s="32">
        <v>6877.7900000000009</v>
      </c>
      <c r="X21" s="32">
        <f>+X10+X19</f>
        <v>0</v>
      </c>
      <c r="Y21" s="32">
        <f>+Y10+Y19</f>
        <v>0</v>
      </c>
      <c r="Z21" s="63">
        <f>+Y21-X21</f>
        <v>0</v>
      </c>
      <c r="AA21" s="68" t="str">
        <f>IF(X21=0,"",(Y21-X21)/ABS(X21)+1)</f>
        <v/>
      </c>
      <c r="AB21" s="32">
        <v>52877.79</v>
      </c>
      <c r="AC21" s="68">
        <f>IF(AB21=0,"",(Y21-AB21)/ABS(AB21))</f>
        <v>-1</v>
      </c>
      <c r="AD21" s="67"/>
      <c r="AE21" s="67"/>
      <c r="AF21" s="67"/>
    </row>
    <row r="22" spans="1:32" ht="14.25" customHeight="1" x14ac:dyDescent="0.2">
      <c r="B22" s="3" t="s">
        <v>41</v>
      </c>
      <c r="C22" s="32">
        <v>0</v>
      </c>
      <c r="D22" s="34" t="str">
        <f>IF($C$20&lt;=0," ",C22/$C$20)</f>
        <v xml:space="preserve"> </v>
      </c>
      <c r="E22" s="32">
        <v>0</v>
      </c>
      <c r="F22" s="34" t="str">
        <f>IF($E$20&lt;=0," ",E22/$E$20)</f>
        <v xml:space="preserve"> </v>
      </c>
      <c r="G22" s="34" t="str">
        <f t="shared" si="5"/>
        <v/>
      </c>
      <c r="H22" s="32">
        <v>0</v>
      </c>
      <c r="I22" s="34" t="str">
        <f t="shared" si="6"/>
        <v/>
      </c>
      <c r="J22" s="34" t="str">
        <f>IF(H22=0,"",(E22-H22)/ABS(H22))</f>
        <v/>
      </c>
      <c r="K22" s="32">
        <v>0</v>
      </c>
      <c r="L22" s="34" t="str">
        <f>IF($K$20&lt;=0," ",K22/$K$20)</f>
        <v xml:space="preserve"> </v>
      </c>
      <c r="M22" s="32">
        <f>+M17</f>
        <v>0</v>
      </c>
      <c r="N22" s="34" t="str">
        <f t="shared" si="8"/>
        <v xml:space="preserve"> </v>
      </c>
      <c r="O22" s="34" t="str">
        <f>IF(K22=0,"",(M22-K22)/ABS(K22)+1)</f>
        <v/>
      </c>
      <c r="P22" s="32">
        <v>0</v>
      </c>
      <c r="Q22" s="34" t="e">
        <f>+P22/$P$20</f>
        <v>#DIV/0!</v>
      </c>
      <c r="R22" s="34" t="str">
        <f t="shared" si="9"/>
        <v/>
      </c>
      <c r="AD22" s="67"/>
      <c r="AE22" s="67"/>
      <c r="AF22" s="67"/>
    </row>
    <row r="23" spans="1:32" ht="14.25" customHeight="1" x14ac:dyDescent="0.2">
      <c r="G23" s="34" t="str">
        <f t="shared" si="5"/>
        <v/>
      </c>
      <c r="I23" s="34" t="str">
        <f t="shared" si="6"/>
        <v/>
      </c>
      <c r="N23" s="34" t="str">
        <f t="shared" si="8"/>
        <v xml:space="preserve"> </v>
      </c>
      <c r="R23" s="34" t="str">
        <f t="shared" si="9"/>
        <v/>
      </c>
      <c r="T23" s="3" t="s">
        <v>42</v>
      </c>
      <c r="U23" s="32"/>
      <c r="V23" s="32"/>
      <c r="W23" s="32"/>
      <c r="X23" s="32">
        <f>+AD21+U23</f>
        <v>0</v>
      </c>
      <c r="Y23" s="32">
        <f>+V23+AF21</f>
        <v>0</v>
      </c>
      <c r="Z23" s="63">
        <f>+Y23-X23</f>
        <v>0</v>
      </c>
      <c r="AA23" s="68" t="str">
        <f>IF(X23=0,"",(Y23-X23)/ABS(X23)+1)</f>
        <v/>
      </c>
      <c r="AB23" s="32">
        <v>0</v>
      </c>
      <c r="AC23" s="68" t="str">
        <f>IF(AB23=0,"",(Y23-AB23)/ABS(AB23))</f>
        <v/>
      </c>
      <c r="AD23" s="67"/>
      <c r="AE23" s="67"/>
      <c r="AF23" s="67"/>
    </row>
    <row r="24" spans="1:32" ht="14.25" customHeight="1" x14ac:dyDescent="0.2">
      <c r="B24" s="3" t="s">
        <v>43</v>
      </c>
      <c r="C24" s="32">
        <f>+C19</f>
        <v>0</v>
      </c>
      <c r="D24" s="34" t="str">
        <f>IF($C$20&lt;=0," ",C24/$C$20)</f>
        <v xml:space="preserve"> </v>
      </c>
      <c r="E24" s="32">
        <f>+E19</f>
        <v>0</v>
      </c>
      <c r="F24" s="34" t="str">
        <f>IF($E$20&lt;=0," ",E24/$E$20)</f>
        <v xml:space="preserve"> </v>
      </c>
      <c r="G24" s="34" t="str">
        <f t="shared" si="5"/>
        <v/>
      </c>
      <c r="H24" s="32">
        <f>+H19</f>
        <v>0</v>
      </c>
      <c r="I24" s="34" t="str">
        <f t="shared" si="6"/>
        <v/>
      </c>
      <c r="J24" s="34" t="str">
        <f>IF(H24=0,"",(E24-H24)/ABS(H24))</f>
        <v/>
      </c>
      <c r="K24" s="32">
        <f>+K19</f>
        <v>0</v>
      </c>
      <c r="L24" s="34" t="str">
        <f>IF($K$20&lt;=0," ",K24/$K$20)</f>
        <v xml:space="preserve"> </v>
      </c>
      <c r="M24" s="32">
        <f>+M19</f>
        <v>0</v>
      </c>
      <c r="N24" s="34" t="str">
        <f t="shared" si="8"/>
        <v xml:space="preserve"> </v>
      </c>
      <c r="O24" s="34" t="str">
        <f>IF(K24=0,"",(M24-K24)/ABS(K24)+1)</f>
        <v/>
      </c>
      <c r="P24" s="32">
        <f>+P19</f>
        <v>0</v>
      </c>
      <c r="Q24" s="34" t="e">
        <f>+P24/$P$20</f>
        <v>#DIV/0!</v>
      </c>
      <c r="R24" s="34" t="str">
        <f t="shared" si="9"/>
        <v/>
      </c>
      <c r="AD24" s="67"/>
      <c r="AE24" s="67"/>
      <c r="AF24" s="67"/>
    </row>
    <row r="25" spans="1:32" ht="14.25" customHeight="1" x14ac:dyDescent="0.2">
      <c r="G25" s="34" t="str">
        <f t="shared" si="5"/>
        <v/>
      </c>
      <c r="I25" s="34" t="str">
        <f t="shared" si="6"/>
        <v/>
      </c>
      <c r="R25" s="34" t="str">
        <f t="shared" si="9"/>
        <v/>
      </c>
      <c r="T25" s="3" t="s">
        <v>44</v>
      </c>
      <c r="U25" s="32"/>
      <c r="V25" s="32"/>
      <c r="W25" s="32"/>
      <c r="X25" s="32">
        <f>+AD22+U25</f>
        <v>0</v>
      </c>
      <c r="Y25" s="32">
        <f>+V25+AF22</f>
        <v>0</v>
      </c>
      <c r="Z25" s="63">
        <f>+Y25-X25</f>
        <v>0</v>
      </c>
      <c r="AA25" s="68" t="str">
        <f>IF(X25=0,"",(Y25-X25)/ABS(X25)+1)</f>
        <v/>
      </c>
      <c r="AB25" s="32">
        <v>0</v>
      </c>
      <c r="AC25" s="68" t="str">
        <f>IF(AB25=0,"",(Y25-AB25)/ABS(AB25))</f>
        <v/>
      </c>
      <c r="AD25" s="67"/>
      <c r="AE25" s="67"/>
      <c r="AF25" s="67"/>
    </row>
    <row r="26" spans="1:32" ht="14.25" customHeight="1" x14ac:dyDescent="0.2">
      <c r="B26" s="3" t="s">
        <v>45</v>
      </c>
      <c r="C26" s="32">
        <f>+E26</f>
        <v>0</v>
      </c>
      <c r="D26" s="34" t="str">
        <f>IF($C$20&lt;=0," ",C26/$C$20)</f>
        <v xml:space="preserve"> </v>
      </c>
      <c r="E26" s="32">
        <v>0</v>
      </c>
      <c r="F26" s="34" t="str">
        <f>IF($E$20&lt;=0," ",E26/$E$20)</f>
        <v xml:space="preserve"> </v>
      </c>
      <c r="G26" s="34" t="str">
        <f t="shared" si="5"/>
        <v/>
      </c>
      <c r="H26" s="32">
        <v>0</v>
      </c>
      <c r="I26" s="34" t="str">
        <f t="shared" si="6"/>
        <v/>
      </c>
      <c r="J26" s="34" t="str">
        <f>IF(H26=0,"",(E26-H26)/ABS(H26))</f>
        <v/>
      </c>
      <c r="K26" s="32">
        <f>+K20</f>
        <v>0</v>
      </c>
      <c r="L26" s="34" t="str">
        <f>IF($K$20&lt;=0," ",K26/$K$20)</f>
        <v xml:space="preserve"> </v>
      </c>
      <c r="M26" s="32"/>
      <c r="N26" s="34" t="str">
        <f>IF($M$20&lt;=0," ",M26/$M$20)</f>
        <v xml:space="preserve"> </v>
      </c>
      <c r="O26" s="34" t="str">
        <f>IF(K26=0,"",(M26-K26)/ABS(K26)+1)</f>
        <v/>
      </c>
      <c r="P26" s="32">
        <v>0</v>
      </c>
      <c r="Q26" s="34" t="e">
        <f>+P26/$P$20</f>
        <v>#DIV/0!</v>
      </c>
      <c r="R26" s="34" t="str">
        <f t="shared" si="9"/>
        <v/>
      </c>
    </row>
    <row r="27" spans="1:32" ht="14.25" customHeight="1" x14ac:dyDescent="0.2">
      <c r="A27" s="94"/>
      <c r="B27" s="3" t="s">
        <v>46</v>
      </c>
      <c r="C27" s="32">
        <f>+E27</f>
        <v>0</v>
      </c>
      <c r="D27" s="34" t="str">
        <f>IF($C$20&lt;=0," ",C27/$C$20)</f>
        <v xml:space="preserve"> </v>
      </c>
      <c r="E27" s="32">
        <v>0</v>
      </c>
      <c r="F27" s="34" t="str">
        <f>IF($E$20&lt;=0," ",E27/$E$20)</f>
        <v xml:space="preserve"> </v>
      </c>
      <c r="G27" s="34" t="str">
        <f t="shared" si="5"/>
        <v/>
      </c>
      <c r="H27" s="32">
        <v>0</v>
      </c>
      <c r="I27" s="34" t="str">
        <f t="shared" si="6"/>
        <v/>
      </c>
      <c r="J27" s="34" t="str">
        <f>IF(H27=0,"",(E27-H27)/ABS(H27))</f>
        <v/>
      </c>
      <c r="K27" s="32">
        <f>+K22</f>
        <v>0</v>
      </c>
      <c r="L27" s="34" t="str">
        <f>IF($K$20&lt;=0," ",K27/$K$20)</f>
        <v xml:space="preserve"> </v>
      </c>
      <c r="M27" s="32"/>
      <c r="N27" s="34" t="str">
        <f>IF($M$20&lt;=0," ",M27/$M$20)</f>
        <v xml:space="preserve"> </v>
      </c>
      <c r="O27" s="34" t="str">
        <f>IF(K27=0,"",(M27-K27)/ABS(K27)+1)</f>
        <v/>
      </c>
      <c r="P27" s="32">
        <v>0</v>
      </c>
      <c r="Q27" s="34" t="e">
        <f>+P27/$P$20</f>
        <v>#DIV/0!</v>
      </c>
      <c r="R27" s="34" t="str">
        <f t="shared" si="9"/>
        <v/>
      </c>
      <c r="T27" s="3" t="s">
        <v>47</v>
      </c>
      <c r="U27" s="32"/>
      <c r="V27" s="32"/>
      <c r="W27" s="32"/>
      <c r="X27" s="32">
        <f>+AD23+U27</f>
        <v>0</v>
      </c>
      <c r="Y27" s="32">
        <f>+AE23+V27</f>
        <v>0</v>
      </c>
      <c r="Z27" s="63">
        <f>+Y27-X27</f>
        <v>0</v>
      </c>
      <c r="AA27" s="68" t="str">
        <f>IF(X27=0,"",(Y27-X27)/ABS(X27)+1)</f>
        <v/>
      </c>
      <c r="AB27" s="32">
        <v>0</v>
      </c>
      <c r="AC27" s="68" t="str">
        <f>IF(AB27=0,"",(Y27-AB27)/ABS(AB27))</f>
        <v/>
      </c>
    </row>
    <row r="28" spans="1:32" ht="14.25" customHeight="1" x14ac:dyDescent="0.2">
      <c r="A28" s="94"/>
      <c r="B28" s="3" t="s">
        <v>48</v>
      </c>
      <c r="C28" s="32">
        <f>SUM(C26:C27)</f>
        <v>0</v>
      </c>
      <c r="D28" s="34" t="str">
        <f>IF($C$20&lt;=0," ",C28/$C$20)</f>
        <v xml:space="preserve"> </v>
      </c>
      <c r="E28" s="32">
        <f>SUM(E26:E27)</f>
        <v>0</v>
      </c>
      <c r="F28" s="34" t="str">
        <f>IF($E$20&lt;=0," ",E28/$E$20)</f>
        <v xml:space="preserve"> </v>
      </c>
      <c r="G28" s="34" t="str">
        <f t="shared" si="5"/>
        <v/>
      </c>
      <c r="H28" s="32">
        <f>SUM(H26:H27)</f>
        <v>0</v>
      </c>
      <c r="I28" s="34" t="str">
        <f t="shared" si="6"/>
        <v/>
      </c>
      <c r="J28" s="34" t="str">
        <f>IF(H28=0,"",(E28-H28)/ABS(H28))</f>
        <v/>
      </c>
      <c r="K28" s="32">
        <f>+K24</f>
        <v>0</v>
      </c>
      <c r="L28" s="34" t="str">
        <f>IF($K$20&lt;=0," ",K28/$K$20)</f>
        <v xml:space="preserve"> </v>
      </c>
      <c r="M28" s="32"/>
      <c r="N28" s="34" t="str">
        <f>IF($M$20&lt;=0," ",M28/$M$20)</f>
        <v xml:space="preserve"> </v>
      </c>
      <c r="O28" s="34" t="str">
        <f>IF(K28=0,"",(M28-K28)/ABS(K28)+1)</f>
        <v/>
      </c>
      <c r="P28" s="32">
        <f>+P27+P26</f>
        <v>0</v>
      </c>
      <c r="Q28" s="34" t="e">
        <f>+P28/$P$20</f>
        <v>#DIV/0!</v>
      </c>
      <c r="R28" s="34" t="str">
        <f t="shared" si="9"/>
        <v/>
      </c>
      <c r="T28" s="3" t="s">
        <v>135</v>
      </c>
      <c r="U28" s="32">
        <f>+V28</f>
        <v>0</v>
      </c>
      <c r="V28" s="32">
        <v>0</v>
      </c>
      <c r="W28" s="32">
        <v>0</v>
      </c>
      <c r="X28" s="32">
        <f>+Y28</f>
        <v>0</v>
      </c>
      <c r="Y28" s="32">
        <v>0</v>
      </c>
      <c r="Z28" s="63">
        <f>+Y28-X28</f>
        <v>0</v>
      </c>
      <c r="AA28" s="68" t="str">
        <f>IF(X28=0,"",(Y28-X28)/ABS(X28)+1)</f>
        <v/>
      </c>
      <c r="AB28" s="32">
        <v>46000</v>
      </c>
      <c r="AC28" s="68">
        <f>IF(AB28=0,"",(Y28-AB28)/ABS(AB28))</f>
        <v>-1</v>
      </c>
      <c r="AD28" s="55"/>
    </row>
    <row r="29" spans="1:32" ht="14.25" customHeight="1" x14ac:dyDescent="0.2">
      <c r="A29" s="94"/>
      <c r="G29" s="34" t="str">
        <f t="shared" si="5"/>
        <v/>
      </c>
      <c r="I29" s="34" t="str">
        <f t="shared" si="6"/>
        <v/>
      </c>
      <c r="R29" s="34" t="str">
        <f t="shared" si="9"/>
        <v/>
      </c>
    </row>
    <row r="30" spans="1:32" ht="14.25" customHeight="1" x14ac:dyDescent="0.2">
      <c r="A30" s="94"/>
      <c r="B30" s="3" t="s">
        <v>50</v>
      </c>
      <c r="C30" s="32">
        <f>+E30</f>
        <v>0</v>
      </c>
      <c r="D30" s="34" t="str">
        <f>IF($C$20&lt;=0," ",C30/$C$20)</f>
        <v xml:space="preserve"> </v>
      </c>
      <c r="E30" s="32"/>
      <c r="F30" s="34" t="str">
        <f>IF($E$20&lt;=0," ",E30/$E$20)</f>
        <v xml:space="preserve"> </v>
      </c>
      <c r="G30" s="34" t="str">
        <f t="shared" si="5"/>
        <v/>
      </c>
      <c r="H30" s="32"/>
      <c r="I30" s="34" t="str">
        <f t="shared" si="6"/>
        <v/>
      </c>
      <c r="J30" s="34" t="str">
        <f>IF(H30=0,"",(E30-H30)/ABS(H30))</f>
        <v/>
      </c>
      <c r="K30" s="32">
        <f>+K26</f>
        <v>0</v>
      </c>
      <c r="L30" s="34" t="str">
        <f>IF($K$20&lt;=0," ",K30/$K$20)</f>
        <v xml:space="preserve"> </v>
      </c>
      <c r="M30" s="32"/>
      <c r="N30" s="34" t="str">
        <f>IF($M$20&lt;=0," ",M30/$M$20)</f>
        <v xml:space="preserve"> </v>
      </c>
      <c r="O30" s="34" t="str">
        <f>IF(K30=0,"",(M30-K30)/ABS(K30)+1)</f>
        <v/>
      </c>
      <c r="P30" s="32"/>
      <c r="Q30" s="34" t="e">
        <f>+P30/$P$20</f>
        <v>#DIV/0!</v>
      </c>
      <c r="R30" s="34" t="str">
        <f t="shared" si="9"/>
        <v/>
      </c>
      <c r="T30" s="20" t="s">
        <v>51</v>
      </c>
      <c r="U30" s="69">
        <f>U21-U23-U25-U27-U28</f>
        <v>0</v>
      </c>
      <c r="V30" s="69">
        <f>V21-V23-V25-V27-V28</f>
        <v>0</v>
      </c>
      <c r="W30" s="69">
        <v>6877.7900000000009</v>
      </c>
      <c r="X30" s="69">
        <f>X21-X23-X25-X27-X28</f>
        <v>0</v>
      </c>
      <c r="Y30" s="69">
        <f>Y21-Y23-Y25-Y27-Y28</f>
        <v>0</v>
      </c>
      <c r="Z30" s="71">
        <f>V30-U30</f>
        <v>0</v>
      </c>
      <c r="AA30" s="72" t="str">
        <f>IF(U30=0,"",(V30-U30)/ABS(U30)+1)</f>
        <v/>
      </c>
      <c r="AB30" s="69">
        <v>6877.7900000000009</v>
      </c>
      <c r="AC30" s="72">
        <f>IF(W30=0,"",(V30-W30)/ABS(W30))</f>
        <v>-1</v>
      </c>
    </row>
    <row r="31" spans="1:32" ht="14.25" customHeight="1" x14ac:dyDescent="0.2">
      <c r="A31" s="94"/>
      <c r="B31" s="3" t="s">
        <v>136</v>
      </c>
      <c r="C31" s="32">
        <f>+E31</f>
        <v>0</v>
      </c>
      <c r="D31" s="34" t="str">
        <f>IF($C$20&lt;=0," ",C31/$C$20)</f>
        <v xml:space="preserve"> </v>
      </c>
      <c r="E31" s="32">
        <v>0</v>
      </c>
      <c r="F31" s="34" t="str">
        <f>IF($E$20&lt;=0," ",E31/$E$20)</f>
        <v xml:space="preserve"> </v>
      </c>
      <c r="G31" s="34" t="str">
        <f t="shared" si="5"/>
        <v/>
      </c>
      <c r="H31" s="32">
        <v>0</v>
      </c>
      <c r="I31" s="34" t="str">
        <f t="shared" si="6"/>
        <v/>
      </c>
      <c r="J31" s="34" t="str">
        <f>IF(H31=0,"",(E31-H31)/ABS(H31))</f>
        <v/>
      </c>
      <c r="K31" s="32">
        <f>+K27</f>
        <v>0</v>
      </c>
      <c r="L31" s="34" t="str">
        <f>IF($K$20&lt;=0," ",K31/$K$20)</f>
        <v xml:space="preserve"> </v>
      </c>
      <c r="M31" s="32">
        <v>0</v>
      </c>
      <c r="N31" s="34" t="str">
        <f>IF($M$20&lt;=0," ",M31/$M$20)</f>
        <v xml:space="preserve"> </v>
      </c>
      <c r="O31" s="34" t="str">
        <f>IF(K31=0,"",(M31-K31)/ABS(K31)+1)</f>
        <v/>
      </c>
      <c r="P31" s="32">
        <v>0</v>
      </c>
      <c r="Q31" s="34" t="e">
        <f>+P31/$P$20</f>
        <v>#DIV/0!</v>
      </c>
      <c r="R31" s="34" t="str">
        <f t="shared" si="9"/>
        <v/>
      </c>
    </row>
    <row r="32" spans="1:32" ht="14.25" customHeight="1" x14ac:dyDescent="0.2">
      <c r="A32" s="94"/>
      <c r="B32" s="3" t="s">
        <v>53</v>
      </c>
      <c r="C32" s="32">
        <f>SUM(C30:C31)</f>
        <v>0</v>
      </c>
      <c r="D32" s="34" t="str">
        <f>IF($C$20&lt;=0," ",C32/$C$20)</f>
        <v xml:space="preserve"> </v>
      </c>
      <c r="E32" s="32">
        <f>SUM(E30:E31)</f>
        <v>0</v>
      </c>
      <c r="F32" s="34" t="str">
        <f>IF($E$20&lt;=0," ",E32/$E$20)</f>
        <v xml:space="preserve"> </v>
      </c>
      <c r="G32" s="34" t="str">
        <f t="shared" si="5"/>
        <v/>
      </c>
      <c r="H32" s="32">
        <f>SUM(H30:H31)</f>
        <v>0</v>
      </c>
      <c r="I32" s="34" t="str">
        <f t="shared" si="6"/>
        <v/>
      </c>
      <c r="J32" s="34" t="str">
        <f>IF(H32=0,"",(E32-H32)/ABS(H32))</f>
        <v/>
      </c>
      <c r="K32" s="32">
        <f>+K28</f>
        <v>0</v>
      </c>
      <c r="L32" s="34" t="str">
        <f>IF($K$20&lt;=0," ",K32/$K$20)</f>
        <v xml:space="preserve"> </v>
      </c>
      <c r="M32" s="32">
        <f>SUM(M30:M31)</f>
        <v>0</v>
      </c>
      <c r="N32" s="34" t="str">
        <f>IF($M$20&lt;=0," ",M32/$M$20)</f>
        <v xml:space="preserve"> </v>
      </c>
      <c r="O32" s="34" t="str">
        <f>IF(K32=0,"",(M32-K32)/ABS(K32)+1)</f>
        <v/>
      </c>
      <c r="P32" s="32">
        <f>+P31</f>
        <v>0</v>
      </c>
      <c r="Q32" s="34" t="e">
        <f>+P32/$P$20</f>
        <v>#DIV/0!</v>
      </c>
      <c r="R32" s="34" t="str">
        <f t="shared" si="9"/>
        <v/>
      </c>
    </row>
    <row r="33" spans="1:20" ht="14.25" customHeight="1" x14ac:dyDescent="0.2">
      <c r="A33" s="94"/>
      <c r="G33" s="34" t="str">
        <f t="shared" si="5"/>
        <v/>
      </c>
      <c r="I33" s="34" t="str">
        <f t="shared" si="6"/>
        <v/>
      </c>
      <c r="R33" s="34" t="str">
        <f t="shared" si="9"/>
        <v/>
      </c>
    </row>
    <row r="34" spans="1:20" ht="14.25" customHeight="1" x14ac:dyDescent="0.2">
      <c r="A34" s="94"/>
      <c r="B34" s="3" t="s">
        <v>54</v>
      </c>
      <c r="C34" s="32">
        <f>C28+C32</f>
        <v>0</v>
      </c>
      <c r="D34" s="34" t="str">
        <f>IF($C$20&lt;=0," ",C34/$C$20)</f>
        <v xml:space="preserve"> </v>
      </c>
      <c r="E34" s="32">
        <f>E28+E32</f>
        <v>0</v>
      </c>
      <c r="F34" s="34" t="str">
        <f>IF($E$20&lt;=0," ",E34/$E$20)</f>
        <v xml:space="preserve"> </v>
      </c>
      <c r="G34" s="34" t="str">
        <f t="shared" si="5"/>
        <v/>
      </c>
      <c r="H34" s="32">
        <f>H28+H32</f>
        <v>0</v>
      </c>
      <c r="I34" s="34" t="str">
        <f t="shared" si="6"/>
        <v/>
      </c>
      <c r="J34" s="34" t="str">
        <f>IF(H34=0,"",(E34-H34)/ABS(H34))</f>
        <v/>
      </c>
      <c r="K34" s="32">
        <f>+K30</f>
        <v>0</v>
      </c>
      <c r="L34" s="34" t="str">
        <f>IF($K$20&lt;=0," ",K34/$K$20)</f>
        <v xml:space="preserve"> </v>
      </c>
      <c r="M34" s="32">
        <f>M28+M32</f>
        <v>0</v>
      </c>
      <c r="N34" s="34" t="str">
        <f>IF($M$20&lt;=0," ",M34/$M$20)</f>
        <v xml:space="preserve"> </v>
      </c>
      <c r="O34" s="34" t="str">
        <f>IF(K34=0,"",(M34-K34)/ABS(K34)+1)</f>
        <v/>
      </c>
      <c r="P34" s="32">
        <f>+P32</f>
        <v>0</v>
      </c>
      <c r="Q34" s="34" t="e">
        <f>+P34/$P$20</f>
        <v>#DIV/0!</v>
      </c>
      <c r="R34" s="34" t="str">
        <f t="shared" si="9"/>
        <v/>
      </c>
    </row>
    <row r="35" spans="1:20" ht="14.25" customHeight="1" x14ac:dyDescent="0.2">
      <c r="G35" s="34" t="str">
        <f t="shared" si="5"/>
        <v/>
      </c>
      <c r="I35" s="34" t="str">
        <f t="shared" si="6"/>
        <v/>
      </c>
      <c r="R35" s="34" t="str">
        <f t="shared" si="9"/>
        <v/>
      </c>
    </row>
    <row r="36" spans="1:20" ht="14.25" customHeight="1" x14ac:dyDescent="0.2">
      <c r="B36" s="20" t="s">
        <v>55</v>
      </c>
      <c r="C36" s="69">
        <f>+C24-C34</f>
        <v>0</v>
      </c>
      <c r="D36" s="45" t="str">
        <f>IF($C$20&lt;=0," ",C36/$C$20)</f>
        <v xml:space="preserve"> </v>
      </c>
      <c r="E36" s="69">
        <f>+E24-E34</f>
        <v>0</v>
      </c>
      <c r="F36" s="45" t="str">
        <f>IF($E$20&lt;=0," ",E36/$E$20)</f>
        <v xml:space="preserve"> </v>
      </c>
      <c r="G36" s="34" t="str">
        <f t="shared" si="5"/>
        <v/>
      </c>
      <c r="H36" s="69">
        <f>+H24-H34</f>
        <v>0</v>
      </c>
      <c r="I36" s="34" t="str">
        <f t="shared" si="6"/>
        <v/>
      </c>
      <c r="J36" s="45" t="str">
        <f>IF(H36=0,"",(E36-H36)/ABS(H36))</f>
        <v/>
      </c>
      <c r="K36" s="69">
        <f>+K31</f>
        <v>0</v>
      </c>
      <c r="L36" s="45" t="str">
        <f>IF($K$20&lt;=0," ",K36/$K$20)</f>
        <v xml:space="preserve"> </v>
      </c>
      <c r="M36" s="69">
        <f>+M24-M34</f>
        <v>0</v>
      </c>
      <c r="N36" s="45" t="str">
        <f>IF($M$20&lt;=0," ",M36/$M$20)</f>
        <v xml:space="preserve"> </v>
      </c>
      <c r="O36" s="45" t="str">
        <f>IF(K36=0,"",(M36-K36)/ABS(K36)+1)</f>
        <v/>
      </c>
      <c r="P36" s="69">
        <f>+P24-P34</f>
        <v>0</v>
      </c>
      <c r="Q36" s="45" t="e">
        <f>+P36/$P$20</f>
        <v>#DIV/0!</v>
      </c>
      <c r="R36" s="45" t="str">
        <f t="shared" si="9"/>
        <v/>
      </c>
    </row>
    <row r="37" spans="1:20" ht="14.25" customHeight="1" x14ac:dyDescent="0.2">
      <c r="G37" s="34" t="str">
        <f t="shared" si="5"/>
        <v/>
      </c>
      <c r="I37" s="34" t="str">
        <f t="shared" si="6"/>
        <v/>
      </c>
      <c r="R37" s="34" t="str">
        <f t="shared" si="9"/>
        <v/>
      </c>
      <c r="T37" s="55"/>
    </row>
    <row r="38" spans="1:20" ht="14.25" customHeight="1" x14ac:dyDescent="0.2">
      <c r="B38" s="3" t="s">
        <v>56</v>
      </c>
      <c r="C38" s="32">
        <f>+E38</f>
        <v>0</v>
      </c>
      <c r="D38" s="34" t="str">
        <f>IF($C$20&lt;=0," ",C38/$C$20)</f>
        <v xml:space="preserve"> </v>
      </c>
      <c r="E38" s="32">
        <v>0</v>
      </c>
      <c r="F38" s="34" t="str">
        <f>IF($E$20&lt;=0," ",E38/$E$20)</f>
        <v xml:space="preserve"> </v>
      </c>
      <c r="G38" s="34" t="str">
        <f t="shared" si="5"/>
        <v/>
      </c>
      <c r="H38" s="32">
        <v>0</v>
      </c>
      <c r="I38" s="34" t="str">
        <f t="shared" si="6"/>
        <v/>
      </c>
      <c r="J38" s="34" t="str">
        <f>IF(H38=0,"",(E38-H38)/ABS(H38))</f>
        <v/>
      </c>
      <c r="K38" s="32">
        <f>+K32</f>
        <v>0</v>
      </c>
      <c r="L38" s="34" t="str">
        <f>IF($K$20&lt;=0," ",K38/$K$20)</f>
        <v xml:space="preserve"> </v>
      </c>
      <c r="M38" s="32">
        <v>0</v>
      </c>
      <c r="N38" s="34" t="str">
        <f>IF($M$20&lt;=0," ",M38/$M$20)</f>
        <v xml:space="preserve"> </v>
      </c>
      <c r="O38" s="34" t="str">
        <f>IF(K38=0,"",(M38-K38)/ABS(K38)+1)</f>
        <v/>
      </c>
      <c r="P38" s="32">
        <v>0</v>
      </c>
      <c r="Q38" s="34" t="e">
        <f>+P38/$P$20</f>
        <v>#DIV/0!</v>
      </c>
      <c r="R38" s="34" t="str">
        <f t="shared" si="9"/>
        <v/>
      </c>
    </row>
    <row r="39" spans="1:20" ht="14.25" customHeight="1" x14ac:dyDescent="0.2">
      <c r="B39" s="3" t="s">
        <v>57</v>
      </c>
      <c r="C39" s="32">
        <f>+E39</f>
        <v>0</v>
      </c>
      <c r="D39" s="34" t="str">
        <f>IF($C$20&lt;=0," ",C39/$C$20)</f>
        <v xml:space="preserve"> </v>
      </c>
      <c r="E39" s="32">
        <v>0</v>
      </c>
      <c r="F39" s="34" t="str">
        <f>IF($E$20&lt;=0," ",E39/$E$20)</f>
        <v xml:space="preserve"> </v>
      </c>
      <c r="G39" s="34" t="str">
        <f t="shared" si="5"/>
        <v/>
      </c>
      <c r="H39" s="32">
        <v>0</v>
      </c>
      <c r="I39" s="34" t="str">
        <f t="shared" si="6"/>
        <v/>
      </c>
      <c r="J39" s="34" t="str">
        <f>IF(H39=0,"",(E39-H39)/ABS(H39))</f>
        <v/>
      </c>
      <c r="K39" s="32">
        <f>+K34</f>
        <v>0</v>
      </c>
      <c r="L39" s="34" t="str">
        <f>IF($K$20&lt;=0," ",K39/$K$20)</f>
        <v xml:space="preserve"> </v>
      </c>
      <c r="M39" s="32">
        <v>0</v>
      </c>
      <c r="N39" s="34" t="str">
        <f>IF($M$20&lt;=0," ",M39/$M$20)</f>
        <v xml:space="preserve"> </v>
      </c>
      <c r="O39" s="34" t="str">
        <f>IF(K39=0,"",(M39-K39)/ABS(K39)+1)</f>
        <v/>
      </c>
      <c r="P39" s="32">
        <v>0</v>
      </c>
      <c r="Q39" s="34" t="e">
        <f>+P39/$P$20</f>
        <v>#DIV/0!</v>
      </c>
      <c r="R39" s="34" t="str">
        <f t="shared" si="9"/>
        <v/>
      </c>
    </row>
    <row r="40" spans="1:20" ht="14.25" customHeight="1" x14ac:dyDescent="0.2">
      <c r="G40" s="34" t="str">
        <f t="shared" si="5"/>
        <v/>
      </c>
      <c r="I40" s="34" t="str">
        <f t="shared" si="6"/>
        <v/>
      </c>
      <c r="R40" s="34" t="str">
        <f t="shared" si="9"/>
        <v/>
      </c>
    </row>
    <row r="41" spans="1:20" ht="14.25" customHeight="1" x14ac:dyDescent="0.2">
      <c r="B41" s="3" t="s">
        <v>58</v>
      </c>
      <c r="C41" s="32">
        <f>C36+C38-C39</f>
        <v>0</v>
      </c>
      <c r="D41" s="34" t="str">
        <f>IF($C$20&lt;=0," ",C41/$C$20)</f>
        <v xml:space="preserve"> </v>
      </c>
      <c r="E41" s="32">
        <f>+E36-E39+E38</f>
        <v>0</v>
      </c>
      <c r="F41" s="34" t="str">
        <f>IF($E$20&lt;=0," ",E41/$E$20)</f>
        <v xml:space="preserve"> </v>
      </c>
      <c r="G41" s="34" t="str">
        <f t="shared" si="5"/>
        <v/>
      </c>
      <c r="H41" s="32">
        <f>+H36-H39+H38</f>
        <v>0</v>
      </c>
      <c r="I41" s="34" t="str">
        <f t="shared" si="6"/>
        <v/>
      </c>
      <c r="J41" s="34" t="str">
        <f>IF(H41=0,"",(E41-H41)/ABS(H41))</f>
        <v/>
      </c>
      <c r="K41" s="32">
        <f>+K36</f>
        <v>0</v>
      </c>
      <c r="L41" s="34" t="str">
        <f>IF($K$20&lt;=0," ",K41/$K$20)</f>
        <v xml:space="preserve"> </v>
      </c>
      <c r="M41" s="32">
        <f>+M36-M39+M38</f>
        <v>0</v>
      </c>
      <c r="N41" s="34" t="str">
        <f>IF($M$20&lt;=0," ",M41/$M$20)</f>
        <v xml:space="preserve"> </v>
      </c>
      <c r="O41" s="34" t="str">
        <f>IF(K41=0,"",(M41-K41)/ABS(K41)+1)</f>
        <v/>
      </c>
      <c r="P41" s="32">
        <f>P36+P38-P39</f>
        <v>0</v>
      </c>
      <c r="Q41" s="34" t="e">
        <f>+P41/$P$20</f>
        <v>#DIV/0!</v>
      </c>
      <c r="R41" s="34" t="str">
        <f t="shared" si="9"/>
        <v/>
      </c>
    </row>
    <row r="42" spans="1:20" ht="14.25" customHeight="1" x14ac:dyDescent="0.2">
      <c r="B42" s="3" t="s">
        <v>44</v>
      </c>
      <c r="C42" s="32"/>
      <c r="D42" s="34" t="str">
        <f>IF($C$20&lt;=0," ",C42/$C$20)</f>
        <v xml:space="preserve"> </v>
      </c>
      <c r="E42" s="32"/>
      <c r="F42" s="34" t="str">
        <f>IF($E$20&lt;=0," ",E42/$E$20)</f>
        <v xml:space="preserve"> </v>
      </c>
      <c r="G42" s="34" t="str">
        <f t="shared" si="5"/>
        <v/>
      </c>
      <c r="H42" s="32"/>
      <c r="I42" s="34" t="str">
        <f t="shared" si="6"/>
        <v/>
      </c>
      <c r="J42" s="34" t="str">
        <f>IF(H42=0,"",(E42-H42)/ABS(H42))</f>
        <v/>
      </c>
      <c r="K42" s="32">
        <f>+K38</f>
        <v>0</v>
      </c>
      <c r="L42" s="34" t="str">
        <f>IF($K$20&lt;=0," ",K42/$K$20)</f>
        <v xml:space="preserve"> </v>
      </c>
      <c r="M42" s="32"/>
      <c r="N42" s="34" t="str">
        <f>IF($M$20&lt;=0," ",M42/$M$20)</f>
        <v xml:space="preserve"> </v>
      </c>
      <c r="O42" s="34" t="str">
        <f>IF(K42=0,"",(M42-K42)/ABS(K42)+1)</f>
        <v/>
      </c>
      <c r="P42" s="32">
        <f>+H42</f>
        <v>0</v>
      </c>
      <c r="Q42" s="34" t="e">
        <f>+P42/$P$20</f>
        <v>#DIV/0!</v>
      </c>
      <c r="R42" s="34" t="str">
        <f t="shared" si="9"/>
        <v/>
      </c>
    </row>
    <row r="43" spans="1:20" ht="14.25" customHeight="1" x14ac:dyDescent="0.2">
      <c r="B43" s="20" t="s">
        <v>59</v>
      </c>
      <c r="C43" s="69">
        <f>+C41-C42</f>
        <v>0</v>
      </c>
      <c r="D43" s="45" t="str">
        <f>IF($C$20&lt;=0," ",C43/$C$20)</f>
        <v xml:space="preserve"> </v>
      </c>
      <c r="E43" s="69">
        <f>E41-E42</f>
        <v>0</v>
      </c>
      <c r="F43" s="45" t="str">
        <f>IF($E$20&lt;=0," ",E43/$E$20)</f>
        <v xml:space="preserve"> </v>
      </c>
      <c r="G43" s="34" t="str">
        <f t="shared" si="5"/>
        <v/>
      </c>
      <c r="H43" s="69">
        <f>H41-H42</f>
        <v>0</v>
      </c>
      <c r="I43" s="34" t="str">
        <f t="shared" si="6"/>
        <v/>
      </c>
      <c r="J43" s="45" t="str">
        <f>IF(H43=0,"",(E43-H43)/ABS(H43))</f>
        <v/>
      </c>
      <c r="K43" s="69">
        <f>+K39</f>
        <v>0</v>
      </c>
      <c r="L43" s="45" t="str">
        <f>IF($K$20&lt;=0," ",K43/$K$20)</f>
        <v xml:space="preserve"> </v>
      </c>
      <c r="M43" s="69">
        <f>M41-M42</f>
        <v>0</v>
      </c>
      <c r="N43" s="45" t="str">
        <f>IF($M$20&lt;=0," ",M43/$M$20)</f>
        <v xml:space="preserve"> </v>
      </c>
      <c r="O43" s="45" t="str">
        <f>IF(K43=0,"",(M43-K43)/ABS(K43)+1)</f>
        <v/>
      </c>
      <c r="P43" s="69">
        <f>P41-P42</f>
        <v>0</v>
      </c>
      <c r="Q43" s="45" t="e">
        <f>+P43/$P$20</f>
        <v>#DIV/0!</v>
      </c>
      <c r="R43" s="45" t="str">
        <f t="shared" si="9"/>
        <v/>
      </c>
    </row>
    <row r="44" spans="1:20" ht="14.25" customHeight="1" x14ac:dyDescent="0.2">
      <c r="G44" s="34" t="str">
        <f t="shared" si="5"/>
        <v/>
      </c>
      <c r="I44" s="34" t="str">
        <f t="shared" si="6"/>
        <v/>
      </c>
      <c r="R44" s="34" t="str">
        <f t="shared" si="9"/>
        <v/>
      </c>
    </row>
    <row r="45" spans="1:20" ht="14.25" customHeight="1" x14ac:dyDescent="0.2">
      <c r="B45" s="3" t="s">
        <v>60</v>
      </c>
      <c r="C45" s="32">
        <f>+C36</f>
        <v>0</v>
      </c>
      <c r="D45" s="34" t="str">
        <f>IF($C$20&lt;=0," ",C45/$C$20)</f>
        <v xml:space="preserve"> </v>
      </c>
      <c r="E45" s="32">
        <f>+E36</f>
        <v>0</v>
      </c>
      <c r="F45" s="34" t="str">
        <f>IF($E$20&lt;=0," ",E45/$E$20)</f>
        <v xml:space="preserve"> </v>
      </c>
      <c r="G45" s="34" t="str">
        <f t="shared" si="5"/>
        <v/>
      </c>
      <c r="H45" s="32">
        <f>+H36</f>
        <v>0</v>
      </c>
      <c r="I45" s="34" t="str">
        <f t="shared" si="6"/>
        <v/>
      </c>
      <c r="J45" s="34" t="str">
        <f>IF(H45=0,"",(E45-H45)/ABS(H45))</f>
        <v/>
      </c>
      <c r="K45" s="32">
        <f>+K41</f>
        <v>0</v>
      </c>
      <c r="L45" s="34" t="str">
        <f>IF($K$20&lt;=0," ",K45/$K$20)</f>
        <v xml:space="preserve"> </v>
      </c>
      <c r="M45" s="32">
        <f>+M36</f>
        <v>0</v>
      </c>
      <c r="N45" s="34" t="str">
        <f>IF($M$20&lt;=0," ",M45/$M$20)</f>
        <v xml:space="preserve"> </v>
      </c>
      <c r="O45" s="34" t="str">
        <f>IF(K45=0,"",(M45-K45)/ABS(K45)+1)</f>
        <v/>
      </c>
      <c r="P45" s="32">
        <f>+P36</f>
        <v>0</v>
      </c>
      <c r="Q45" s="34" t="e">
        <f>+P45/$P$20</f>
        <v>#DIV/0!</v>
      </c>
      <c r="R45" s="34" t="str">
        <f t="shared" si="9"/>
        <v/>
      </c>
    </row>
    <row r="46" spans="1:20" ht="14.25" customHeight="1" x14ac:dyDescent="0.2">
      <c r="B46" s="3" t="s">
        <v>35</v>
      </c>
      <c r="C46" s="32">
        <v>0</v>
      </c>
      <c r="D46" s="34" t="str">
        <f>IF($C$20&lt;=0," ",C46/$C$20)</f>
        <v xml:space="preserve"> </v>
      </c>
      <c r="E46" s="32">
        <v>0</v>
      </c>
      <c r="F46" s="34" t="str">
        <f>IF($E$20&lt;=0," ",E46/$E$20)</f>
        <v xml:space="preserve"> </v>
      </c>
      <c r="G46" s="34" t="str">
        <f t="shared" si="5"/>
        <v/>
      </c>
      <c r="H46" s="32">
        <v>0</v>
      </c>
      <c r="I46" s="34" t="str">
        <f t="shared" si="6"/>
        <v/>
      </c>
      <c r="J46" s="34" t="str">
        <f>IF(H46=0,"",(E46-H46)/ABS(H46))</f>
        <v/>
      </c>
      <c r="K46" s="32">
        <f>+K42</f>
        <v>0</v>
      </c>
      <c r="L46" s="34" t="str">
        <f>IF($K$20&lt;=0," ",K46/$K$20)</f>
        <v xml:space="preserve"> </v>
      </c>
      <c r="M46" s="32">
        <v>0</v>
      </c>
      <c r="N46" s="34" t="str">
        <f>IF($M$20&lt;=0," ",M46/$M$20)</f>
        <v xml:space="preserve"> </v>
      </c>
      <c r="O46" s="34" t="str">
        <f>IF(K46=0,"",(M46-K46)/ABS(K46)+1)</f>
        <v/>
      </c>
      <c r="P46" s="32">
        <v>0</v>
      </c>
      <c r="Q46" s="34" t="e">
        <f>+P46/$P$20</f>
        <v>#DIV/0!</v>
      </c>
      <c r="R46" s="34" t="str">
        <f t="shared" si="9"/>
        <v/>
      </c>
    </row>
    <row r="47" spans="1:20" ht="14.25" customHeight="1" x14ac:dyDescent="0.2">
      <c r="C47" s="67"/>
      <c r="D47" s="67"/>
      <c r="E47" s="67"/>
      <c r="F47" s="67"/>
      <c r="G47" s="67"/>
      <c r="H47" s="67"/>
      <c r="I47" s="67"/>
      <c r="J47" s="67"/>
      <c r="K47" s="67"/>
      <c r="L47" s="67"/>
      <c r="N47" s="67"/>
      <c r="O47" s="67"/>
    </row>
    <row r="48" spans="1:20" ht="14.25" customHeight="1" x14ac:dyDescent="0.2">
      <c r="M48" s="67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</vt:i4>
      </vt:variant>
    </vt:vector>
  </HeadingPairs>
  <TitlesOfParts>
    <vt:vector size="12" baseType="lpstr">
      <vt:lpstr>Paramet</vt:lpstr>
      <vt:lpstr>COL. CONS.$</vt:lpstr>
      <vt:lpstr>COLOMB$ </vt:lpstr>
      <vt:lpstr>PROY SAT$</vt:lpstr>
      <vt:lpstr>COLOMBIA USD</vt:lpstr>
      <vt:lpstr>EL SALVADOR USD</vt:lpstr>
      <vt:lpstr>VZLA BFS</vt:lpstr>
      <vt:lpstr>VENEZUELA USD</vt:lpstr>
      <vt:lpstr>PANAMA USD</vt:lpstr>
      <vt:lpstr>CONS USD</vt:lpstr>
      <vt:lpstr>ctas</vt:lpstr>
      <vt:lpstr>b2w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Gutierrez</dc:creator>
  <cp:lastModifiedBy>Robert Gutierrez</cp:lastModifiedBy>
  <dcterms:created xsi:type="dcterms:W3CDTF">2024-07-19T16:39:21Z</dcterms:created>
  <dcterms:modified xsi:type="dcterms:W3CDTF">2024-07-19T16:42:36Z</dcterms:modified>
</cp:coreProperties>
</file>