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usicar-my.sharepoint.com/personal/robert_gutierrez_musicar_onmicrosoft_com/Documents/Musicar/Documents/Informes de Junta/2024/Consolidado/"/>
    </mc:Choice>
  </mc:AlternateContent>
  <xr:revisionPtr revIDLastSave="2" documentId="8_{F4F06692-207B-4B85-83F2-035AEBEC8594}" xr6:coauthVersionLast="47" xr6:coauthVersionMax="47" xr10:uidLastSave="{C0B9B0C0-D02D-40F0-9F72-100C79EC31D2}"/>
  <bookViews>
    <workbookView xWindow="-120" yWindow="-120" windowWidth="20730" windowHeight="11160" firstSheet="1" activeTab="1" xr2:uid="{727BC9DB-63B3-4758-B969-95A209394C61}"/>
  </bookViews>
  <sheets>
    <sheet name="Paramet" sheetId="2" r:id="rId1"/>
    <sheet name="COL. CONS.$" sheetId="3" r:id="rId2"/>
    <sheet name="COLOMB$ " sheetId="4" r:id="rId3"/>
    <sheet name="PROY SAT$" sheetId="5" r:id="rId4"/>
    <sheet name="COLOMBIA USD" sheetId="6" r:id="rId5"/>
    <sheet name="EL SALVADOR USD" sheetId="7" r:id="rId6"/>
    <sheet name="VZLA BFS" sheetId="8" r:id="rId7"/>
    <sheet name="VENEZUELA USD" sheetId="9" r:id="rId8"/>
    <sheet name="PANAMA USD" sheetId="10" r:id="rId9"/>
    <sheet name="CONS USD" sheetId="11" r:id="rId10"/>
    <sheet name="ctas" sheetId="12" r:id="rId11"/>
  </sheets>
  <definedNames>
    <definedName name="__BIA_0237574" localSheetId="10" hidden="1">#REF!(11,"Presupuesto por Cuenta","Zoom","Cuenta","IN",ctas!$A$187:$A$222,"Periodo","=",201605)</definedName>
    <definedName name="__BIA_4422336" localSheetId="10" hidden="1">"-"</definedName>
    <definedName name="__BIA_4423615" localSheetId="10" hidden="1">Paramet!$B$3&amp;Paramet!$B$4</definedName>
    <definedName name="__BIA_8159523" localSheetId="10" hidden="1">#REF!(4,"Presupuesto por flujo de efectivo","Zoom","Periodo","R",Paramet!$B$3,Paramet!$B$4,"Cpto Flujo de Efectivo","IN",ctas!$A$544:$A$551)</definedName>
    <definedName name="b2w">'COLOMB$ '!$H$2</definedName>
  </definedNames>
  <calcPr calcId="191029"/>
  <pivotCaches>
    <pivotCache cacheId="2" r:id="rId12"/>
    <pivotCache cacheId="1" r:id="rId13"/>
    <pivotCache cacheId="0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25" i="11" l="1"/>
  <c r="AK17" i="11"/>
  <c r="AE17" i="11"/>
  <c r="V7" i="11"/>
  <c r="P7" i="11"/>
  <c r="N7" i="11"/>
  <c r="L7" i="11"/>
  <c r="AB6" i="11"/>
  <c r="Y6" i="11"/>
  <c r="X6" i="11"/>
  <c r="AA6" i="11" s="1"/>
  <c r="W6" i="11"/>
  <c r="Z6" i="11" s="1"/>
  <c r="Z5" i="11"/>
  <c r="W5" i="11"/>
  <c r="V3" i="11"/>
  <c r="R46" i="10"/>
  <c r="J46" i="10"/>
  <c r="I46" i="10"/>
  <c r="G46" i="10"/>
  <c r="R44" i="10"/>
  <c r="I44" i="10"/>
  <c r="G44" i="10"/>
  <c r="P42" i="10"/>
  <c r="R42" i="10" s="1"/>
  <c r="J42" i="10"/>
  <c r="I42" i="10"/>
  <c r="G42" i="10"/>
  <c r="R40" i="10"/>
  <c r="I40" i="10"/>
  <c r="G40" i="10"/>
  <c r="I38" i="10"/>
  <c r="C38" i="10"/>
  <c r="G38" i="10" s="1"/>
  <c r="R37" i="10"/>
  <c r="I37" i="10"/>
  <c r="G37" i="10"/>
  <c r="R35" i="10"/>
  <c r="I35" i="10"/>
  <c r="G35" i="10"/>
  <c r="R33" i="10"/>
  <c r="I33" i="10"/>
  <c r="G33" i="10"/>
  <c r="R30" i="10"/>
  <c r="J30" i="10"/>
  <c r="I30" i="10"/>
  <c r="C30" i="10"/>
  <c r="R29" i="10"/>
  <c r="I29" i="10"/>
  <c r="G29" i="10"/>
  <c r="P28" i="10"/>
  <c r="R28" i="10" s="1"/>
  <c r="H28" i="10"/>
  <c r="J28" i="10" s="1"/>
  <c r="E28" i="10"/>
  <c r="I28" i="10" s="1"/>
  <c r="AC27" i="10"/>
  <c r="AA27" i="10"/>
  <c r="Y27" i="10"/>
  <c r="Z27" i="10" s="1"/>
  <c r="X27" i="10"/>
  <c r="R27" i="10"/>
  <c r="K27" i="10"/>
  <c r="O27" i="10" s="1"/>
  <c r="J27" i="10"/>
  <c r="I27" i="10"/>
  <c r="G27" i="10"/>
  <c r="C27" i="10"/>
  <c r="R26" i="10"/>
  <c r="J26" i="10"/>
  <c r="I26" i="10"/>
  <c r="C26" i="10"/>
  <c r="AC25" i="10"/>
  <c r="Y25" i="10"/>
  <c r="X25" i="10"/>
  <c r="R25" i="10"/>
  <c r="I25" i="10"/>
  <c r="G25" i="10"/>
  <c r="AC23" i="10"/>
  <c r="Y23" i="10"/>
  <c r="X23" i="10"/>
  <c r="R23" i="10"/>
  <c r="I23" i="10"/>
  <c r="G23" i="10"/>
  <c r="R22" i="10"/>
  <c r="O22" i="10"/>
  <c r="M22" i="10"/>
  <c r="J22" i="10"/>
  <c r="I22" i="10"/>
  <c r="G22" i="10"/>
  <c r="R21" i="10"/>
  <c r="I21" i="10"/>
  <c r="G21" i="10"/>
  <c r="J20" i="10"/>
  <c r="R18" i="10"/>
  <c r="I18" i="10"/>
  <c r="G18" i="10"/>
  <c r="R17" i="10"/>
  <c r="I17" i="10"/>
  <c r="G17" i="10"/>
  <c r="R16" i="10"/>
  <c r="I16" i="10"/>
  <c r="G16" i="10"/>
  <c r="AC15" i="10"/>
  <c r="AA15" i="10"/>
  <c r="Z15" i="10"/>
  <c r="R15" i="10"/>
  <c r="O15" i="10"/>
  <c r="K15" i="10"/>
  <c r="J15" i="10"/>
  <c r="I15" i="10"/>
  <c r="G15" i="10"/>
  <c r="AC14" i="10"/>
  <c r="AA14" i="10"/>
  <c r="Z14" i="10"/>
  <c r="R14" i="10"/>
  <c r="K14" i="10"/>
  <c r="O14" i="10" s="1"/>
  <c r="J14" i="10"/>
  <c r="I14" i="10"/>
  <c r="G14" i="10"/>
  <c r="AC13" i="10"/>
  <c r="AA13" i="10"/>
  <c r="Z13" i="10"/>
  <c r="R13" i="10"/>
  <c r="O13" i="10"/>
  <c r="K13" i="10"/>
  <c r="J13" i="10"/>
  <c r="I13" i="10"/>
  <c r="G13" i="10"/>
  <c r="R12" i="10"/>
  <c r="K12" i="10"/>
  <c r="O12" i="10" s="1"/>
  <c r="J12" i="10"/>
  <c r="I12" i="10"/>
  <c r="G12" i="10"/>
  <c r="R11" i="10"/>
  <c r="O11" i="10"/>
  <c r="K11" i="10"/>
  <c r="J11" i="10"/>
  <c r="I11" i="10"/>
  <c r="G11" i="10"/>
  <c r="J10" i="10"/>
  <c r="AM82" i="9"/>
  <c r="AN82" i="9" s="1"/>
  <c r="AQ82" i="9" s="1"/>
  <c r="AN81" i="9"/>
  <c r="AQ81" i="9" s="1"/>
  <c r="AM64" i="9"/>
  <c r="AN64" i="9" s="1"/>
  <c r="AQ64" i="9" s="1"/>
  <c r="AN63" i="9"/>
  <c r="AQ63" i="9" s="1"/>
  <c r="AU47" i="9"/>
  <c r="AV47" i="9" s="1"/>
  <c r="AY47" i="9" s="1"/>
  <c r="AM47" i="9"/>
  <c r="AN47" i="9" s="1"/>
  <c r="AQ47" i="9" s="1"/>
  <c r="AY46" i="9"/>
  <c r="AV46" i="9"/>
  <c r="AN46" i="9"/>
  <c r="AQ46" i="9" s="1"/>
  <c r="D46" i="9"/>
  <c r="D45" i="9"/>
  <c r="D43" i="9"/>
  <c r="M42" i="9"/>
  <c r="D42" i="9"/>
  <c r="P41" i="9"/>
  <c r="H41" i="9"/>
  <c r="D41" i="9"/>
  <c r="P39" i="9"/>
  <c r="H39" i="9"/>
  <c r="D39" i="9"/>
  <c r="K38" i="9"/>
  <c r="O38" i="9" s="1"/>
  <c r="D38" i="9"/>
  <c r="D36" i="9"/>
  <c r="D34" i="9"/>
  <c r="D32" i="9"/>
  <c r="K31" i="9"/>
  <c r="O31" i="9" s="1"/>
  <c r="D31" i="9"/>
  <c r="M30" i="9"/>
  <c r="D30" i="9"/>
  <c r="C30" i="9"/>
  <c r="G30" i="9" s="1"/>
  <c r="P29" i="9"/>
  <c r="AA28" i="9"/>
  <c r="Y28" i="9"/>
  <c r="Z28" i="9" s="1"/>
  <c r="K28" i="9"/>
  <c r="O28" i="9" s="1"/>
  <c r="D28" i="9"/>
  <c r="Y27" i="9"/>
  <c r="M27" i="9"/>
  <c r="H27" i="9"/>
  <c r="D27" i="9"/>
  <c r="U26" i="9"/>
  <c r="K26" i="9"/>
  <c r="O26" i="9" s="1"/>
  <c r="D26" i="9"/>
  <c r="H25" i="9"/>
  <c r="P24" i="9"/>
  <c r="D24" i="9"/>
  <c r="AC23" i="9"/>
  <c r="AA23" i="9"/>
  <c r="Z23" i="9"/>
  <c r="P23" i="9"/>
  <c r="M22" i="9"/>
  <c r="R22" i="9" s="1"/>
  <c r="K22" i="9"/>
  <c r="O22" i="9" s="1"/>
  <c r="D22" i="9"/>
  <c r="C22" i="9"/>
  <c r="G22" i="9" s="1"/>
  <c r="O21" i="9"/>
  <c r="G21" i="9"/>
  <c r="AC20" i="9"/>
  <c r="U20" i="9"/>
  <c r="D20" i="9"/>
  <c r="M19" i="9"/>
  <c r="E19" i="9"/>
  <c r="D19" i="9"/>
  <c r="M18" i="9"/>
  <c r="R18" i="9" s="1"/>
  <c r="E18" i="9"/>
  <c r="J18" i="9" s="1"/>
  <c r="D18" i="9"/>
  <c r="W17" i="9"/>
  <c r="H17" i="9"/>
  <c r="D17" i="9"/>
  <c r="C17" i="9"/>
  <c r="G17" i="9" s="1"/>
  <c r="AB16" i="9"/>
  <c r="U16" i="9"/>
  <c r="E16" i="9"/>
  <c r="J16" i="9" s="1"/>
  <c r="D16" i="9"/>
  <c r="Y15" i="9"/>
  <c r="U15" i="9"/>
  <c r="K15" i="9"/>
  <c r="O15" i="9" s="1"/>
  <c r="E15" i="9"/>
  <c r="D15" i="9"/>
  <c r="Y14" i="9"/>
  <c r="V14" i="9"/>
  <c r="U14" i="9"/>
  <c r="M14" i="9"/>
  <c r="R14" i="9" s="1"/>
  <c r="H14" i="9"/>
  <c r="D14" i="9"/>
  <c r="C14" i="9"/>
  <c r="G14" i="9" s="1"/>
  <c r="Y13" i="9"/>
  <c r="V13" i="9"/>
  <c r="U13" i="9"/>
  <c r="M13" i="9"/>
  <c r="H13" i="9"/>
  <c r="E13" i="9"/>
  <c r="D13" i="9"/>
  <c r="U12" i="9"/>
  <c r="P12" i="9"/>
  <c r="K12" i="9"/>
  <c r="O12" i="9" s="1"/>
  <c r="H12" i="9"/>
  <c r="D12" i="9"/>
  <c r="C12" i="9"/>
  <c r="G12" i="9" s="1"/>
  <c r="AB11" i="9"/>
  <c r="W11" i="9"/>
  <c r="V11" i="9"/>
  <c r="P11" i="9"/>
  <c r="K11" i="9"/>
  <c r="O11" i="9" s="1"/>
  <c r="E11" i="9"/>
  <c r="D11" i="9"/>
  <c r="Y10" i="9"/>
  <c r="X10" i="9"/>
  <c r="U10" i="9"/>
  <c r="P10" i="9"/>
  <c r="M10" i="9"/>
  <c r="D10" i="9"/>
  <c r="C10" i="9"/>
  <c r="G10" i="9" s="1"/>
  <c r="G7" i="9"/>
  <c r="O7" i="9" s="1"/>
  <c r="AH4" i="9"/>
  <c r="AH3" i="9"/>
  <c r="E42" i="9" s="1"/>
  <c r="R46" i="8"/>
  <c r="O46" i="8"/>
  <c r="I46" i="8"/>
  <c r="R45" i="8"/>
  <c r="Q45" i="8"/>
  <c r="I45" i="8"/>
  <c r="Q43" i="8"/>
  <c r="I43" i="8"/>
  <c r="R42" i="8"/>
  <c r="Q42" i="8"/>
  <c r="K42" i="8"/>
  <c r="O42" i="8" s="1"/>
  <c r="J42" i="8"/>
  <c r="I42" i="8"/>
  <c r="G42" i="8"/>
  <c r="Q41" i="8"/>
  <c r="I41" i="8"/>
  <c r="R39" i="8"/>
  <c r="Q39" i="8"/>
  <c r="O39" i="8"/>
  <c r="J39" i="8"/>
  <c r="I39" i="8"/>
  <c r="G39" i="8"/>
  <c r="R38" i="8"/>
  <c r="Q38" i="8"/>
  <c r="K38" i="8"/>
  <c r="O38" i="8" s="1"/>
  <c r="J38" i="8"/>
  <c r="I38" i="8"/>
  <c r="G38" i="8"/>
  <c r="Q36" i="8"/>
  <c r="I36" i="8"/>
  <c r="Q34" i="8"/>
  <c r="I34" i="8"/>
  <c r="Q32" i="8"/>
  <c r="M32" i="8"/>
  <c r="K32" i="8"/>
  <c r="I32" i="8"/>
  <c r="G32" i="8"/>
  <c r="E32" i="8"/>
  <c r="C32" i="8"/>
  <c r="C39" i="9" s="1"/>
  <c r="G39" i="9" s="1"/>
  <c r="R31" i="8"/>
  <c r="Q31" i="8"/>
  <c r="O31" i="8"/>
  <c r="J31" i="8"/>
  <c r="I31" i="8"/>
  <c r="G31" i="8"/>
  <c r="R30" i="8"/>
  <c r="Q30" i="8"/>
  <c r="O30" i="8"/>
  <c r="J30" i="8"/>
  <c r="I30" i="8"/>
  <c r="G30" i="8"/>
  <c r="AC28" i="8"/>
  <c r="AA28" i="8"/>
  <c r="Z28" i="8"/>
  <c r="Q28" i="8"/>
  <c r="O28" i="8"/>
  <c r="M28" i="8"/>
  <c r="R28" i="8" s="1"/>
  <c r="K28" i="8"/>
  <c r="I28" i="8"/>
  <c r="E28" i="8"/>
  <c r="J28" i="8" s="1"/>
  <c r="C28" i="8"/>
  <c r="C34" i="8" s="1"/>
  <c r="AC27" i="8"/>
  <c r="X27" i="8"/>
  <c r="R27" i="8"/>
  <c r="Q27" i="8"/>
  <c r="O27" i="8"/>
  <c r="J27" i="8"/>
  <c r="I27" i="8"/>
  <c r="G27" i="8"/>
  <c r="R26" i="8"/>
  <c r="Q26" i="8"/>
  <c r="O26" i="8"/>
  <c r="J26" i="8"/>
  <c r="I26" i="8"/>
  <c r="G26" i="8"/>
  <c r="AC25" i="8"/>
  <c r="X25" i="8"/>
  <c r="AA25" i="8" s="1"/>
  <c r="Q24" i="8"/>
  <c r="I24" i="8"/>
  <c r="AC23" i="8"/>
  <c r="AA23" i="8"/>
  <c r="Z23" i="8"/>
  <c r="R22" i="8"/>
  <c r="Q22" i="8"/>
  <c r="K22" i="8"/>
  <c r="J22" i="8"/>
  <c r="I22" i="8"/>
  <c r="G22" i="8"/>
  <c r="AC20" i="8"/>
  <c r="Q20" i="8"/>
  <c r="M20" i="8"/>
  <c r="N45" i="8" s="1"/>
  <c r="L20" i="8"/>
  <c r="K20" i="8"/>
  <c r="L41" i="8" s="1"/>
  <c r="I20" i="8"/>
  <c r="E20" i="8"/>
  <c r="C20" i="8"/>
  <c r="D14" i="8" s="1"/>
  <c r="U19" i="8"/>
  <c r="U21" i="8" s="1"/>
  <c r="U30" i="8" s="1"/>
  <c r="U30" i="9" s="1"/>
  <c r="B19" i="8"/>
  <c r="Y17" i="8"/>
  <c r="Y17" i="9" s="1"/>
  <c r="V17" i="8"/>
  <c r="V19" i="8" s="1"/>
  <c r="V21" i="8" s="1"/>
  <c r="V30" i="8" s="1"/>
  <c r="U17" i="8"/>
  <c r="U17" i="9" s="1"/>
  <c r="B17" i="8"/>
  <c r="AC16" i="8"/>
  <c r="X16" i="8"/>
  <c r="D16" i="8"/>
  <c r="B16" i="8"/>
  <c r="AC15" i="8"/>
  <c r="Z15" i="8"/>
  <c r="X15" i="8"/>
  <c r="X15" i="9" s="1"/>
  <c r="Z15" i="9" s="1"/>
  <c r="R15" i="8"/>
  <c r="Q15" i="8"/>
  <c r="N15" i="8"/>
  <c r="L15" i="8"/>
  <c r="J15" i="8"/>
  <c r="I15" i="8"/>
  <c r="G15" i="8"/>
  <c r="F15" i="8"/>
  <c r="B15" i="8"/>
  <c r="AC14" i="8"/>
  <c r="AA14" i="8"/>
  <c r="X14" i="8"/>
  <c r="X14" i="9" s="1"/>
  <c r="R14" i="8"/>
  <c r="Q14" i="8"/>
  <c r="O14" i="8"/>
  <c r="N14" i="8"/>
  <c r="L14" i="8"/>
  <c r="J14" i="8"/>
  <c r="I14" i="8"/>
  <c r="G14" i="8"/>
  <c r="F14" i="8"/>
  <c r="B14" i="8"/>
  <c r="AC13" i="8"/>
  <c r="X13" i="8"/>
  <c r="X17" i="8" s="1"/>
  <c r="R13" i="8"/>
  <c r="Q13" i="8"/>
  <c r="O13" i="8"/>
  <c r="N13" i="8"/>
  <c r="L13" i="8"/>
  <c r="J13" i="8"/>
  <c r="I13" i="8"/>
  <c r="G13" i="8"/>
  <c r="F13" i="8"/>
  <c r="B13" i="8"/>
  <c r="R12" i="8"/>
  <c r="Q12" i="8"/>
  <c r="O12" i="8"/>
  <c r="N12" i="8"/>
  <c r="L12" i="8"/>
  <c r="J12" i="8"/>
  <c r="I12" i="8"/>
  <c r="G12" i="8"/>
  <c r="F12" i="8"/>
  <c r="D12" i="8"/>
  <c r="B12" i="8"/>
  <c r="AC11" i="8"/>
  <c r="AA11" i="8"/>
  <c r="X11" i="8"/>
  <c r="Z11" i="8" s="1"/>
  <c r="R11" i="8"/>
  <c r="Q11" i="8"/>
  <c r="O11" i="8"/>
  <c r="N11" i="8"/>
  <c r="J11" i="8"/>
  <c r="I11" i="8"/>
  <c r="G11" i="8"/>
  <c r="F11" i="8"/>
  <c r="B11" i="8"/>
  <c r="AC10" i="8"/>
  <c r="AA10" i="8"/>
  <c r="Z10" i="8"/>
  <c r="R10" i="8"/>
  <c r="Q10" i="8"/>
  <c r="O10" i="8"/>
  <c r="N10" i="8"/>
  <c r="L10" i="8"/>
  <c r="J10" i="8"/>
  <c r="I10" i="8"/>
  <c r="G10" i="8"/>
  <c r="F10" i="8"/>
  <c r="D10" i="8"/>
  <c r="B10" i="8"/>
  <c r="AD28" i="7"/>
  <c r="Z28" i="7"/>
  <c r="AA28" i="7" s="1"/>
  <c r="Y28" i="7"/>
  <c r="AB28" i="7" s="1"/>
  <c r="AD27" i="7"/>
  <c r="AB27" i="7"/>
  <c r="Z27" i="7"/>
  <c r="AA27" i="7" s="1"/>
  <c r="Y27" i="7"/>
  <c r="Z25" i="7"/>
  <c r="AD25" i="7" s="1"/>
  <c r="Y25" i="7"/>
  <c r="AD23" i="7"/>
  <c r="Z23" i="7"/>
  <c r="Y23" i="7"/>
  <c r="AB23" i="7" s="1"/>
  <c r="B19" i="7"/>
  <c r="W17" i="7"/>
  <c r="W19" i="7" s="1"/>
  <c r="W21" i="7" s="1"/>
  <c r="W30" i="7" s="1"/>
  <c r="V17" i="7"/>
  <c r="V19" i="7" s="1"/>
  <c r="V21" i="7" s="1"/>
  <c r="V30" i="7" s="1"/>
  <c r="R17" i="7"/>
  <c r="K17" i="7"/>
  <c r="O17" i="7" s="1"/>
  <c r="J17" i="7"/>
  <c r="G17" i="7"/>
  <c r="B17" i="7"/>
  <c r="Z16" i="7"/>
  <c r="AD16" i="7" s="1"/>
  <c r="Y16" i="7"/>
  <c r="AB16" i="7" s="1"/>
  <c r="R16" i="7"/>
  <c r="K16" i="7"/>
  <c r="B16" i="7"/>
  <c r="Z15" i="7"/>
  <c r="AD15" i="7" s="1"/>
  <c r="Y15" i="7"/>
  <c r="AB15" i="7" s="1"/>
  <c r="B15" i="7"/>
  <c r="AD14" i="7"/>
  <c r="AB14" i="7"/>
  <c r="AA14" i="7"/>
  <c r="Z14" i="7"/>
  <c r="Y14" i="7"/>
  <c r="R14" i="7"/>
  <c r="B14" i="7"/>
  <c r="AA13" i="7"/>
  <c r="Z13" i="7"/>
  <c r="AD13" i="7" s="1"/>
  <c r="Y13" i="7"/>
  <c r="B13" i="7"/>
  <c r="B12" i="7"/>
  <c r="Z11" i="7"/>
  <c r="AD11" i="7" s="1"/>
  <c r="Y11" i="7"/>
  <c r="B11" i="7"/>
  <c r="AD10" i="7"/>
  <c r="AB10" i="7"/>
  <c r="AA10" i="7"/>
  <c r="B10" i="7"/>
  <c r="X7" i="7"/>
  <c r="AC7" i="7" s="1"/>
  <c r="H7" i="7"/>
  <c r="P7" i="7" s="1"/>
  <c r="U3" i="7"/>
  <c r="Z27" i="6"/>
  <c r="Z21" i="11" s="1"/>
  <c r="Y27" i="6"/>
  <c r="AE20" i="6"/>
  <c r="B19" i="6"/>
  <c r="B17" i="6"/>
  <c r="H16" i="6"/>
  <c r="E16" i="6"/>
  <c r="E16" i="11" s="1"/>
  <c r="B16" i="6"/>
  <c r="B15" i="6"/>
  <c r="P14" i="6"/>
  <c r="M14" i="6"/>
  <c r="B14" i="6"/>
  <c r="B13" i="6"/>
  <c r="B12" i="6"/>
  <c r="B11" i="6"/>
  <c r="AD10" i="6"/>
  <c r="Z10" i="6"/>
  <c r="Y10" i="6"/>
  <c r="X10" i="6"/>
  <c r="B10" i="6"/>
  <c r="H7" i="6"/>
  <c r="Y7" i="6" s="1"/>
  <c r="AD7" i="6" s="1"/>
  <c r="AI5" i="6"/>
  <c r="AJ5" i="6" s="1"/>
  <c r="V4" i="6"/>
  <c r="V3" i="6"/>
  <c r="R46" i="5"/>
  <c r="J46" i="5"/>
  <c r="R44" i="5"/>
  <c r="J44" i="5"/>
  <c r="R42" i="5"/>
  <c r="M42" i="5"/>
  <c r="J42" i="5"/>
  <c r="R40" i="5"/>
  <c r="J40" i="5"/>
  <c r="O39" i="5"/>
  <c r="G39" i="5"/>
  <c r="O38" i="5"/>
  <c r="G38" i="5"/>
  <c r="R37" i="5"/>
  <c r="J37" i="5"/>
  <c r="R35" i="5"/>
  <c r="J35" i="5"/>
  <c r="O32" i="5"/>
  <c r="K32" i="5"/>
  <c r="C32" i="5"/>
  <c r="G32" i="5" s="1"/>
  <c r="O31" i="5"/>
  <c r="G31" i="5"/>
  <c r="O30" i="5"/>
  <c r="G30" i="5"/>
  <c r="R29" i="5"/>
  <c r="J29" i="5"/>
  <c r="R25" i="5"/>
  <c r="J25" i="5"/>
  <c r="R23" i="5"/>
  <c r="J23" i="5"/>
  <c r="R21" i="5"/>
  <c r="J21" i="5"/>
  <c r="R19" i="5"/>
  <c r="J19" i="5"/>
  <c r="B19" i="5"/>
  <c r="R18" i="5"/>
  <c r="J18" i="5"/>
  <c r="B18" i="5"/>
  <c r="R17" i="5"/>
  <c r="O17" i="5"/>
  <c r="J17" i="5"/>
  <c r="G17" i="5"/>
  <c r="B17" i="5"/>
  <c r="R16" i="5"/>
  <c r="O16" i="5"/>
  <c r="J16" i="5"/>
  <c r="G16" i="5"/>
  <c r="B16" i="5"/>
  <c r="R15" i="5"/>
  <c r="O15" i="5"/>
  <c r="J15" i="5"/>
  <c r="G15" i="5"/>
  <c r="B15" i="5"/>
  <c r="P14" i="5"/>
  <c r="R14" i="5" s="1"/>
  <c r="O14" i="5"/>
  <c r="J14" i="5"/>
  <c r="G14" i="5"/>
  <c r="B14" i="5"/>
  <c r="B13" i="5"/>
  <c r="P12" i="5"/>
  <c r="R12" i="5" s="1"/>
  <c r="O12" i="5"/>
  <c r="J12" i="5"/>
  <c r="G12" i="5"/>
  <c r="B12" i="5"/>
  <c r="R11" i="5"/>
  <c r="O11" i="5"/>
  <c r="J11" i="5"/>
  <c r="G11" i="5"/>
  <c r="B11" i="5"/>
  <c r="R10" i="5"/>
  <c r="O10" i="5"/>
  <c r="J10" i="5"/>
  <c r="B10" i="5"/>
  <c r="H7" i="5"/>
  <c r="P7" i="5" s="1"/>
  <c r="AC20" i="4"/>
  <c r="AC10" i="4"/>
  <c r="AA10" i="4"/>
  <c r="Z10" i="4"/>
  <c r="W7" i="4"/>
  <c r="AB7" i="4" s="1"/>
  <c r="P7" i="4"/>
  <c r="I7" i="4"/>
  <c r="H7" i="10" s="1"/>
  <c r="P7" i="10" s="1"/>
  <c r="F7" i="4"/>
  <c r="E7" i="5" s="1"/>
  <c r="M7" i="5" s="1"/>
  <c r="D7" i="4"/>
  <c r="B6" i="4"/>
  <c r="T3" i="4"/>
  <c r="X27" i="3"/>
  <c r="W27" i="3"/>
  <c r="AC20" i="3"/>
  <c r="B19" i="3"/>
  <c r="B18" i="3"/>
  <c r="B17" i="3"/>
  <c r="J16" i="3"/>
  <c r="B16" i="3"/>
  <c r="B15" i="3"/>
  <c r="R14" i="3"/>
  <c r="B14" i="3"/>
  <c r="B13" i="3"/>
  <c r="B12" i="3"/>
  <c r="B11" i="3"/>
  <c r="AB10" i="3"/>
  <c r="Y10" i="3"/>
  <c r="AA10" i="6" s="1"/>
  <c r="X10" i="3"/>
  <c r="W10" i="3"/>
  <c r="AC10" i="3" s="1"/>
  <c r="V10" i="3"/>
  <c r="U10" i="3"/>
  <c r="B10" i="3"/>
  <c r="H7" i="3"/>
  <c r="E7" i="3"/>
  <c r="T3" i="3"/>
  <c r="E33" i="2"/>
  <c r="D33" i="2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D26" i="2"/>
  <c r="E25" i="2"/>
  <c r="D25" i="2"/>
  <c r="E24" i="2"/>
  <c r="D24" i="2"/>
  <c r="E23" i="2"/>
  <c r="D23" i="2"/>
  <c r="E22" i="2"/>
  <c r="D22" i="2"/>
  <c r="B3" i="2" s="1"/>
  <c r="E4" i="2"/>
  <c r="A4" i="2" s="1"/>
  <c r="D4" i="2"/>
  <c r="B4" i="2"/>
  <c r="A7" i="10" s="1"/>
  <c r="A3" i="2"/>
  <c r="C12" i="6" l="1"/>
  <c r="C12" i="11" s="1"/>
  <c r="E11" i="6"/>
  <c r="C32" i="6"/>
  <c r="C42" i="6"/>
  <c r="H10" i="6"/>
  <c r="E12" i="6"/>
  <c r="M12" i="6"/>
  <c r="H17" i="6"/>
  <c r="P17" i="6"/>
  <c r="H26" i="6"/>
  <c r="P26" i="6"/>
  <c r="H27" i="6"/>
  <c r="P27" i="6"/>
  <c r="E32" i="6"/>
  <c r="T22" i="6" s="1"/>
  <c r="M32" i="6"/>
  <c r="E38" i="6"/>
  <c r="M38" i="6"/>
  <c r="E39" i="6"/>
  <c r="M39" i="6"/>
  <c r="E42" i="6"/>
  <c r="M42" i="6"/>
  <c r="M42" i="11" s="1"/>
  <c r="E46" i="6"/>
  <c r="M46" i="6"/>
  <c r="H14" i="6"/>
  <c r="K32" i="6"/>
  <c r="O32" i="6" s="1"/>
  <c r="K38" i="6"/>
  <c r="C46" i="6"/>
  <c r="C13" i="6"/>
  <c r="E30" i="6"/>
  <c r="H11" i="6"/>
  <c r="P11" i="6"/>
  <c r="E13" i="6"/>
  <c r="E13" i="11" s="1"/>
  <c r="M13" i="6"/>
  <c r="C14" i="6"/>
  <c r="K14" i="6"/>
  <c r="C15" i="6"/>
  <c r="K15" i="6"/>
  <c r="K16" i="6"/>
  <c r="C22" i="6"/>
  <c r="K22" i="6"/>
  <c r="M11" i="6"/>
  <c r="K42" i="6"/>
  <c r="E18" i="6"/>
  <c r="E18" i="11" s="1"/>
  <c r="C10" i="6"/>
  <c r="K10" i="6"/>
  <c r="H18" i="6"/>
  <c r="P18" i="6"/>
  <c r="H30" i="6"/>
  <c r="P30" i="6"/>
  <c r="H15" i="6"/>
  <c r="H22" i="6"/>
  <c r="C38" i="6"/>
  <c r="P10" i="6"/>
  <c r="H12" i="6"/>
  <c r="P12" i="6"/>
  <c r="P12" i="11" s="1"/>
  <c r="E14" i="6"/>
  <c r="E15" i="6"/>
  <c r="E15" i="11" s="1"/>
  <c r="M15" i="6"/>
  <c r="C16" i="6"/>
  <c r="C17" i="6"/>
  <c r="K17" i="6"/>
  <c r="H19" i="6"/>
  <c r="E22" i="6"/>
  <c r="M22" i="6"/>
  <c r="M22" i="11" s="1"/>
  <c r="C26" i="6"/>
  <c r="K26" i="6"/>
  <c r="C27" i="6"/>
  <c r="K27" i="6"/>
  <c r="H32" i="6"/>
  <c r="J32" i="6" s="1"/>
  <c r="P32" i="6"/>
  <c r="R32" i="6" s="1"/>
  <c r="H38" i="6"/>
  <c r="P38" i="6"/>
  <c r="H39" i="6"/>
  <c r="P39" i="6"/>
  <c r="H42" i="6"/>
  <c r="P42" i="6"/>
  <c r="H46" i="6"/>
  <c r="P46" i="6"/>
  <c r="P15" i="6"/>
  <c r="C39" i="6"/>
  <c r="K46" i="6"/>
  <c r="M18" i="6"/>
  <c r="E10" i="6"/>
  <c r="M10" i="6"/>
  <c r="C11" i="6"/>
  <c r="K11" i="6"/>
  <c r="K11" i="11" s="1"/>
  <c r="H13" i="6"/>
  <c r="P13" i="6"/>
  <c r="K12" i="6"/>
  <c r="P22" i="6"/>
  <c r="K39" i="6"/>
  <c r="K13" i="6"/>
  <c r="M30" i="6"/>
  <c r="E17" i="6"/>
  <c r="M17" i="6"/>
  <c r="C18" i="6"/>
  <c r="K18" i="6"/>
  <c r="E26" i="6"/>
  <c r="M26" i="6"/>
  <c r="E27" i="6"/>
  <c r="M27" i="6"/>
  <c r="M27" i="11" s="1"/>
  <c r="C30" i="6"/>
  <c r="K30" i="6"/>
  <c r="V11" i="3"/>
  <c r="X11" i="6"/>
  <c r="W13" i="6"/>
  <c r="W10" i="11" s="1"/>
  <c r="U13" i="3"/>
  <c r="X27" i="6"/>
  <c r="V27" i="3"/>
  <c r="Y28" i="6"/>
  <c r="W28" i="3"/>
  <c r="Y11" i="6"/>
  <c r="W11" i="3"/>
  <c r="V13" i="3"/>
  <c r="X13" i="6"/>
  <c r="W14" i="6"/>
  <c r="W11" i="11" s="1"/>
  <c r="U14" i="3"/>
  <c r="AD15" i="6"/>
  <c r="AB15" i="3"/>
  <c r="AD16" i="6"/>
  <c r="AB16" i="3"/>
  <c r="AA23" i="6"/>
  <c r="Y23" i="3"/>
  <c r="Z25" i="6"/>
  <c r="X25" i="3"/>
  <c r="AA27" i="6"/>
  <c r="Y27" i="3"/>
  <c r="Z28" i="6"/>
  <c r="X28" i="3"/>
  <c r="AA28" i="3" s="1"/>
  <c r="Z23" i="6"/>
  <c r="X23" i="3"/>
  <c r="AA23" i="3" s="1"/>
  <c r="Y13" i="6"/>
  <c r="W13" i="3"/>
  <c r="W17" i="3" s="1"/>
  <c r="V14" i="3"/>
  <c r="X14" i="6"/>
  <c r="W15" i="6"/>
  <c r="U15" i="3"/>
  <c r="W16" i="6"/>
  <c r="U16" i="3"/>
  <c r="AA25" i="6"/>
  <c r="Y25" i="3"/>
  <c r="Z25" i="3" s="1"/>
  <c r="AA28" i="6"/>
  <c r="Y28" i="3"/>
  <c r="Z28" i="3" s="1"/>
  <c r="Y25" i="6"/>
  <c r="W25" i="3"/>
  <c r="Z11" i="6"/>
  <c r="X11" i="3"/>
  <c r="AA11" i="6"/>
  <c r="Y11" i="3"/>
  <c r="Z13" i="6"/>
  <c r="X13" i="3"/>
  <c r="Y14" i="6"/>
  <c r="W14" i="3"/>
  <c r="X15" i="6"/>
  <c r="V15" i="3"/>
  <c r="X16" i="6"/>
  <c r="V16" i="3"/>
  <c r="Y13" i="3"/>
  <c r="AA13" i="6"/>
  <c r="Z14" i="6"/>
  <c r="X14" i="3"/>
  <c r="Z14" i="3" s="1"/>
  <c r="W15" i="3"/>
  <c r="Y15" i="6"/>
  <c r="Y16" i="6"/>
  <c r="W16" i="3"/>
  <c r="AD23" i="6"/>
  <c r="AB23" i="3"/>
  <c r="AC23" i="3" s="1"/>
  <c r="AD27" i="6"/>
  <c r="AB27" i="3"/>
  <c r="AD14" i="6"/>
  <c r="AB14" i="3"/>
  <c r="AC14" i="3" s="1"/>
  <c r="AA14" i="6"/>
  <c r="Y14" i="3"/>
  <c r="Z15" i="6"/>
  <c r="X15" i="3"/>
  <c r="Z16" i="6"/>
  <c r="X16" i="3"/>
  <c r="W23" i="6"/>
  <c r="W19" i="11" s="1"/>
  <c r="U23" i="3"/>
  <c r="AB25" i="3"/>
  <c r="AD25" i="6"/>
  <c r="AD28" i="6"/>
  <c r="AB28" i="3"/>
  <c r="AC28" i="3" s="1"/>
  <c r="AB11" i="3"/>
  <c r="AD11" i="6"/>
  <c r="AA15" i="6"/>
  <c r="Y15" i="3"/>
  <c r="AA16" i="6"/>
  <c r="Y16" i="3"/>
  <c r="X23" i="6"/>
  <c r="V23" i="3"/>
  <c r="W25" i="6"/>
  <c r="U25" i="3"/>
  <c r="W28" i="6"/>
  <c r="U28" i="3"/>
  <c r="W11" i="6"/>
  <c r="U11" i="3"/>
  <c r="AD13" i="6"/>
  <c r="AB13" i="3"/>
  <c r="AC13" i="3" s="1"/>
  <c r="P16" i="3"/>
  <c r="P16" i="6" s="1"/>
  <c r="Y23" i="6"/>
  <c r="W23" i="3"/>
  <c r="X25" i="6"/>
  <c r="V25" i="3"/>
  <c r="W27" i="6"/>
  <c r="W21" i="11" s="1"/>
  <c r="U27" i="3"/>
  <c r="V28" i="3"/>
  <c r="X28" i="6"/>
  <c r="C438" i="12"/>
  <c r="A6" i="10"/>
  <c r="A7" i="5"/>
  <c r="U7" i="4"/>
  <c r="X7" i="4" s="1"/>
  <c r="C7" i="10"/>
  <c r="C7" i="7"/>
  <c r="K7" i="7" s="1"/>
  <c r="C7" i="6"/>
  <c r="C7" i="5"/>
  <c r="K7" i="5" s="1"/>
  <c r="C7" i="3"/>
  <c r="M7" i="3"/>
  <c r="V7" i="3" s="1"/>
  <c r="Y7" i="3" s="1"/>
  <c r="E7" i="8"/>
  <c r="AA14" i="9"/>
  <c r="Z14" i="9"/>
  <c r="B18" i="7"/>
  <c r="B18" i="6"/>
  <c r="AE10" i="6"/>
  <c r="X8" i="11"/>
  <c r="AG8" i="11"/>
  <c r="J42" i="9"/>
  <c r="A5" i="10"/>
  <c r="A6" i="5"/>
  <c r="M14" i="11"/>
  <c r="T6" i="4"/>
  <c r="B6" i="10"/>
  <c r="T6" i="10" s="1"/>
  <c r="B6" i="3"/>
  <c r="W7" i="3"/>
  <c r="AB7" i="3" s="1"/>
  <c r="H7" i="8"/>
  <c r="AC10" i="6"/>
  <c r="A4" i="10"/>
  <c r="A5" i="5"/>
  <c r="B6" i="5"/>
  <c r="B6" i="6"/>
  <c r="V6" i="6" s="1"/>
  <c r="N10" i="9"/>
  <c r="A8" i="5"/>
  <c r="E7" i="6"/>
  <c r="M7" i="6" s="1"/>
  <c r="X7" i="6" s="1"/>
  <c r="AA7" i="6" s="1"/>
  <c r="AH8" i="11"/>
  <c r="Y8" i="11"/>
  <c r="R14" i="6"/>
  <c r="E7" i="7"/>
  <c r="M7" i="7" s="1"/>
  <c r="W7" i="7" s="1"/>
  <c r="Z7" i="7" s="1"/>
  <c r="AA23" i="7"/>
  <c r="D13" i="8"/>
  <c r="Z14" i="8"/>
  <c r="AH9" i="9"/>
  <c r="P43" i="9"/>
  <c r="P37" i="9"/>
  <c r="P46" i="9"/>
  <c r="P42" i="9"/>
  <c r="H36" i="9"/>
  <c r="P34" i="9"/>
  <c r="P30" i="9"/>
  <c r="P25" i="9"/>
  <c r="P19" i="9"/>
  <c r="P18" i="9"/>
  <c r="P44" i="9"/>
  <c r="H38" i="9"/>
  <c r="H32" i="9"/>
  <c r="H43" i="9"/>
  <c r="H40" i="9"/>
  <c r="H33" i="9"/>
  <c r="H31" i="9"/>
  <c r="H29" i="9"/>
  <c r="H26" i="9"/>
  <c r="H23" i="9"/>
  <c r="H20" i="9"/>
  <c r="P47" i="9"/>
  <c r="H46" i="9"/>
  <c r="H44" i="9"/>
  <c r="H42" i="9"/>
  <c r="P36" i="9"/>
  <c r="P35" i="9"/>
  <c r="H34" i="9"/>
  <c r="H30" i="9"/>
  <c r="P20" i="9"/>
  <c r="P16" i="9"/>
  <c r="P38" i="9"/>
  <c r="H35" i="9"/>
  <c r="P32" i="9"/>
  <c r="H28" i="9"/>
  <c r="P26" i="9"/>
  <c r="P22" i="9"/>
  <c r="Q22" i="9" s="1"/>
  <c r="H21" i="9"/>
  <c r="P17" i="9"/>
  <c r="K10" i="9"/>
  <c r="O10" i="9" s="1"/>
  <c r="W10" i="9"/>
  <c r="AC10" i="9" s="1"/>
  <c r="H11" i="9"/>
  <c r="U11" i="9"/>
  <c r="E12" i="9"/>
  <c r="J12" i="9" s="1"/>
  <c r="W15" i="9"/>
  <c r="Y16" i="9"/>
  <c r="U18" i="9"/>
  <c r="M20" i="9"/>
  <c r="U21" i="9"/>
  <c r="M23" i="9"/>
  <c r="E28" i="9"/>
  <c r="M29" i="9"/>
  <c r="P33" i="9"/>
  <c r="H37" i="9"/>
  <c r="E44" i="9"/>
  <c r="AC27" i="6"/>
  <c r="O22" i="8"/>
  <c r="K24" i="9"/>
  <c r="O24" i="9" s="1"/>
  <c r="G34" i="8"/>
  <c r="C42" i="9"/>
  <c r="G42" i="9" s="1"/>
  <c r="J32" i="8"/>
  <c r="E32" i="9"/>
  <c r="AA10" i="9"/>
  <c r="J13" i="9"/>
  <c r="AC16" i="9"/>
  <c r="U19" i="9"/>
  <c r="C28" i="10"/>
  <c r="G26" i="10"/>
  <c r="AA17" i="8"/>
  <c r="X17" i="9"/>
  <c r="AA17" i="9" s="1"/>
  <c r="AA15" i="9"/>
  <c r="E19" i="11"/>
  <c r="R27" i="9"/>
  <c r="N27" i="9"/>
  <c r="B5" i="2"/>
  <c r="C59" i="12"/>
  <c r="AA27" i="3"/>
  <c r="J16" i="6"/>
  <c r="AA15" i="7"/>
  <c r="AA16" i="7"/>
  <c r="L16" i="8"/>
  <c r="AB10" i="9"/>
  <c r="X11" i="9"/>
  <c r="AA11" i="9" s="1"/>
  <c r="W13" i="9"/>
  <c r="E14" i="9"/>
  <c r="P14" i="9"/>
  <c r="P14" i="11" s="1"/>
  <c r="AB14" i="9"/>
  <c r="AC14" i="9" s="1"/>
  <c r="M15" i="9"/>
  <c r="AB15" i="9"/>
  <c r="AC15" i="9" s="1"/>
  <c r="H18" i="9"/>
  <c r="AB19" i="9"/>
  <c r="M25" i="9"/>
  <c r="M26" i="9"/>
  <c r="P27" i="9"/>
  <c r="P31" i="9"/>
  <c r="H45" i="9"/>
  <c r="AA8" i="11"/>
  <c r="AJ8" i="11"/>
  <c r="Y17" i="7"/>
  <c r="AB17" i="7" s="1"/>
  <c r="L11" i="8"/>
  <c r="D15" i="8"/>
  <c r="AA16" i="8"/>
  <c r="X16" i="9"/>
  <c r="L19" i="8"/>
  <c r="K34" i="8"/>
  <c r="K32" i="9"/>
  <c r="O32" i="9" s="1"/>
  <c r="O32" i="8"/>
  <c r="K39" i="9"/>
  <c r="O39" i="9" s="1"/>
  <c r="E10" i="9"/>
  <c r="C11" i="9"/>
  <c r="G11" i="9" s="1"/>
  <c r="M11" i="9"/>
  <c r="Y11" i="9"/>
  <c r="Y19" i="9" s="1"/>
  <c r="Z19" i="9" s="1"/>
  <c r="M12" i="9"/>
  <c r="R12" i="9" s="1"/>
  <c r="K13" i="9"/>
  <c r="O13" i="9" s="1"/>
  <c r="X13" i="9"/>
  <c r="AA13" i="9" s="1"/>
  <c r="C15" i="9"/>
  <c r="G15" i="9" s="1"/>
  <c r="P15" i="9"/>
  <c r="V17" i="9"/>
  <c r="V19" i="9" s="1"/>
  <c r="V21" i="9" s="1"/>
  <c r="V30" i="9" s="1"/>
  <c r="AA30" i="9" s="1"/>
  <c r="H19" i="9"/>
  <c r="H22" i="9"/>
  <c r="I22" i="9" s="1"/>
  <c r="U25" i="9"/>
  <c r="U27" i="9"/>
  <c r="P28" i="9"/>
  <c r="E30" i="9"/>
  <c r="C32" i="9"/>
  <c r="G32" i="9" s="1"/>
  <c r="M35" i="9"/>
  <c r="P45" i="9"/>
  <c r="X21" i="11"/>
  <c r="AG21" i="11"/>
  <c r="Z17" i="7"/>
  <c r="M34" i="8"/>
  <c r="M34" i="9" s="1"/>
  <c r="R34" i="9" s="1"/>
  <c r="M28" i="9"/>
  <c r="R32" i="8"/>
  <c r="M32" i="9"/>
  <c r="R10" i="9"/>
  <c r="Z13" i="9"/>
  <c r="J19" i="9"/>
  <c r="X25" i="9"/>
  <c r="AA25" i="9" s="1"/>
  <c r="N42" i="9"/>
  <c r="R42" i="9"/>
  <c r="D45" i="8"/>
  <c r="C20" i="9"/>
  <c r="G20" i="9" s="1"/>
  <c r="J11" i="9"/>
  <c r="R19" i="9"/>
  <c r="R30" i="9"/>
  <c r="N7" i="4"/>
  <c r="V7" i="4" s="1"/>
  <c r="Y7" i="4" s="1"/>
  <c r="E7" i="10"/>
  <c r="M7" i="10" s="1"/>
  <c r="V7" i="10" s="1"/>
  <c r="Y7" i="10" s="1"/>
  <c r="W10" i="6"/>
  <c r="AB13" i="7"/>
  <c r="D11" i="8"/>
  <c r="AA15" i="8"/>
  <c r="L17" i="8"/>
  <c r="F31" i="8"/>
  <c r="E20" i="9"/>
  <c r="AA27" i="8"/>
  <c r="X27" i="9"/>
  <c r="AA27" i="9" s="1"/>
  <c r="M39" i="9"/>
  <c r="R39" i="9" s="1"/>
  <c r="E35" i="9"/>
  <c r="C46" i="9"/>
  <c r="G46" i="9" s="1"/>
  <c r="C41" i="9"/>
  <c r="G41" i="9" s="1"/>
  <c r="M38" i="9"/>
  <c r="R38" i="9" s="1"/>
  <c r="M37" i="9"/>
  <c r="C34" i="9"/>
  <c r="G34" i="9" s="1"/>
  <c r="M31" i="9"/>
  <c r="U29" i="9"/>
  <c r="U28" i="9"/>
  <c r="C26" i="9"/>
  <c r="G26" i="9" s="1"/>
  <c r="U23" i="9"/>
  <c r="W21" i="9"/>
  <c r="W30" i="9" s="1"/>
  <c r="E21" i="9"/>
  <c r="M17" i="9"/>
  <c r="R17" i="9" s="1"/>
  <c r="E17" i="9"/>
  <c r="V16" i="9"/>
  <c r="K16" i="9"/>
  <c r="O16" i="9" s="1"/>
  <c r="C16" i="9"/>
  <c r="G16" i="9" s="1"/>
  <c r="M46" i="9"/>
  <c r="R46" i="9" s="1"/>
  <c r="M40" i="9"/>
  <c r="E37" i="9"/>
  <c r="M33" i="9"/>
  <c r="K46" i="9"/>
  <c r="O46" i="9" s="1"/>
  <c r="M45" i="9"/>
  <c r="M44" i="9"/>
  <c r="K41" i="9"/>
  <c r="O41" i="9" s="1"/>
  <c r="E39" i="9"/>
  <c r="J39" i="9" s="1"/>
  <c r="C36" i="9"/>
  <c r="K34" i="9"/>
  <c r="O34" i="9" s="1"/>
  <c r="K30" i="9"/>
  <c r="O30" i="9" s="1"/>
  <c r="C28" i="9"/>
  <c r="G28" i="9" s="1"/>
  <c r="E25" i="9"/>
  <c r="E22" i="9"/>
  <c r="J22" i="9" s="1"/>
  <c r="E40" i="9"/>
  <c r="E38" i="9"/>
  <c r="J38" i="9" s="1"/>
  <c r="E33" i="9"/>
  <c r="E31" i="9"/>
  <c r="E29" i="9"/>
  <c r="AB27" i="9"/>
  <c r="Y25" i="9"/>
  <c r="Z25" i="9" s="1"/>
  <c r="U24" i="9"/>
  <c r="C24" i="9"/>
  <c r="G24" i="9" s="1"/>
  <c r="E23" i="9"/>
  <c r="M21" i="9"/>
  <c r="R21" i="9" s="1"/>
  <c r="W19" i="9"/>
  <c r="K19" i="9"/>
  <c r="C19" i="9"/>
  <c r="K18" i="9"/>
  <c r="O18" i="9" s="1"/>
  <c r="C18" i="9"/>
  <c r="G18" i="9" s="1"/>
  <c r="E46" i="9"/>
  <c r="J46" i="9" s="1"/>
  <c r="C43" i="9"/>
  <c r="C38" i="9"/>
  <c r="G38" i="9" s="1"/>
  <c r="K36" i="9"/>
  <c r="C31" i="9"/>
  <c r="G31" i="9" s="1"/>
  <c r="E26" i="9"/>
  <c r="W25" i="9"/>
  <c r="AB21" i="9"/>
  <c r="M16" i="9"/>
  <c r="R16" i="9" s="1"/>
  <c r="H10" i="9"/>
  <c r="J10" i="9" s="1"/>
  <c r="V10" i="9"/>
  <c r="F11" i="9"/>
  <c r="C13" i="9"/>
  <c r="G13" i="9" s="1"/>
  <c r="P13" i="9"/>
  <c r="R13" i="9" s="1"/>
  <c r="AB13" i="9"/>
  <c r="AC13" i="9" s="1"/>
  <c r="K14" i="9"/>
  <c r="O14" i="9" s="1"/>
  <c r="W14" i="9"/>
  <c r="H15" i="9"/>
  <c r="J15" i="9" s="1"/>
  <c r="V15" i="9"/>
  <c r="H16" i="9"/>
  <c r="H16" i="11" s="1"/>
  <c r="W16" i="9"/>
  <c r="K17" i="9"/>
  <c r="O17" i="9" s="1"/>
  <c r="AB17" i="9"/>
  <c r="AC17" i="9" s="1"/>
  <c r="K20" i="9"/>
  <c r="P21" i="9"/>
  <c r="U22" i="9"/>
  <c r="H24" i="9"/>
  <c r="AB25" i="9"/>
  <c r="E27" i="9"/>
  <c r="AB28" i="9"/>
  <c r="AC28" i="9" s="1"/>
  <c r="P40" i="9"/>
  <c r="K43" i="9"/>
  <c r="O43" i="9" s="1"/>
  <c r="Z25" i="10"/>
  <c r="Z23" i="10"/>
  <c r="E20" i="10"/>
  <c r="C10" i="10"/>
  <c r="I10" i="10"/>
  <c r="V19" i="10"/>
  <c r="U11" i="10"/>
  <c r="C19" i="10"/>
  <c r="I19" i="10"/>
  <c r="E24" i="10"/>
  <c r="U16" i="10"/>
  <c r="U17" i="10" s="1"/>
  <c r="V17" i="10"/>
  <c r="E32" i="10"/>
  <c r="C31" i="10"/>
  <c r="G31" i="10" s="1"/>
  <c r="I31" i="10"/>
  <c r="C39" i="10"/>
  <c r="G39" i="10" s="1"/>
  <c r="I39" i="10"/>
  <c r="U10" i="10"/>
  <c r="V21" i="10"/>
  <c r="V30" i="10" s="1"/>
  <c r="U28" i="10"/>
  <c r="G28" i="10"/>
  <c r="AA23" i="10"/>
  <c r="AA25" i="10"/>
  <c r="W7" i="10"/>
  <c r="AB7" i="10" s="1"/>
  <c r="G30" i="10"/>
  <c r="K31" i="10"/>
  <c r="K31" i="11" s="1"/>
  <c r="AC19" i="9"/>
  <c r="AI7" i="9"/>
  <c r="AI8" i="9" s="1"/>
  <c r="Z10" i="9"/>
  <c r="F12" i="9"/>
  <c r="N12" i="9"/>
  <c r="J20" i="9"/>
  <c r="R20" i="9"/>
  <c r="F22" i="9"/>
  <c r="N22" i="9"/>
  <c r="L31" i="9"/>
  <c r="L32" i="9"/>
  <c r="L36" i="9"/>
  <c r="L41" i="9"/>
  <c r="L42" i="9"/>
  <c r="L43" i="9"/>
  <c r="I10" i="9"/>
  <c r="Q10" i="9"/>
  <c r="F13" i="9"/>
  <c r="N13" i="9"/>
  <c r="I26" i="9"/>
  <c r="Q26" i="9"/>
  <c r="I28" i="9"/>
  <c r="Q28" i="9"/>
  <c r="F30" i="9"/>
  <c r="N30" i="9"/>
  <c r="Q34" i="9"/>
  <c r="I38" i="9"/>
  <c r="Q38" i="9"/>
  <c r="Q39" i="9"/>
  <c r="I45" i="9"/>
  <c r="Q45" i="9"/>
  <c r="Q46" i="9"/>
  <c r="Q21" i="9"/>
  <c r="I27" i="9"/>
  <c r="Q27" i="9"/>
  <c r="I12" i="9"/>
  <c r="Q12" i="9"/>
  <c r="I24" i="9"/>
  <c r="Q24" i="9"/>
  <c r="L26" i="9"/>
  <c r="L28" i="9"/>
  <c r="I30" i="9"/>
  <c r="Q30" i="9"/>
  <c r="L34" i="9"/>
  <c r="L38" i="9"/>
  <c r="L39" i="9"/>
  <c r="L45" i="9"/>
  <c r="L46" i="9"/>
  <c r="I14" i="9"/>
  <c r="Q14" i="9"/>
  <c r="I31" i="9"/>
  <c r="Q31" i="9"/>
  <c r="I32" i="9"/>
  <c r="Q32" i="9"/>
  <c r="I36" i="9"/>
  <c r="Q36" i="9"/>
  <c r="I41" i="9"/>
  <c r="Q41" i="9"/>
  <c r="I42" i="9"/>
  <c r="Q42" i="9"/>
  <c r="F34" i="9"/>
  <c r="N34" i="9"/>
  <c r="F38" i="9"/>
  <c r="N38" i="9"/>
  <c r="F39" i="9"/>
  <c r="N39" i="9"/>
  <c r="N45" i="9"/>
  <c r="Z17" i="8"/>
  <c r="AA30" i="8"/>
  <c r="R34" i="8"/>
  <c r="N34" i="8"/>
  <c r="N20" i="8"/>
  <c r="G28" i="8"/>
  <c r="L32" i="8"/>
  <c r="E34" i="8"/>
  <c r="E34" i="9" s="1"/>
  <c r="J34" i="9" s="1"/>
  <c r="L38" i="8"/>
  <c r="D41" i="8"/>
  <c r="L43" i="8"/>
  <c r="W7" i="8"/>
  <c r="AB7" i="8" s="1"/>
  <c r="Z13" i="8"/>
  <c r="D17" i="8"/>
  <c r="AC17" i="8"/>
  <c r="X19" i="8"/>
  <c r="X19" i="9" s="1"/>
  <c r="AA19" i="9" s="1"/>
  <c r="F20" i="8"/>
  <c r="O20" i="8"/>
  <c r="K24" i="8"/>
  <c r="K27" i="9" s="1"/>
  <c r="O27" i="9" s="1"/>
  <c r="Z25" i="8"/>
  <c r="L26" i="8"/>
  <c r="Z27" i="8"/>
  <c r="D32" i="8"/>
  <c r="N38" i="8"/>
  <c r="D43" i="8"/>
  <c r="AA13" i="8"/>
  <c r="D18" i="8"/>
  <c r="Y19" i="8"/>
  <c r="G20" i="8"/>
  <c r="L22" i="8"/>
  <c r="C24" i="8"/>
  <c r="C27" i="9" s="1"/>
  <c r="G27" i="9" s="1"/>
  <c r="L24" i="8"/>
  <c r="N26" i="8"/>
  <c r="L30" i="8"/>
  <c r="N32" i="8"/>
  <c r="D38" i="8"/>
  <c r="L39" i="8"/>
  <c r="L18" i="8"/>
  <c r="R20" i="8"/>
  <c r="N22" i="8"/>
  <c r="D24" i="8"/>
  <c r="M24" i="8"/>
  <c r="M24" i="9" s="1"/>
  <c r="R24" i="9" s="1"/>
  <c r="L27" i="8"/>
  <c r="N30" i="8"/>
  <c r="L31" i="8"/>
  <c r="F32" i="8"/>
  <c r="F38" i="8"/>
  <c r="N39" i="8"/>
  <c r="L42" i="8"/>
  <c r="F46" i="8"/>
  <c r="J20" i="8"/>
  <c r="D22" i="8"/>
  <c r="E24" i="8"/>
  <c r="E24" i="9" s="1"/>
  <c r="J24" i="9" s="1"/>
  <c r="D26" i="8"/>
  <c r="N27" i="8"/>
  <c r="L28" i="8"/>
  <c r="N31" i="8"/>
  <c r="L36" i="8"/>
  <c r="N42" i="8"/>
  <c r="Z16" i="8"/>
  <c r="D19" i="8"/>
  <c r="F22" i="8"/>
  <c r="F26" i="8"/>
  <c r="D28" i="8"/>
  <c r="D30" i="8"/>
  <c r="D36" i="8"/>
  <c r="D39" i="8"/>
  <c r="D42" i="8"/>
  <c r="N46" i="8"/>
  <c r="D27" i="8"/>
  <c r="N28" i="8"/>
  <c r="F30" i="8"/>
  <c r="D31" i="8"/>
  <c r="L34" i="8"/>
  <c r="F39" i="8"/>
  <c r="F42" i="8"/>
  <c r="L45" i="8"/>
  <c r="D20" i="8"/>
  <c r="F27" i="8"/>
  <c r="F28" i="8"/>
  <c r="D34" i="8"/>
  <c r="J11" i="7"/>
  <c r="R11" i="7"/>
  <c r="O13" i="7"/>
  <c r="J15" i="7"/>
  <c r="J22" i="7"/>
  <c r="R22" i="7"/>
  <c r="E20" i="7"/>
  <c r="F30" i="7" s="1"/>
  <c r="M20" i="7"/>
  <c r="N10" i="7" s="1"/>
  <c r="G12" i="7"/>
  <c r="O12" i="7"/>
  <c r="E32" i="7"/>
  <c r="M32" i="7"/>
  <c r="G39" i="7"/>
  <c r="O39" i="7"/>
  <c r="F42" i="7"/>
  <c r="G13" i="7"/>
  <c r="O15" i="7"/>
  <c r="H28" i="7"/>
  <c r="J26" i="7"/>
  <c r="P28" i="7"/>
  <c r="R26" i="7"/>
  <c r="J27" i="7"/>
  <c r="R27" i="7"/>
  <c r="G46" i="7"/>
  <c r="O46" i="7"/>
  <c r="G11" i="7"/>
  <c r="O11" i="7"/>
  <c r="F12" i="7"/>
  <c r="G22" i="7"/>
  <c r="O22" i="7"/>
  <c r="J31" i="7"/>
  <c r="R31" i="7"/>
  <c r="J38" i="7"/>
  <c r="R38" i="7"/>
  <c r="F39" i="7"/>
  <c r="N39" i="7"/>
  <c r="J10" i="7"/>
  <c r="H20" i="7"/>
  <c r="I38" i="7" s="1"/>
  <c r="R10" i="7"/>
  <c r="Q10" i="7"/>
  <c r="P20" i="7"/>
  <c r="Q27" i="7" s="1"/>
  <c r="G15" i="7"/>
  <c r="D15" i="7"/>
  <c r="J30" i="7"/>
  <c r="H32" i="7"/>
  <c r="R30" i="7"/>
  <c r="P32" i="7"/>
  <c r="J42" i="7"/>
  <c r="R42" i="7"/>
  <c r="F46" i="7"/>
  <c r="F11" i="7"/>
  <c r="R13" i="7"/>
  <c r="R15" i="7"/>
  <c r="F22" i="7"/>
  <c r="D26" i="7"/>
  <c r="C28" i="7"/>
  <c r="G26" i="7"/>
  <c r="K28" i="7"/>
  <c r="O26" i="7"/>
  <c r="G27" i="7"/>
  <c r="L27" i="7"/>
  <c r="O27" i="7"/>
  <c r="J12" i="7"/>
  <c r="R12" i="7"/>
  <c r="J13" i="7"/>
  <c r="G31" i="7"/>
  <c r="O31" i="7"/>
  <c r="G38" i="7"/>
  <c r="O38" i="7"/>
  <c r="J39" i="7"/>
  <c r="Q39" i="7"/>
  <c r="R39" i="7"/>
  <c r="C20" i="7"/>
  <c r="D27" i="7" s="1"/>
  <c r="G10" i="7"/>
  <c r="D10" i="7"/>
  <c r="K20" i="7"/>
  <c r="L38" i="7" s="1"/>
  <c r="O10" i="7"/>
  <c r="E28" i="7"/>
  <c r="F26" i="7"/>
  <c r="M28" i="7"/>
  <c r="F27" i="7"/>
  <c r="C32" i="7"/>
  <c r="G30" i="7"/>
  <c r="D30" i="7"/>
  <c r="K32" i="7"/>
  <c r="O30" i="7"/>
  <c r="G42" i="7"/>
  <c r="D42" i="7"/>
  <c r="O42" i="7"/>
  <c r="J46" i="7"/>
  <c r="R46" i="7"/>
  <c r="Q46" i="7"/>
  <c r="AB30" i="7"/>
  <c r="AA17" i="7"/>
  <c r="AD17" i="7"/>
  <c r="Y19" i="7"/>
  <c r="V7" i="7"/>
  <c r="Y7" i="7" s="1"/>
  <c r="Z19" i="7"/>
  <c r="AA25" i="7"/>
  <c r="AB25" i="7"/>
  <c r="AA11" i="7"/>
  <c r="AB11" i="7"/>
  <c r="P7" i="6"/>
  <c r="AB11" i="6"/>
  <c r="Q14" i="6"/>
  <c r="G15" i="6"/>
  <c r="O15" i="6"/>
  <c r="P20" i="6"/>
  <c r="Q10" i="6" s="1"/>
  <c r="C28" i="6"/>
  <c r="K28" i="6"/>
  <c r="AC11" i="6"/>
  <c r="G12" i="6"/>
  <c r="O12" i="6"/>
  <c r="AB15" i="6"/>
  <c r="AI12" i="11" s="1"/>
  <c r="AB25" i="6"/>
  <c r="G26" i="6"/>
  <c r="O26" i="6"/>
  <c r="AB16" i="6"/>
  <c r="E28" i="6"/>
  <c r="M28" i="6"/>
  <c r="AB10" i="6"/>
  <c r="AB13" i="6"/>
  <c r="Q22" i="6"/>
  <c r="I39" i="6"/>
  <c r="Q39" i="6"/>
  <c r="J13" i="5"/>
  <c r="H20" i="5"/>
  <c r="I13" i="5" s="1"/>
  <c r="O42" i="5"/>
  <c r="J22" i="5"/>
  <c r="I20" i="5"/>
  <c r="E28" i="5"/>
  <c r="E34" i="5" s="1"/>
  <c r="L13" i="5"/>
  <c r="K20" i="5"/>
  <c r="L42" i="5" s="1"/>
  <c r="E32" i="5"/>
  <c r="C20" i="5"/>
  <c r="D13" i="5" s="1"/>
  <c r="G10" i="5"/>
  <c r="L32" i="5"/>
  <c r="V19" i="4"/>
  <c r="V21" i="4" s="1"/>
  <c r="V30" i="4" s="1"/>
  <c r="U17" i="4"/>
  <c r="W17" i="6" s="1"/>
  <c r="G31" i="4"/>
  <c r="O31" i="4"/>
  <c r="G38" i="4"/>
  <c r="O38" i="4"/>
  <c r="G39" i="4"/>
  <c r="O39" i="4"/>
  <c r="G42" i="4"/>
  <c r="O42" i="4"/>
  <c r="G46" i="4"/>
  <c r="O46" i="4"/>
  <c r="O12" i="4"/>
  <c r="R17" i="4"/>
  <c r="H20" i="4"/>
  <c r="I18" i="4" s="1"/>
  <c r="J10" i="4"/>
  <c r="I10" i="4"/>
  <c r="R10" i="4"/>
  <c r="P20" i="4"/>
  <c r="Q10" i="4" s="1"/>
  <c r="V17" i="4"/>
  <c r="X17" i="6" s="1"/>
  <c r="AH14" i="11" s="1"/>
  <c r="G14" i="4"/>
  <c r="O14" i="4"/>
  <c r="AC15" i="4"/>
  <c r="AC16" i="4"/>
  <c r="J18" i="4"/>
  <c r="R18" i="4"/>
  <c r="Q18" i="4"/>
  <c r="J19" i="4"/>
  <c r="Z23" i="4"/>
  <c r="AA25" i="4"/>
  <c r="E28" i="4"/>
  <c r="M28" i="4"/>
  <c r="AA27" i="4"/>
  <c r="Z27" i="4"/>
  <c r="AA28" i="4"/>
  <c r="E32" i="4"/>
  <c r="M32" i="4"/>
  <c r="O13" i="4"/>
  <c r="AA23" i="4"/>
  <c r="W17" i="4"/>
  <c r="G15" i="4"/>
  <c r="O15" i="4"/>
  <c r="O16" i="4"/>
  <c r="J22" i="4"/>
  <c r="I22" i="4"/>
  <c r="I20" i="4"/>
  <c r="R22" i="4"/>
  <c r="Q22" i="4"/>
  <c r="Z25" i="4"/>
  <c r="Z28" i="4"/>
  <c r="N39" i="4"/>
  <c r="N46" i="4"/>
  <c r="G12" i="4"/>
  <c r="J17" i="4"/>
  <c r="I17" i="4"/>
  <c r="AA11" i="4"/>
  <c r="Z11" i="4"/>
  <c r="X17" i="4"/>
  <c r="Z17" i="6" s="1"/>
  <c r="AA13" i="4"/>
  <c r="Z13" i="4"/>
  <c r="G16" i="4"/>
  <c r="G17" i="4"/>
  <c r="O17" i="4"/>
  <c r="O19" i="4"/>
  <c r="L19" i="4"/>
  <c r="G13" i="4"/>
  <c r="Q19" i="4"/>
  <c r="G10" i="4"/>
  <c r="C20" i="4"/>
  <c r="D31" i="4" s="1"/>
  <c r="O10" i="4"/>
  <c r="K20" i="4"/>
  <c r="L16" i="4" s="1"/>
  <c r="J11" i="4"/>
  <c r="I11" i="4"/>
  <c r="R11" i="4"/>
  <c r="Q11" i="4"/>
  <c r="Y17" i="4"/>
  <c r="AA14" i="4"/>
  <c r="Z14" i="4"/>
  <c r="G18" i="4"/>
  <c r="O18" i="4"/>
  <c r="G19" i="4"/>
  <c r="AC23" i="4"/>
  <c r="J26" i="4"/>
  <c r="I26" i="4"/>
  <c r="H28" i="4"/>
  <c r="R26" i="4"/>
  <c r="Q26" i="4"/>
  <c r="P28" i="4"/>
  <c r="J27" i="4"/>
  <c r="I27" i="4"/>
  <c r="R27" i="4"/>
  <c r="Q27" i="4"/>
  <c r="AC27" i="4"/>
  <c r="J30" i="4"/>
  <c r="H32" i="4"/>
  <c r="I30" i="4"/>
  <c r="R30" i="4"/>
  <c r="P32" i="4"/>
  <c r="Q30" i="4"/>
  <c r="AC14" i="4"/>
  <c r="J12" i="4"/>
  <c r="I12" i="4"/>
  <c r="R12" i="4"/>
  <c r="Q12" i="4"/>
  <c r="J13" i="4"/>
  <c r="I13" i="4"/>
  <c r="R13" i="4"/>
  <c r="Q13" i="4"/>
  <c r="Z15" i="4"/>
  <c r="AA15" i="4"/>
  <c r="Z16" i="4"/>
  <c r="AA16" i="4"/>
  <c r="N19" i="4"/>
  <c r="G22" i="4"/>
  <c r="O22" i="4"/>
  <c r="AC25" i="4"/>
  <c r="AC28" i="4"/>
  <c r="J31" i="4"/>
  <c r="I31" i="4"/>
  <c r="R31" i="4"/>
  <c r="Q31" i="4"/>
  <c r="J38" i="4"/>
  <c r="I38" i="4"/>
  <c r="R38" i="4"/>
  <c r="Q38" i="4"/>
  <c r="J39" i="4"/>
  <c r="I39" i="4"/>
  <c r="R39" i="4"/>
  <c r="Q39" i="4"/>
  <c r="J42" i="4"/>
  <c r="I42" i="4"/>
  <c r="R42" i="4"/>
  <c r="Q42" i="4"/>
  <c r="J46" i="4"/>
  <c r="I46" i="4"/>
  <c r="R46" i="4"/>
  <c r="Q46" i="4"/>
  <c r="E20" i="4"/>
  <c r="F26" i="4" s="1"/>
  <c r="M20" i="4"/>
  <c r="N26" i="4" s="1"/>
  <c r="AC11" i="4"/>
  <c r="I14" i="4"/>
  <c r="J14" i="4"/>
  <c r="Q14" i="4"/>
  <c r="R14" i="4"/>
  <c r="G11" i="4"/>
  <c r="O11" i="4"/>
  <c r="L11" i="4"/>
  <c r="AC13" i="4"/>
  <c r="AB17" i="4"/>
  <c r="AB19" i="4" s="1"/>
  <c r="I15" i="4"/>
  <c r="J15" i="4"/>
  <c r="Q15" i="4"/>
  <c r="R15" i="4"/>
  <c r="I16" i="4"/>
  <c r="J16" i="4"/>
  <c r="R16" i="4"/>
  <c r="Q16" i="4"/>
  <c r="C28" i="4"/>
  <c r="D26" i="4"/>
  <c r="G26" i="4"/>
  <c r="K28" i="4"/>
  <c r="O26" i="4"/>
  <c r="L26" i="4"/>
  <c r="G27" i="4"/>
  <c r="O27" i="4"/>
  <c r="L27" i="4"/>
  <c r="G30" i="4"/>
  <c r="C32" i="4"/>
  <c r="O30" i="4"/>
  <c r="L30" i="4"/>
  <c r="K32" i="4"/>
  <c r="L7" i="4"/>
  <c r="G12" i="3"/>
  <c r="G31" i="3"/>
  <c r="G42" i="3"/>
  <c r="H20" i="3"/>
  <c r="H20" i="6" s="1"/>
  <c r="I38" i="6" s="1"/>
  <c r="J10" i="3"/>
  <c r="J17" i="3"/>
  <c r="R17" i="3"/>
  <c r="Q17" i="3"/>
  <c r="J26" i="3"/>
  <c r="H28" i="3"/>
  <c r="H28" i="6" s="1"/>
  <c r="R26" i="3"/>
  <c r="P28" i="3"/>
  <c r="J27" i="3"/>
  <c r="R27" i="3"/>
  <c r="J14" i="3"/>
  <c r="G19" i="3"/>
  <c r="O31" i="3"/>
  <c r="O38" i="3"/>
  <c r="G46" i="3"/>
  <c r="G13" i="3"/>
  <c r="E32" i="3"/>
  <c r="J11" i="3"/>
  <c r="R11" i="3"/>
  <c r="G14" i="3"/>
  <c r="O14" i="3"/>
  <c r="G15" i="3"/>
  <c r="O15" i="3"/>
  <c r="G22" i="3"/>
  <c r="O22" i="3"/>
  <c r="O19" i="3"/>
  <c r="O42" i="3"/>
  <c r="C20" i="3"/>
  <c r="D16" i="3" s="1"/>
  <c r="G10" i="3"/>
  <c r="K20" i="3"/>
  <c r="L16" i="3" s="1"/>
  <c r="O10" i="3"/>
  <c r="J18" i="3"/>
  <c r="R18" i="3"/>
  <c r="J30" i="3"/>
  <c r="H32" i="3"/>
  <c r="R30" i="3"/>
  <c r="P32" i="3"/>
  <c r="J15" i="3"/>
  <c r="I20" i="3"/>
  <c r="J22" i="3"/>
  <c r="G38" i="3"/>
  <c r="P20" i="3"/>
  <c r="Q39" i="3" s="1"/>
  <c r="R10" i="3"/>
  <c r="J12" i="3"/>
  <c r="R12" i="3"/>
  <c r="G16" i="3"/>
  <c r="G17" i="3"/>
  <c r="O17" i="3"/>
  <c r="J19" i="3"/>
  <c r="R19" i="3"/>
  <c r="Q19" i="3"/>
  <c r="C28" i="3"/>
  <c r="G26" i="3"/>
  <c r="K28" i="3"/>
  <c r="O26" i="3"/>
  <c r="G27" i="3"/>
  <c r="O27" i="3"/>
  <c r="J31" i="3"/>
  <c r="R31" i="3"/>
  <c r="J38" i="3"/>
  <c r="I38" i="3"/>
  <c r="R38" i="3"/>
  <c r="J39" i="3"/>
  <c r="R39" i="3"/>
  <c r="J42" i="3"/>
  <c r="I42" i="3"/>
  <c r="R42" i="3"/>
  <c r="J46" i="3"/>
  <c r="R46" i="3"/>
  <c r="Q46" i="3"/>
  <c r="R15" i="3"/>
  <c r="G39" i="3"/>
  <c r="O46" i="3"/>
  <c r="E20" i="3"/>
  <c r="F11" i="3" s="1"/>
  <c r="G11" i="3"/>
  <c r="O11" i="3"/>
  <c r="I13" i="3"/>
  <c r="J13" i="3"/>
  <c r="R13" i="3"/>
  <c r="O12" i="3"/>
  <c r="R22" i="3"/>
  <c r="O39" i="3"/>
  <c r="O13" i="3"/>
  <c r="M32" i="3"/>
  <c r="G18" i="3"/>
  <c r="O18" i="3"/>
  <c r="E28" i="3"/>
  <c r="M28" i="3"/>
  <c r="G30" i="3"/>
  <c r="C32" i="3"/>
  <c r="O30" i="3"/>
  <c r="K32" i="3"/>
  <c r="W19" i="3"/>
  <c r="Z10" i="3"/>
  <c r="AA10" i="3"/>
  <c r="R16" i="3"/>
  <c r="AA25" i="3"/>
  <c r="Z27" i="3"/>
  <c r="Z11" i="3"/>
  <c r="P7" i="3"/>
  <c r="AC25" i="3"/>
  <c r="AC11" i="3"/>
  <c r="R27" i="5" l="1"/>
  <c r="J27" i="5"/>
  <c r="I27" i="5"/>
  <c r="P28" i="5"/>
  <c r="R26" i="5"/>
  <c r="H28" i="5"/>
  <c r="J26" i="5"/>
  <c r="I26" i="5"/>
  <c r="P32" i="5"/>
  <c r="R30" i="5"/>
  <c r="I38" i="5"/>
  <c r="J38" i="5"/>
  <c r="R38" i="5"/>
  <c r="J31" i="5"/>
  <c r="R22" i="5"/>
  <c r="J39" i="5"/>
  <c r="R31" i="5"/>
  <c r="R13" i="5"/>
  <c r="Q13" i="5"/>
  <c r="P20" i="5"/>
  <c r="R39" i="5"/>
  <c r="H32" i="5"/>
  <c r="J30" i="5"/>
  <c r="H24" i="10"/>
  <c r="R10" i="10"/>
  <c r="Q10" i="10"/>
  <c r="P20" i="10"/>
  <c r="Q19" i="10" s="1"/>
  <c r="P24" i="10"/>
  <c r="R19" i="10"/>
  <c r="R39" i="10"/>
  <c r="J39" i="10"/>
  <c r="R38" i="10"/>
  <c r="J38" i="10"/>
  <c r="R31" i="10"/>
  <c r="P32" i="10"/>
  <c r="J31" i="10"/>
  <c r="H32" i="10"/>
  <c r="O13" i="5"/>
  <c r="G13" i="5"/>
  <c r="E20" i="5"/>
  <c r="M20" i="5"/>
  <c r="G42" i="5"/>
  <c r="M16" i="3"/>
  <c r="G46" i="5"/>
  <c r="M28" i="5"/>
  <c r="M32" i="5"/>
  <c r="N32" i="5" s="1"/>
  <c r="O46" i="5"/>
  <c r="O27" i="5"/>
  <c r="G27" i="5"/>
  <c r="O26" i="5"/>
  <c r="K28" i="5"/>
  <c r="G26" i="5"/>
  <c r="C28" i="5"/>
  <c r="O22" i="5"/>
  <c r="G22" i="5"/>
  <c r="X16" i="10"/>
  <c r="Y17" i="10"/>
  <c r="AC16" i="10"/>
  <c r="M32" i="10"/>
  <c r="M34" i="10" s="1"/>
  <c r="Z11" i="10"/>
  <c r="AI9" i="11" s="1"/>
  <c r="X11" i="10"/>
  <c r="Y19" i="10"/>
  <c r="AC19" i="10" s="1"/>
  <c r="AC11" i="10"/>
  <c r="X28" i="10"/>
  <c r="AA28" i="10" s="1"/>
  <c r="AC28" i="10"/>
  <c r="Z28" i="10"/>
  <c r="AB8" i="11"/>
  <c r="X10" i="10"/>
  <c r="AA10" i="10" s="1"/>
  <c r="AK8" i="11"/>
  <c r="AC10" i="10"/>
  <c r="M19" i="11"/>
  <c r="K19" i="10"/>
  <c r="K24" i="10" s="1"/>
  <c r="M24" i="10"/>
  <c r="K10" i="10"/>
  <c r="M20" i="10"/>
  <c r="N27" i="10" s="1"/>
  <c r="M31" i="11"/>
  <c r="J16" i="11"/>
  <c r="H31" i="11"/>
  <c r="O31" i="11"/>
  <c r="P31" i="11"/>
  <c r="R14" i="11"/>
  <c r="J27" i="9"/>
  <c r="F27" i="9"/>
  <c r="O19" i="9"/>
  <c r="I43" i="9"/>
  <c r="I17" i="9"/>
  <c r="I19" i="9"/>
  <c r="I18" i="9"/>
  <c r="I20" i="9"/>
  <c r="I13" i="9"/>
  <c r="I11" i="9"/>
  <c r="I16" i="9"/>
  <c r="I15" i="9"/>
  <c r="C7" i="8"/>
  <c r="U7" i="3"/>
  <c r="X7" i="3" s="1"/>
  <c r="K7" i="3"/>
  <c r="AA15" i="3"/>
  <c r="Z15" i="3"/>
  <c r="AC14" i="6"/>
  <c r="Z11" i="11"/>
  <c r="AD11" i="11" s="1"/>
  <c r="AB14" i="6"/>
  <c r="AI11" i="11" s="1"/>
  <c r="X11" i="11"/>
  <c r="AG11" i="11"/>
  <c r="W12" i="11"/>
  <c r="W14" i="11" s="1"/>
  <c r="AB28" i="6"/>
  <c r="AI22" i="11" s="1"/>
  <c r="Z22" i="11"/>
  <c r="AD22" i="11" s="1"/>
  <c r="AC28" i="6"/>
  <c r="AE16" i="6"/>
  <c r="AA13" i="11"/>
  <c r="AE13" i="11" s="1"/>
  <c r="X9" i="11"/>
  <c r="AG9" i="11"/>
  <c r="G18" i="6"/>
  <c r="C18" i="11"/>
  <c r="R13" i="6"/>
  <c r="P13" i="11"/>
  <c r="G39" i="6"/>
  <c r="C39" i="11"/>
  <c r="R38" i="6"/>
  <c r="P38" i="11"/>
  <c r="E14" i="11"/>
  <c r="J30" i="6"/>
  <c r="H30" i="11"/>
  <c r="H33" i="6"/>
  <c r="O22" i="6"/>
  <c r="K22" i="11"/>
  <c r="J14" i="6"/>
  <c r="H14" i="11"/>
  <c r="E38" i="11"/>
  <c r="T26" i="6"/>
  <c r="H17" i="11"/>
  <c r="J17" i="6"/>
  <c r="I17" i="6"/>
  <c r="Q16" i="3"/>
  <c r="Q13" i="3"/>
  <c r="F10" i="3"/>
  <c r="Q38" i="3"/>
  <c r="Q10" i="3"/>
  <c r="U19" i="4"/>
  <c r="U21" i="4" s="1"/>
  <c r="U30" i="4" s="1"/>
  <c r="AA30" i="4" s="1"/>
  <c r="N38" i="4"/>
  <c r="N32" i="4"/>
  <c r="Q38" i="6"/>
  <c r="I13" i="6"/>
  <c r="I14" i="6"/>
  <c r="L10" i="7"/>
  <c r="Q12" i="7"/>
  <c r="Q42" i="7"/>
  <c r="L11" i="7"/>
  <c r="AC11" i="9"/>
  <c r="AI10" i="11" s="1"/>
  <c r="AC25" i="9"/>
  <c r="AK24" i="11"/>
  <c r="O36" i="9"/>
  <c r="F31" i="9"/>
  <c r="J31" i="9"/>
  <c r="F46" i="9"/>
  <c r="F16" i="9"/>
  <c r="F20" i="9"/>
  <c r="F18" i="9"/>
  <c r="R11" i="9"/>
  <c r="N11" i="9"/>
  <c r="Z16" i="9"/>
  <c r="AA16" i="9"/>
  <c r="N15" i="9"/>
  <c r="R15" i="9"/>
  <c r="Z17" i="9"/>
  <c r="P7" i="8"/>
  <c r="H7" i="9"/>
  <c r="AE13" i="6"/>
  <c r="AA10" i="11"/>
  <c r="AE10" i="11" s="1"/>
  <c r="AH19" i="11"/>
  <c r="Y19" i="11"/>
  <c r="AA22" i="11"/>
  <c r="AE22" i="11" s="1"/>
  <c r="AE28" i="6"/>
  <c r="AC15" i="6"/>
  <c r="Z12" i="11"/>
  <c r="AA19" i="11"/>
  <c r="AE23" i="6"/>
  <c r="AC13" i="6"/>
  <c r="AB10" i="11"/>
  <c r="AK10" i="11"/>
  <c r="Z13" i="3"/>
  <c r="X17" i="3"/>
  <c r="Y11" i="11"/>
  <c r="AH11" i="11"/>
  <c r="AC27" i="3"/>
  <c r="AC15" i="3"/>
  <c r="O30" i="6"/>
  <c r="K33" i="6"/>
  <c r="M17" i="11"/>
  <c r="J13" i="6"/>
  <c r="H13" i="11"/>
  <c r="R15" i="6"/>
  <c r="P15" i="11"/>
  <c r="J38" i="6"/>
  <c r="H38" i="11"/>
  <c r="E22" i="11"/>
  <c r="T11" i="6"/>
  <c r="R12" i="11"/>
  <c r="R18" i="6"/>
  <c r="P18" i="11"/>
  <c r="G22" i="6"/>
  <c r="C22" i="11"/>
  <c r="R11" i="6"/>
  <c r="P11" i="11"/>
  <c r="M46" i="11"/>
  <c r="R12" i="6"/>
  <c r="M12" i="11"/>
  <c r="F26" i="3"/>
  <c r="L39" i="3"/>
  <c r="Q42" i="3"/>
  <c r="Q26" i="3"/>
  <c r="N16" i="4"/>
  <c r="L17" i="4"/>
  <c r="N31" i="4"/>
  <c r="Q46" i="6"/>
  <c r="L42" i="7"/>
  <c r="I46" i="9"/>
  <c r="I34" i="9"/>
  <c r="N24" i="9"/>
  <c r="G36" i="9"/>
  <c r="N32" i="9"/>
  <c r="R32" i="9"/>
  <c r="J28" i="9"/>
  <c r="F28" i="9"/>
  <c r="K7" i="6"/>
  <c r="W7" i="6"/>
  <c r="Z7" i="6" s="1"/>
  <c r="C31" i="11"/>
  <c r="AE25" i="6"/>
  <c r="AA14" i="3"/>
  <c r="AA13" i="3"/>
  <c r="Y17" i="3"/>
  <c r="Z10" i="11"/>
  <c r="AC10" i="11" s="1"/>
  <c r="AB22" i="11"/>
  <c r="AK22" i="11"/>
  <c r="AK21" i="11"/>
  <c r="AB21" i="11"/>
  <c r="AB27" i="6"/>
  <c r="AI21" i="11" s="1"/>
  <c r="AA12" i="11"/>
  <c r="AE12" i="11" s="1"/>
  <c r="AE15" i="6"/>
  <c r="X22" i="11"/>
  <c r="AG22" i="11"/>
  <c r="C30" i="11"/>
  <c r="C33" i="6"/>
  <c r="G30" i="6"/>
  <c r="E17" i="11"/>
  <c r="R46" i="6"/>
  <c r="P46" i="11"/>
  <c r="H19" i="11"/>
  <c r="J19" i="11" s="1"/>
  <c r="I12" i="6"/>
  <c r="H12" i="11"/>
  <c r="J18" i="6"/>
  <c r="H18" i="11"/>
  <c r="K16" i="11"/>
  <c r="O16" i="6"/>
  <c r="J11" i="6"/>
  <c r="H11" i="11"/>
  <c r="E46" i="11"/>
  <c r="T32" i="6"/>
  <c r="J12" i="6"/>
  <c r="E12" i="11"/>
  <c r="G12" i="11" s="1"/>
  <c r="L30" i="3"/>
  <c r="L26" i="3"/>
  <c r="I32" i="6"/>
  <c r="I20" i="6"/>
  <c r="X19" i="4"/>
  <c r="I46" i="6"/>
  <c r="N27" i="7"/>
  <c r="N30" i="7"/>
  <c r="F24" i="9"/>
  <c r="G43" i="9"/>
  <c r="F10" i="9"/>
  <c r="R26" i="9"/>
  <c r="N26" i="9"/>
  <c r="Y21" i="9"/>
  <c r="T6" i="3"/>
  <c r="B6" i="11"/>
  <c r="B6" i="7"/>
  <c r="U6" i="7" s="1"/>
  <c r="B6" i="8"/>
  <c r="W19" i="6"/>
  <c r="W9" i="11"/>
  <c r="AK13" i="11"/>
  <c r="AB13" i="11"/>
  <c r="AB11" i="11"/>
  <c r="AK11" i="11"/>
  <c r="X13" i="11"/>
  <c r="AG13" i="11"/>
  <c r="Y19" i="3"/>
  <c r="Y21" i="3" s="1"/>
  <c r="M30" i="11"/>
  <c r="M32" i="11" s="1"/>
  <c r="M33" i="6"/>
  <c r="C11" i="11"/>
  <c r="J46" i="6"/>
  <c r="H46" i="11"/>
  <c r="O17" i="6"/>
  <c r="K17" i="11"/>
  <c r="P10" i="11"/>
  <c r="R10" i="6"/>
  <c r="K20" i="6"/>
  <c r="L16" i="6" s="1"/>
  <c r="K10" i="11"/>
  <c r="O10" i="6"/>
  <c r="L15" i="6"/>
  <c r="K15" i="11"/>
  <c r="E30" i="11"/>
  <c r="T21" i="6"/>
  <c r="E33" i="6"/>
  <c r="P27" i="11"/>
  <c r="R27" i="6"/>
  <c r="I10" i="6"/>
  <c r="H10" i="11"/>
  <c r="J10" i="6"/>
  <c r="Q18" i="3"/>
  <c r="R28" i="9"/>
  <c r="N28" i="9"/>
  <c r="J30" i="9"/>
  <c r="J14" i="9"/>
  <c r="F14" i="9"/>
  <c r="P19" i="11"/>
  <c r="U7" i="10"/>
  <c r="K7" i="10"/>
  <c r="X7" i="10" s="1"/>
  <c r="Y20" i="11"/>
  <c r="AH20" i="11"/>
  <c r="Y13" i="11"/>
  <c r="AH13" i="11"/>
  <c r="AA19" i="6"/>
  <c r="AK9" i="11"/>
  <c r="AB9" i="11"/>
  <c r="AK20" i="11"/>
  <c r="AB20" i="11"/>
  <c r="AG10" i="11"/>
  <c r="X10" i="11"/>
  <c r="AC25" i="6"/>
  <c r="Y21" i="11"/>
  <c r="AH21" i="11"/>
  <c r="E27" i="11"/>
  <c r="T19" i="6"/>
  <c r="O13" i="6"/>
  <c r="K13" i="11"/>
  <c r="M10" i="11"/>
  <c r="R42" i="6"/>
  <c r="P42" i="11"/>
  <c r="O27" i="6"/>
  <c r="K27" i="11"/>
  <c r="G17" i="6"/>
  <c r="C17" i="11"/>
  <c r="G38" i="6"/>
  <c r="C38" i="11"/>
  <c r="C20" i="6"/>
  <c r="C10" i="11"/>
  <c r="G10" i="6"/>
  <c r="C15" i="11"/>
  <c r="G13" i="6"/>
  <c r="C13" i="11"/>
  <c r="E42" i="11"/>
  <c r="T29" i="6"/>
  <c r="H27" i="11"/>
  <c r="J27" i="6"/>
  <c r="G42" i="6"/>
  <c r="C42" i="11"/>
  <c r="Q22" i="3"/>
  <c r="Q15" i="3"/>
  <c r="Q31" i="3"/>
  <c r="L22" i="3"/>
  <c r="Q11" i="3"/>
  <c r="I28" i="6"/>
  <c r="N18" i="4"/>
  <c r="L22" i="4"/>
  <c r="Z17" i="4"/>
  <c r="AA17" i="6"/>
  <c r="W19" i="4"/>
  <c r="W21" i="4" s="1"/>
  <c r="Y17" i="6"/>
  <c r="AG14" i="11" s="1"/>
  <c r="L22" i="5"/>
  <c r="I22" i="5"/>
  <c r="Q42" i="6"/>
  <c r="I22" i="6"/>
  <c r="H34" i="6"/>
  <c r="N26" i="7"/>
  <c r="Q30" i="7"/>
  <c r="L27" i="9"/>
  <c r="L22" i="9"/>
  <c r="L20" i="9"/>
  <c r="L19" i="9"/>
  <c r="L18" i="9"/>
  <c r="L15" i="9"/>
  <c r="L30" i="9"/>
  <c r="L21" i="9"/>
  <c r="L13" i="9"/>
  <c r="L12" i="9"/>
  <c r="L11" i="9"/>
  <c r="L16" i="9"/>
  <c r="O20" i="9"/>
  <c r="L10" i="9"/>
  <c r="L24" i="9"/>
  <c r="L17" i="9"/>
  <c r="L14" i="9"/>
  <c r="AB30" i="9"/>
  <c r="Z27" i="9"/>
  <c r="N46" i="9"/>
  <c r="N20" i="9"/>
  <c r="N14" i="9"/>
  <c r="F42" i="9"/>
  <c r="M7" i="8"/>
  <c r="V7" i="8" s="1"/>
  <c r="Y7" i="8" s="1"/>
  <c r="E7" i="9"/>
  <c r="M7" i="9" s="1"/>
  <c r="V7" i="9" s="1"/>
  <c r="Y7" i="9" s="1"/>
  <c r="W22" i="11"/>
  <c r="AK12" i="11"/>
  <c r="AB12" i="11"/>
  <c r="AE14" i="6"/>
  <c r="AA11" i="11"/>
  <c r="AE11" i="11" s="1"/>
  <c r="X12" i="11"/>
  <c r="AG12" i="11"/>
  <c r="AA11" i="3"/>
  <c r="Z23" i="3"/>
  <c r="AH10" i="11"/>
  <c r="Y10" i="11"/>
  <c r="U17" i="3"/>
  <c r="U19" i="3" s="1"/>
  <c r="U21" i="3" s="1"/>
  <c r="R26" i="6"/>
  <c r="M26" i="11"/>
  <c r="O39" i="6"/>
  <c r="E20" i="6"/>
  <c r="E10" i="11"/>
  <c r="J42" i="6"/>
  <c r="H42" i="11"/>
  <c r="G27" i="6"/>
  <c r="C27" i="11"/>
  <c r="C16" i="11"/>
  <c r="G16" i="11" s="1"/>
  <c r="G16" i="6"/>
  <c r="J22" i="6"/>
  <c r="H22" i="11"/>
  <c r="K14" i="11"/>
  <c r="O14" i="6"/>
  <c r="G46" i="6"/>
  <c r="C46" i="11"/>
  <c r="M39" i="11"/>
  <c r="P28" i="6"/>
  <c r="P26" i="11"/>
  <c r="G32" i="6"/>
  <c r="N22" i="4"/>
  <c r="N13" i="4"/>
  <c r="N27" i="4"/>
  <c r="I42" i="6"/>
  <c r="Q18" i="6"/>
  <c r="I27" i="6"/>
  <c r="I15" i="6"/>
  <c r="I39" i="9"/>
  <c r="Z11" i="9"/>
  <c r="R45" i="9"/>
  <c r="F15" i="9"/>
  <c r="F19" i="9"/>
  <c r="E31" i="11"/>
  <c r="AG19" i="11"/>
  <c r="X19" i="11"/>
  <c r="AE11" i="6"/>
  <c r="AA9" i="11"/>
  <c r="AA16" i="3"/>
  <c r="Z16" i="3"/>
  <c r="Y12" i="11"/>
  <c r="AH12" i="11"/>
  <c r="Z19" i="6"/>
  <c r="Z9" i="11"/>
  <c r="W13" i="11"/>
  <c r="Z19" i="11"/>
  <c r="AD19" i="11" s="1"/>
  <c r="AC23" i="6"/>
  <c r="AB23" i="6"/>
  <c r="AI19" i="11" s="1"/>
  <c r="AB19" i="11"/>
  <c r="AK19" i="11"/>
  <c r="V17" i="3"/>
  <c r="V19" i="3" s="1"/>
  <c r="V21" i="3" s="1"/>
  <c r="V30" i="3" s="1"/>
  <c r="J26" i="6"/>
  <c r="E26" i="11"/>
  <c r="T13" i="6"/>
  <c r="R22" i="6"/>
  <c r="P22" i="11"/>
  <c r="M18" i="11"/>
  <c r="R39" i="6"/>
  <c r="P39" i="11"/>
  <c r="L26" i="6"/>
  <c r="M15" i="11"/>
  <c r="R15" i="11" s="1"/>
  <c r="J15" i="6"/>
  <c r="H15" i="11"/>
  <c r="O42" i="6"/>
  <c r="C14" i="11"/>
  <c r="G14" i="6"/>
  <c r="O38" i="6"/>
  <c r="E39" i="11"/>
  <c r="T27" i="6"/>
  <c r="I26" i="6"/>
  <c r="H26" i="11"/>
  <c r="G11" i="6"/>
  <c r="E11" i="11"/>
  <c r="F27" i="3"/>
  <c r="L12" i="3"/>
  <c r="AD17" i="6"/>
  <c r="AB17" i="3"/>
  <c r="AB19" i="3" s="1"/>
  <c r="AC19" i="3" s="1"/>
  <c r="I18" i="6"/>
  <c r="I30" i="6"/>
  <c r="I11" i="6"/>
  <c r="J26" i="9"/>
  <c r="F26" i="9"/>
  <c r="G19" i="9"/>
  <c r="C19" i="11"/>
  <c r="AC27" i="9"/>
  <c r="AK26" i="11"/>
  <c r="J17" i="9"/>
  <c r="F17" i="9"/>
  <c r="N31" i="9"/>
  <c r="R31" i="9"/>
  <c r="W8" i="11"/>
  <c r="O34" i="8"/>
  <c r="K42" i="9"/>
  <c r="O42" i="9" s="1"/>
  <c r="I16" i="6"/>
  <c r="F32" i="9"/>
  <c r="J32" i="9"/>
  <c r="Q43" i="9"/>
  <c r="Q20" i="9"/>
  <c r="Q18" i="9"/>
  <c r="Q11" i="9"/>
  <c r="Q15" i="9"/>
  <c r="Q16" i="9"/>
  <c r="Q17" i="9"/>
  <c r="Q19" i="9"/>
  <c r="Q13" i="9"/>
  <c r="AE8" i="11"/>
  <c r="Y22" i="11"/>
  <c r="AH22" i="11"/>
  <c r="P16" i="11"/>
  <c r="R16" i="6"/>
  <c r="W20" i="11"/>
  <c r="AC16" i="6"/>
  <c r="Z13" i="11"/>
  <c r="AA21" i="11"/>
  <c r="AE21" i="11" s="1"/>
  <c r="AE27" i="6"/>
  <c r="AC16" i="3"/>
  <c r="X19" i="6"/>
  <c r="Y9" i="11"/>
  <c r="AH9" i="11"/>
  <c r="O18" i="6"/>
  <c r="K18" i="11"/>
  <c r="L12" i="6"/>
  <c r="K12" i="11"/>
  <c r="O46" i="6"/>
  <c r="J39" i="6"/>
  <c r="H39" i="11"/>
  <c r="C26" i="11"/>
  <c r="R30" i="6"/>
  <c r="P30" i="11"/>
  <c r="P33" i="6"/>
  <c r="R33" i="6" s="1"/>
  <c r="O11" i="6"/>
  <c r="M11" i="11"/>
  <c r="O11" i="11" s="1"/>
  <c r="M13" i="11"/>
  <c r="M38" i="11"/>
  <c r="P17" i="11"/>
  <c r="R17" i="6"/>
  <c r="O31" i="10"/>
  <c r="K36" i="10"/>
  <c r="C32" i="10"/>
  <c r="U19" i="10"/>
  <c r="U21" i="10" s="1"/>
  <c r="U30" i="10" s="1"/>
  <c r="X19" i="10"/>
  <c r="AA19" i="10" s="1"/>
  <c r="AA11" i="10"/>
  <c r="R24" i="10"/>
  <c r="Q24" i="10"/>
  <c r="M36" i="10"/>
  <c r="AC30" i="10"/>
  <c r="X21" i="10"/>
  <c r="K28" i="10"/>
  <c r="O24" i="10"/>
  <c r="N38" i="10"/>
  <c r="N31" i="10"/>
  <c r="N24" i="10"/>
  <c r="N21" i="10"/>
  <c r="N23" i="10"/>
  <c r="N41" i="10"/>
  <c r="N10" i="10"/>
  <c r="N30" i="10"/>
  <c r="I32" i="10"/>
  <c r="E34" i="10"/>
  <c r="I34" i="10" s="1"/>
  <c r="Q22" i="10"/>
  <c r="Q15" i="10"/>
  <c r="Q46" i="10"/>
  <c r="Q11" i="10"/>
  <c r="Q26" i="10"/>
  <c r="Q13" i="10"/>
  <c r="Q30" i="10"/>
  <c r="R20" i="10"/>
  <c r="Q20" i="10"/>
  <c r="Q14" i="10"/>
  <c r="Q42" i="10"/>
  <c r="Q27" i="10"/>
  <c r="Q12" i="10"/>
  <c r="Y21" i="10"/>
  <c r="P34" i="10"/>
  <c r="R32" i="10"/>
  <c r="Q32" i="10"/>
  <c r="K20" i="10"/>
  <c r="O10" i="10"/>
  <c r="AC17" i="10"/>
  <c r="J24" i="10"/>
  <c r="E36" i="10"/>
  <c r="I24" i="10"/>
  <c r="Q31" i="10"/>
  <c r="Z16" i="10"/>
  <c r="AI13" i="11" s="1"/>
  <c r="X17" i="10"/>
  <c r="AA17" i="10" s="1"/>
  <c r="AA16" i="10"/>
  <c r="Q39" i="10"/>
  <c r="C20" i="10"/>
  <c r="G10" i="10"/>
  <c r="G19" i="10"/>
  <c r="C24" i="10"/>
  <c r="F42" i="10"/>
  <c r="F22" i="10"/>
  <c r="F20" i="10"/>
  <c r="F15" i="10"/>
  <c r="F46" i="10"/>
  <c r="F39" i="10"/>
  <c r="F38" i="10"/>
  <c r="F32" i="10"/>
  <c r="F31" i="10"/>
  <c r="F11" i="10"/>
  <c r="F43" i="10"/>
  <c r="F24" i="10"/>
  <c r="F16" i="10"/>
  <c r="F36" i="10"/>
  <c r="F26" i="10"/>
  <c r="F17" i="10"/>
  <c r="F13" i="10"/>
  <c r="F30" i="10"/>
  <c r="F28" i="10"/>
  <c r="F19" i="10"/>
  <c r="F41" i="10"/>
  <c r="F34" i="10"/>
  <c r="I20" i="10"/>
  <c r="F18" i="10"/>
  <c r="F14" i="10"/>
  <c r="F10" i="10"/>
  <c r="F45" i="10"/>
  <c r="F27" i="10"/>
  <c r="F12" i="10"/>
  <c r="X21" i="8"/>
  <c r="X21" i="9" s="1"/>
  <c r="X20" i="11" s="1"/>
  <c r="AA19" i="8"/>
  <c r="J34" i="8"/>
  <c r="F34" i="8"/>
  <c r="G24" i="8"/>
  <c r="C36" i="8"/>
  <c r="C45" i="9" s="1"/>
  <c r="G45" i="9" s="1"/>
  <c r="E36" i="8"/>
  <c r="E36" i="9" s="1"/>
  <c r="F24" i="8"/>
  <c r="J24" i="8"/>
  <c r="AC19" i="8"/>
  <c r="Z19" i="8"/>
  <c r="Y21" i="8"/>
  <c r="O24" i="8"/>
  <c r="K36" i="8"/>
  <c r="K45" i="9" s="1"/>
  <c r="O45" i="9" s="1"/>
  <c r="R24" i="8"/>
  <c r="M36" i="8"/>
  <c r="M36" i="9" s="1"/>
  <c r="N24" i="8"/>
  <c r="L20" i="7"/>
  <c r="K24" i="7"/>
  <c r="O20" i="7"/>
  <c r="I26" i="7"/>
  <c r="F20" i="7"/>
  <c r="E24" i="7"/>
  <c r="Z21" i="7"/>
  <c r="AD19" i="7"/>
  <c r="AA19" i="7"/>
  <c r="I42" i="7"/>
  <c r="I31" i="7"/>
  <c r="L39" i="7"/>
  <c r="L12" i="7"/>
  <c r="N38" i="7"/>
  <c r="L30" i="7"/>
  <c r="K34" i="7"/>
  <c r="O28" i="7"/>
  <c r="L28" i="7"/>
  <c r="H34" i="7"/>
  <c r="J28" i="7"/>
  <c r="I28" i="7"/>
  <c r="F38" i="7"/>
  <c r="L13" i="7"/>
  <c r="Y21" i="7"/>
  <c r="AB19" i="7"/>
  <c r="N28" i="7"/>
  <c r="M34" i="7"/>
  <c r="N34" i="7" s="1"/>
  <c r="D20" i="7"/>
  <c r="C24" i="7"/>
  <c r="G20" i="7"/>
  <c r="D38" i="7"/>
  <c r="L26" i="7"/>
  <c r="N11" i="7"/>
  <c r="R32" i="7"/>
  <c r="Q32" i="7"/>
  <c r="P24" i="7"/>
  <c r="R20" i="7"/>
  <c r="Q20" i="7"/>
  <c r="Q38" i="7"/>
  <c r="L22" i="7"/>
  <c r="D11" i="7"/>
  <c r="I27" i="7"/>
  <c r="D39" i="7"/>
  <c r="D12" i="7"/>
  <c r="N31" i="7"/>
  <c r="I46" i="7"/>
  <c r="L32" i="7"/>
  <c r="O32" i="7"/>
  <c r="I12" i="7"/>
  <c r="N13" i="7"/>
  <c r="F31" i="7"/>
  <c r="Q11" i="7"/>
  <c r="F28" i="7"/>
  <c r="E34" i="7"/>
  <c r="F34" i="7" s="1"/>
  <c r="L31" i="7"/>
  <c r="C34" i="7"/>
  <c r="G28" i="7"/>
  <c r="D28" i="7"/>
  <c r="N46" i="7"/>
  <c r="D22" i="7"/>
  <c r="L46" i="7"/>
  <c r="Q26" i="7"/>
  <c r="D13" i="7"/>
  <c r="N32" i="7"/>
  <c r="Q22" i="7"/>
  <c r="J32" i="7"/>
  <c r="I32" i="7"/>
  <c r="H24" i="7"/>
  <c r="J20" i="7"/>
  <c r="I20" i="7"/>
  <c r="N20" i="7"/>
  <c r="M24" i="7"/>
  <c r="I11" i="7"/>
  <c r="D32" i="7"/>
  <c r="G32" i="7"/>
  <c r="I39" i="7"/>
  <c r="D31" i="7"/>
  <c r="N22" i="7"/>
  <c r="I30" i="7"/>
  <c r="I10" i="7"/>
  <c r="Q31" i="7"/>
  <c r="N12" i="7"/>
  <c r="D46" i="7"/>
  <c r="P34" i="7"/>
  <c r="R28" i="7"/>
  <c r="Q28" i="7"/>
  <c r="N42" i="7"/>
  <c r="F32" i="7"/>
  <c r="F10" i="7"/>
  <c r="I22" i="7"/>
  <c r="M34" i="6"/>
  <c r="T20" i="6"/>
  <c r="E34" i="6"/>
  <c r="J28" i="6"/>
  <c r="Q28" i="6"/>
  <c r="J34" i="6"/>
  <c r="I34" i="6"/>
  <c r="Q32" i="6"/>
  <c r="Q27" i="6"/>
  <c r="Q17" i="6"/>
  <c r="Q16" i="6"/>
  <c r="Q30" i="6"/>
  <c r="Q20" i="6"/>
  <c r="P24" i="6"/>
  <c r="Q12" i="6"/>
  <c r="Q15" i="6"/>
  <c r="O28" i="6"/>
  <c r="L28" i="6"/>
  <c r="K34" i="6"/>
  <c r="Q13" i="6"/>
  <c r="Q26" i="6"/>
  <c r="G28" i="6"/>
  <c r="D28" i="6"/>
  <c r="C34" i="6"/>
  <c r="Q11" i="6"/>
  <c r="D42" i="5"/>
  <c r="L26" i="5"/>
  <c r="I11" i="5"/>
  <c r="I15" i="5"/>
  <c r="H24" i="5"/>
  <c r="J20" i="5"/>
  <c r="I12" i="5"/>
  <c r="I10" i="5"/>
  <c r="I16" i="5"/>
  <c r="I14" i="5"/>
  <c r="I46" i="5"/>
  <c r="J28" i="5"/>
  <c r="I28" i="5"/>
  <c r="D16" i="5"/>
  <c r="D20" i="5"/>
  <c r="D14" i="5"/>
  <c r="D30" i="5"/>
  <c r="D11" i="5"/>
  <c r="D17" i="5"/>
  <c r="D15" i="5"/>
  <c r="D38" i="5"/>
  <c r="G20" i="5"/>
  <c r="C24" i="5"/>
  <c r="D12" i="5"/>
  <c r="D46" i="5"/>
  <c r="G28" i="5"/>
  <c r="C34" i="5"/>
  <c r="D28" i="5"/>
  <c r="Q32" i="5"/>
  <c r="Q38" i="5"/>
  <c r="L27" i="5"/>
  <c r="D26" i="5"/>
  <c r="Q46" i="5"/>
  <c r="P24" i="5"/>
  <c r="Q11" i="5"/>
  <c r="R20" i="5"/>
  <c r="Q15" i="5"/>
  <c r="Q20" i="5"/>
  <c r="Q17" i="5"/>
  <c r="Q12" i="5"/>
  <c r="Q10" i="5"/>
  <c r="Q42" i="5"/>
  <c r="Q16" i="5"/>
  <c r="Q26" i="5"/>
  <c r="D22" i="5"/>
  <c r="Q30" i="5"/>
  <c r="D18" i="5"/>
  <c r="L17" i="5"/>
  <c r="L31" i="5"/>
  <c r="L20" i="5"/>
  <c r="L12" i="5"/>
  <c r="L10" i="5"/>
  <c r="L39" i="5"/>
  <c r="L16" i="5"/>
  <c r="L14" i="5"/>
  <c r="L30" i="5"/>
  <c r="L19" i="5"/>
  <c r="O20" i="5"/>
  <c r="L11" i="5"/>
  <c r="L38" i="5"/>
  <c r="K24" i="5"/>
  <c r="L15" i="5"/>
  <c r="D27" i="5"/>
  <c r="L18" i="5"/>
  <c r="Q31" i="5"/>
  <c r="P34" i="5"/>
  <c r="R28" i="5"/>
  <c r="Q28" i="5"/>
  <c r="F42" i="5"/>
  <c r="F14" i="5"/>
  <c r="F46" i="5"/>
  <c r="F30" i="5"/>
  <c r="F28" i="5"/>
  <c r="F27" i="5"/>
  <c r="F26" i="5"/>
  <c r="F11" i="5"/>
  <c r="F17" i="5"/>
  <c r="F15" i="5"/>
  <c r="F38" i="5"/>
  <c r="F31" i="5"/>
  <c r="E24" i="5"/>
  <c r="E36" i="5" s="1"/>
  <c r="F22" i="5"/>
  <c r="F12" i="5"/>
  <c r="F10" i="5"/>
  <c r="F39" i="5"/>
  <c r="F34" i="5"/>
  <c r="F32" i="5"/>
  <c r="F20" i="5"/>
  <c r="F19" i="5"/>
  <c r="F18" i="5"/>
  <c r="F16" i="5"/>
  <c r="F13" i="5"/>
  <c r="N12" i="5"/>
  <c r="N10" i="5"/>
  <c r="N42" i="5"/>
  <c r="N39" i="5"/>
  <c r="N16" i="5"/>
  <c r="N28" i="5"/>
  <c r="N27" i="5"/>
  <c r="N26" i="5"/>
  <c r="N18" i="5"/>
  <c r="N14" i="5"/>
  <c r="N46" i="5"/>
  <c r="N30" i="5"/>
  <c r="N19" i="5"/>
  <c r="N11" i="5"/>
  <c r="N38" i="5"/>
  <c r="M24" i="5"/>
  <c r="N22" i="5"/>
  <c r="N15" i="5"/>
  <c r="N17" i="5"/>
  <c r="N31" i="5"/>
  <c r="N20" i="5"/>
  <c r="N13" i="5"/>
  <c r="D32" i="5"/>
  <c r="D10" i="5"/>
  <c r="L46" i="5"/>
  <c r="O28" i="5"/>
  <c r="K34" i="5"/>
  <c r="L28" i="5"/>
  <c r="J32" i="5"/>
  <c r="I32" i="5"/>
  <c r="H34" i="5"/>
  <c r="D30" i="4"/>
  <c r="F10" i="4"/>
  <c r="L18" i="4"/>
  <c r="L10" i="4"/>
  <c r="F39" i="4"/>
  <c r="D15" i="4"/>
  <c r="L13" i="4"/>
  <c r="L14" i="4"/>
  <c r="P24" i="4"/>
  <c r="R20" i="4"/>
  <c r="Q20" i="4"/>
  <c r="L12" i="4"/>
  <c r="D42" i="4"/>
  <c r="D38" i="4"/>
  <c r="D28" i="4"/>
  <c r="G28" i="4"/>
  <c r="C34" i="4"/>
  <c r="D22" i="4"/>
  <c r="D18" i="4"/>
  <c r="D10" i="4"/>
  <c r="AA17" i="4"/>
  <c r="F38" i="4"/>
  <c r="N30" i="4"/>
  <c r="F27" i="4"/>
  <c r="D14" i="4"/>
  <c r="L46" i="4"/>
  <c r="L39" i="4"/>
  <c r="L31" i="4"/>
  <c r="O32" i="4"/>
  <c r="L32" i="4"/>
  <c r="D27" i="4"/>
  <c r="D11" i="4"/>
  <c r="AB21" i="4"/>
  <c r="AC19" i="4"/>
  <c r="D17" i="4"/>
  <c r="M34" i="4"/>
  <c r="N34" i="4" s="1"/>
  <c r="N28" i="4"/>
  <c r="H34" i="4"/>
  <c r="J28" i="4"/>
  <c r="I28" i="4"/>
  <c r="F22" i="4"/>
  <c r="F19" i="4"/>
  <c r="N17" i="4"/>
  <c r="R32" i="4"/>
  <c r="Q32" i="4"/>
  <c r="F16" i="4"/>
  <c r="Y19" i="4"/>
  <c r="F46" i="4"/>
  <c r="F31" i="4"/>
  <c r="F13" i="4"/>
  <c r="F30" i="4"/>
  <c r="D46" i="4"/>
  <c r="D39" i="4"/>
  <c r="G20" i="4"/>
  <c r="C24" i="4"/>
  <c r="D20" i="4"/>
  <c r="AC17" i="4"/>
  <c r="N20" i="4"/>
  <c r="M24" i="4"/>
  <c r="F17" i="4"/>
  <c r="N15" i="4"/>
  <c r="D13" i="4"/>
  <c r="N42" i="4"/>
  <c r="N12" i="4"/>
  <c r="F32" i="4"/>
  <c r="E34" i="4"/>
  <c r="F34" i="4" s="1"/>
  <c r="F28" i="4"/>
  <c r="H24" i="4"/>
  <c r="J20" i="4"/>
  <c r="G32" i="4"/>
  <c r="D32" i="4"/>
  <c r="F18" i="4"/>
  <c r="N10" i="4"/>
  <c r="P34" i="4"/>
  <c r="R28" i="4"/>
  <c r="Q28" i="4"/>
  <c r="D19" i="4"/>
  <c r="F15" i="4"/>
  <c r="O20" i="4"/>
  <c r="K24" i="4"/>
  <c r="L20" i="4"/>
  <c r="N14" i="4"/>
  <c r="X21" i="4"/>
  <c r="Z21" i="6" s="1"/>
  <c r="F42" i="4"/>
  <c r="L15" i="4"/>
  <c r="F12" i="4"/>
  <c r="N11" i="4"/>
  <c r="Q17" i="4"/>
  <c r="L42" i="4"/>
  <c r="L38" i="4"/>
  <c r="D12" i="4"/>
  <c r="L28" i="4"/>
  <c r="O28" i="4"/>
  <c r="K34" i="4"/>
  <c r="F20" i="4"/>
  <c r="E24" i="4"/>
  <c r="J32" i="4"/>
  <c r="I32" i="4"/>
  <c r="F14" i="4"/>
  <c r="F11" i="4"/>
  <c r="O32" i="3"/>
  <c r="L32" i="3"/>
  <c r="G20" i="3"/>
  <c r="C24" i="3"/>
  <c r="D20" i="3"/>
  <c r="D15" i="3"/>
  <c r="D46" i="3"/>
  <c r="H24" i="3"/>
  <c r="H24" i="6" s="1"/>
  <c r="J20" i="3"/>
  <c r="I16" i="3"/>
  <c r="M34" i="3"/>
  <c r="F17" i="3"/>
  <c r="L11" i="3"/>
  <c r="L46" i="3"/>
  <c r="I46" i="3"/>
  <c r="I39" i="3"/>
  <c r="I31" i="3"/>
  <c r="L28" i="3"/>
  <c r="O28" i="3"/>
  <c r="K34" i="3"/>
  <c r="I19" i="3"/>
  <c r="I15" i="3"/>
  <c r="D10" i="3"/>
  <c r="I14" i="3"/>
  <c r="F38" i="3"/>
  <c r="P34" i="3"/>
  <c r="R28" i="3"/>
  <c r="Q28" i="3"/>
  <c r="F15" i="3"/>
  <c r="Q20" i="3"/>
  <c r="Q14" i="3"/>
  <c r="P24" i="3"/>
  <c r="Q30" i="3"/>
  <c r="I18" i="3"/>
  <c r="F18" i="3"/>
  <c r="D22" i="3"/>
  <c r="L14" i="3"/>
  <c r="I11" i="3"/>
  <c r="I17" i="3"/>
  <c r="D42" i="3"/>
  <c r="D32" i="3"/>
  <c r="G32" i="3"/>
  <c r="E34" i="3"/>
  <c r="F34" i="3" s="1"/>
  <c r="F28" i="3"/>
  <c r="D11" i="3"/>
  <c r="D26" i="3"/>
  <c r="F14" i="3"/>
  <c r="R32" i="3"/>
  <c r="Q32" i="3"/>
  <c r="L42" i="3"/>
  <c r="L38" i="3"/>
  <c r="F46" i="3"/>
  <c r="F31" i="3"/>
  <c r="I26" i="3"/>
  <c r="D31" i="3"/>
  <c r="L18" i="3"/>
  <c r="L13" i="3"/>
  <c r="D39" i="3"/>
  <c r="L27" i="3"/>
  <c r="D28" i="3"/>
  <c r="G28" i="3"/>
  <c r="C34" i="3"/>
  <c r="L17" i="3"/>
  <c r="Q12" i="3"/>
  <c r="D38" i="3"/>
  <c r="D14" i="3"/>
  <c r="F30" i="3"/>
  <c r="Q27" i="3"/>
  <c r="H34" i="3"/>
  <c r="J28" i="3"/>
  <c r="I28" i="3"/>
  <c r="D30" i="3"/>
  <c r="D17" i="3"/>
  <c r="I30" i="3"/>
  <c r="K24" i="3"/>
  <c r="L20" i="3"/>
  <c r="F32" i="3"/>
  <c r="L31" i="3"/>
  <c r="F42" i="3"/>
  <c r="F12" i="3"/>
  <c r="F16" i="3"/>
  <c r="E24" i="3"/>
  <c r="F20" i="3"/>
  <c r="D27" i="3"/>
  <c r="F22" i="3"/>
  <c r="I12" i="3"/>
  <c r="I22" i="3"/>
  <c r="J32" i="3"/>
  <c r="I32" i="3"/>
  <c r="L10" i="3"/>
  <c r="L19" i="3"/>
  <c r="L15" i="3"/>
  <c r="D13" i="3"/>
  <c r="D19" i="3"/>
  <c r="I27" i="3"/>
  <c r="I10" i="3"/>
  <c r="D12" i="3"/>
  <c r="D18" i="3"/>
  <c r="F13" i="3"/>
  <c r="F39" i="3"/>
  <c r="F19" i="3"/>
  <c r="N34" i="3" l="1"/>
  <c r="R26" i="11"/>
  <c r="P28" i="11"/>
  <c r="Q26" i="11"/>
  <c r="F22" i="6"/>
  <c r="F27" i="6"/>
  <c r="F17" i="6"/>
  <c r="F16" i="6"/>
  <c r="F15" i="6"/>
  <c r="F14" i="6"/>
  <c r="F12" i="6"/>
  <c r="F39" i="6"/>
  <c r="F18" i="6"/>
  <c r="F30" i="6"/>
  <c r="F11" i="6"/>
  <c r="F20" i="6"/>
  <c r="E24" i="6"/>
  <c r="F38" i="6"/>
  <c r="F42" i="6"/>
  <c r="F10" i="6"/>
  <c r="F13" i="6"/>
  <c r="F32" i="6"/>
  <c r="F46" i="6"/>
  <c r="F26" i="6"/>
  <c r="C20" i="11"/>
  <c r="G10" i="11"/>
  <c r="D10" i="11"/>
  <c r="AC9" i="11"/>
  <c r="E32" i="11"/>
  <c r="O17" i="11"/>
  <c r="AA21" i="6"/>
  <c r="J11" i="11"/>
  <c r="C32" i="11"/>
  <c r="G30" i="11"/>
  <c r="D30" i="11"/>
  <c r="G31" i="11"/>
  <c r="D31" i="11"/>
  <c r="J13" i="11"/>
  <c r="G18" i="11"/>
  <c r="R32" i="5"/>
  <c r="Z17" i="10"/>
  <c r="N45" i="10"/>
  <c r="N26" i="10"/>
  <c r="N22" i="10"/>
  <c r="N32" i="10"/>
  <c r="R30" i="11"/>
  <c r="P32" i="11"/>
  <c r="O12" i="11"/>
  <c r="G19" i="11"/>
  <c r="D19" i="11"/>
  <c r="AE17" i="6"/>
  <c r="AA14" i="11"/>
  <c r="AE14" i="11" s="1"/>
  <c r="AD19" i="6"/>
  <c r="AE19" i="6" s="1"/>
  <c r="R22" i="11"/>
  <c r="AC19" i="11"/>
  <c r="P34" i="6"/>
  <c r="J27" i="11"/>
  <c r="I27" i="11"/>
  <c r="D32" i="6"/>
  <c r="D27" i="6"/>
  <c r="D42" i="6"/>
  <c r="G20" i="6"/>
  <c r="D30" i="6"/>
  <c r="D20" i="6"/>
  <c r="D13" i="6"/>
  <c r="D22" i="6"/>
  <c r="D14" i="6"/>
  <c r="D26" i="6"/>
  <c r="D38" i="6"/>
  <c r="D46" i="6"/>
  <c r="D12" i="6"/>
  <c r="C24" i="6"/>
  <c r="D15" i="6"/>
  <c r="D10" i="6"/>
  <c r="D39" i="6"/>
  <c r="O15" i="11"/>
  <c r="T6" i="8"/>
  <c r="B6" i="9"/>
  <c r="AC22" i="11"/>
  <c r="AE19" i="11"/>
  <c r="K19" i="11"/>
  <c r="M34" i="5"/>
  <c r="N34" i="5" s="1"/>
  <c r="J32" i="10"/>
  <c r="H34" i="10"/>
  <c r="R46" i="11"/>
  <c r="R11" i="11"/>
  <c r="AD12" i="11"/>
  <c r="AC12" i="11"/>
  <c r="Z19" i="3"/>
  <c r="F28" i="6"/>
  <c r="N13" i="10"/>
  <c r="N11" i="10"/>
  <c r="N42" i="10"/>
  <c r="N39" i="10"/>
  <c r="J15" i="11"/>
  <c r="O18" i="11"/>
  <c r="AD13" i="11"/>
  <c r="AC13" i="11"/>
  <c r="G46" i="11"/>
  <c r="D46" i="11"/>
  <c r="G27" i="11"/>
  <c r="D27" i="11"/>
  <c r="M28" i="11"/>
  <c r="W30" i="4"/>
  <c r="Y21" i="6"/>
  <c r="W21" i="3"/>
  <c r="W30" i="3" s="1"/>
  <c r="O16" i="11"/>
  <c r="AC17" i="3"/>
  <c r="Z17" i="3"/>
  <c r="O33" i="6"/>
  <c r="L33" i="6"/>
  <c r="AA17" i="3"/>
  <c r="X19" i="3"/>
  <c r="X15" i="11"/>
  <c r="AG20" i="11"/>
  <c r="R31" i="11"/>
  <c r="Q31" i="11"/>
  <c r="M16" i="6"/>
  <c r="M20" i="3"/>
  <c r="N16" i="3"/>
  <c r="O16" i="3"/>
  <c r="Q39" i="5"/>
  <c r="Q14" i="5"/>
  <c r="Q33" i="6"/>
  <c r="J14" i="11"/>
  <c r="I14" i="11"/>
  <c r="J24" i="6"/>
  <c r="I24" i="6"/>
  <c r="H36" i="6"/>
  <c r="N16" i="10"/>
  <c r="N36" i="10"/>
  <c r="N43" i="10"/>
  <c r="N14" i="10"/>
  <c r="C28" i="11"/>
  <c r="G26" i="11"/>
  <c r="D26" i="11"/>
  <c r="E28" i="11"/>
  <c r="AE9" i="11"/>
  <c r="AA15" i="11"/>
  <c r="AK14" i="11"/>
  <c r="AB14" i="11"/>
  <c r="AC14" i="11" s="1"/>
  <c r="G13" i="11"/>
  <c r="D13" i="11"/>
  <c r="D17" i="11"/>
  <c r="G17" i="11"/>
  <c r="O13" i="11"/>
  <c r="X14" i="11"/>
  <c r="K20" i="11"/>
  <c r="O10" i="11"/>
  <c r="G11" i="11"/>
  <c r="D11" i="11"/>
  <c r="AC11" i="11"/>
  <c r="G22" i="11"/>
  <c r="D22" i="11"/>
  <c r="J38" i="11"/>
  <c r="O22" i="11"/>
  <c r="G39" i="11"/>
  <c r="D39" i="11"/>
  <c r="Y19" i="6"/>
  <c r="AG15" i="11" s="1"/>
  <c r="Q38" i="10"/>
  <c r="Q28" i="10"/>
  <c r="R16" i="11"/>
  <c r="Q16" i="11"/>
  <c r="R42" i="11"/>
  <c r="Q42" i="11"/>
  <c r="Y30" i="3"/>
  <c r="AA30" i="6" s="1"/>
  <c r="AA21" i="9"/>
  <c r="AA20" i="11" s="1"/>
  <c r="AE20" i="11" s="1"/>
  <c r="X30" i="9"/>
  <c r="N19" i="10"/>
  <c r="N46" i="10"/>
  <c r="N12" i="10"/>
  <c r="N17" i="10"/>
  <c r="J39" i="11"/>
  <c r="G14" i="11"/>
  <c r="D14" i="11"/>
  <c r="R39" i="11"/>
  <c r="J42" i="11"/>
  <c r="U30" i="3"/>
  <c r="AA30" i="3" s="1"/>
  <c r="W21" i="6"/>
  <c r="W30" i="6" s="1"/>
  <c r="R27" i="11"/>
  <c r="Q27" i="11"/>
  <c r="L39" i="6"/>
  <c r="L30" i="6"/>
  <c r="L17" i="6"/>
  <c r="L20" i="6"/>
  <c r="L18" i="6"/>
  <c r="L42" i="6"/>
  <c r="L14" i="6"/>
  <c r="L11" i="6"/>
  <c r="K24" i="6"/>
  <c r="L10" i="6"/>
  <c r="L13" i="6"/>
  <c r="L22" i="6"/>
  <c r="L32" i="6"/>
  <c r="L38" i="6"/>
  <c r="L46" i="6"/>
  <c r="L27" i="6"/>
  <c r="D11" i="6"/>
  <c r="AC21" i="9"/>
  <c r="AI20" i="11" s="1"/>
  <c r="Y30" i="9"/>
  <c r="Z21" i="9"/>
  <c r="Z20" i="11" s="1"/>
  <c r="AD20" i="11" s="1"/>
  <c r="J18" i="11"/>
  <c r="I18" i="11"/>
  <c r="AC17" i="6"/>
  <c r="G38" i="11"/>
  <c r="D38" i="11"/>
  <c r="J46" i="11"/>
  <c r="I46" i="11"/>
  <c r="P7" i="9"/>
  <c r="W7" i="9"/>
  <c r="AB7" i="9" s="1"/>
  <c r="R38" i="11"/>
  <c r="Q38" i="11"/>
  <c r="N36" i="9"/>
  <c r="R36" i="9"/>
  <c r="N28" i="10"/>
  <c r="N15" i="10"/>
  <c r="N20" i="10"/>
  <c r="Y15" i="11"/>
  <c r="Y18" i="11" s="1"/>
  <c r="Y23" i="11" s="1"/>
  <c r="J26" i="11"/>
  <c r="I26" i="11"/>
  <c r="H28" i="11"/>
  <c r="AD9" i="11"/>
  <c r="O14" i="11"/>
  <c r="Y14" i="11"/>
  <c r="G42" i="11"/>
  <c r="D42" i="11"/>
  <c r="D15" i="11"/>
  <c r="G15" i="11"/>
  <c r="O27" i="11"/>
  <c r="T23" i="6"/>
  <c r="F33" i="6"/>
  <c r="AD21" i="11"/>
  <c r="AC21" i="11"/>
  <c r="R28" i="6"/>
  <c r="R18" i="11"/>
  <c r="Q18" i="11"/>
  <c r="AD10" i="11"/>
  <c r="J33" i="6"/>
  <c r="I33" i="6"/>
  <c r="R13" i="11"/>
  <c r="Q13" i="11"/>
  <c r="U7" i="8"/>
  <c r="X7" i="8" s="1"/>
  <c r="C7" i="9"/>
  <c r="K7" i="8"/>
  <c r="Z14" i="11"/>
  <c r="J31" i="11"/>
  <c r="I31" i="11"/>
  <c r="Q27" i="5"/>
  <c r="R17" i="11"/>
  <c r="Q17" i="11"/>
  <c r="AK15" i="11"/>
  <c r="AB19" i="6"/>
  <c r="H20" i="11"/>
  <c r="I10" i="11"/>
  <c r="J10" i="11"/>
  <c r="Z8" i="11"/>
  <c r="AC8" i="11" s="1"/>
  <c r="AI8" i="11"/>
  <c r="AD21" i="6"/>
  <c r="AB21" i="3"/>
  <c r="AB30" i="3" s="1"/>
  <c r="F36" i="9"/>
  <c r="J36" i="9"/>
  <c r="N34" i="10"/>
  <c r="N18" i="10"/>
  <c r="AH15" i="11"/>
  <c r="X21" i="6"/>
  <c r="AC19" i="6"/>
  <c r="J22" i="11"/>
  <c r="I20" i="11"/>
  <c r="I22" i="11"/>
  <c r="E20" i="11"/>
  <c r="F26" i="11" s="1"/>
  <c r="J20" i="6"/>
  <c r="P20" i="11"/>
  <c r="Q46" i="11" s="1"/>
  <c r="Q10" i="11"/>
  <c r="R10" i="11"/>
  <c r="W15" i="11"/>
  <c r="W18" i="11" s="1"/>
  <c r="W23" i="11" s="1"/>
  <c r="AD23" i="11" s="1"/>
  <c r="J12" i="11"/>
  <c r="I12" i="11"/>
  <c r="G33" i="6"/>
  <c r="D33" i="6"/>
  <c r="J17" i="11"/>
  <c r="I17" i="11"/>
  <c r="J30" i="11"/>
  <c r="I30" i="11"/>
  <c r="H32" i="11"/>
  <c r="AB17" i="6"/>
  <c r="AI14" i="11" s="1"/>
  <c r="Z10" i="10"/>
  <c r="AA30" i="10"/>
  <c r="Z30" i="10"/>
  <c r="X30" i="10"/>
  <c r="AA21" i="10"/>
  <c r="G24" i="10"/>
  <c r="L41" i="10"/>
  <c r="L34" i="10"/>
  <c r="L30" i="10"/>
  <c r="O20" i="10"/>
  <c r="L19" i="10"/>
  <c r="L10" i="10"/>
  <c r="L45" i="10"/>
  <c r="L17" i="10"/>
  <c r="L14" i="10"/>
  <c r="L27" i="10"/>
  <c r="L12" i="10"/>
  <c r="L42" i="10"/>
  <c r="L39" i="10"/>
  <c r="L38" i="10"/>
  <c r="L32" i="10"/>
  <c r="L31" i="10"/>
  <c r="L20" i="10"/>
  <c r="L18" i="10"/>
  <c r="L15" i="10"/>
  <c r="L46" i="10"/>
  <c r="L43" i="10"/>
  <c r="L24" i="10"/>
  <c r="L22" i="10"/>
  <c r="L11" i="10"/>
  <c r="L36" i="10"/>
  <c r="L26" i="10"/>
  <c r="L28" i="10"/>
  <c r="K26" i="10"/>
  <c r="K26" i="11" s="1"/>
  <c r="L16" i="10"/>
  <c r="L13" i="10"/>
  <c r="Z19" i="10"/>
  <c r="M45" i="10"/>
  <c r="M41" i="10"/>
  <c r="M43" i="10" s="1"/>
  <c r="E45" i="10"/>
  <c r="I45" i="10" s="1"/>
  <c r="I36" i="10"/>
  <c r="E41" i="10"/>
  <c r="G32" i="10"/>
  <c r="C34" i="10"/>
  <c r="G34" i="10" s="1"/>
  <c r="D41" i="10"/>
  <c r="D34" i="10"/>
  <c r="D27" i="10"/>
  <c r="D12" i="10"/>
  <c r="D10" i="10"/>
  <c r="D45" i="10"/>
  <c r="D42" i="10"/>
  <c r="D22" i="10"/>
  <c r="D15" i="10"/>
  <c r="D46" i="10"/>
  <c r="D38" i="10"/>
  <c r="D20" i="10"/>
  <c r="D11" i="10"/>
  <c r="D39" i="10"/>
  <c r="D32" i="10"/>
  <c r="D31" i="10"/>
  <c r="D16" i="10"/>
  <c r="D43" i="10"/>
  <c r="D26" i="10"/>
  <c r="D24" i="10"/>
  <c r="D36" i="10"/>
  <c r="D17" i="10"/>
  <c r="D13" i="10"/>
  <c r="D30" i="10"/>
  <c r="D28" i="10"/>
  <c r="G20" i="10"/>
  <c r="D19" i="10"/>
  <c r="D18" i="10"/>
  <c r="D14" i="10"/>
  <c r="R34" i="10"/>
  <c r="Q34" i="10"/>
  <c r="K41" i="10"/>
  <c r="O36" i="10"/>
  <c r="Y30" i="10"/>
  <c r="AC21" i="10"/>
  <c r="Z21" i="10"/>
  <c r="K32" i="10"/>
  <c r="O28" i="10"/>
  <c r="P36" i="10"/>
  <c r="N36" i="8"/>
  <c r="R36" i="8"/>
  <c r="M41" i="8"/>
  <c r="M41" i="9" s="1"/>
  <c r="F36" i="8"/>
  <c r="J36" i="8"/>
  <c r="E41" i="8"/>
  <c r="E41" i="9" s="1"/>
  <c r="O36" i="8"/>
  <c r="K41" i="8"/>
  <c r="C41" i="8"/>
  <c r="G36" i="8"/>
  <c r="AC21" i="8"/>
  <c r="Y30" i="8"/>
  <c r="Z21" i="8"/>
  <c r="AA21" i="8"/>
  <c r="X30" i="8"/>
  <c r="N24" i="7"/>
  <c r="M36" i="7"/>
  <c r="D34" i="7"/>
  <c r="G34" i="7"/>
  <c r="Y30" i="7"/>
  <c r="AB21" i="7"/>
  <c r="L34" i="7"/>
  <c r="O34" i="7"/>
  <c r="Z30" i="7"/>
  <c r="AD21" i="7"/>
  <c r="AA21" i="7"/>
  <c r="F24" i="7"/>
  <c r="E36" i="7"/>
  <c r="R34" i="7"/>
  <c r="Q34" i="7"/>
  <c r="C36" i="7"/>
  <c r="G24" i="7"/>
  <c r="D24" i="7"/>
  <c r="J24" i="7"/>
  <c r="I24" i="7"/>
  <c r="H36" i="7"/>
  <c r="R24" i="7"/>
  <c r="Q24" i="7"/>
  <c r="P36" i="7"/>
  <c r="J34" i="7"/>
  <c r="I34" i="7"/>
  <c r="K36" i="7"/>
  <c r="O24" i="7"/>
  <c r="L24" i="7"/>
  <c r="I36" i="6"/>
  <c r="H41" i="6"/>
  <c r="P36" i="6"/>
  <c r="Q24" i="6"/>
  <c r="G34" i="6"/>
  <c r="D34" i="6"/>
  <c r="O34" i="6"/>
  <c r="L34" i="6"/>
  <c r="F34" i="6"/>
  <c r="T24" i="6"/>
  <c r="J34" i="5"/>
  <c r="I34" i="5"/>
  <c r="C36" i="5"/>
  <c r="G24" i="5"/>
  <c r="D24" i="5"/>
  <c r="E41" i="5"/>
  <c r="K36" i="5"/>
  <c r="O24" i="5"/>
  <c r="L24" i="5"/>
  <c r="J24" i="5"/>
  <c r="I24" i="5"/>
  <c r="H36" i="5"/>
  <c r="L34" i="5"/>
  <c r="O34" i="5"/>
  <c r="F36" i="5"/>
  <c r="F24" i="5"/>
  <c r="R34" i="5"/>
  <c r="Q34" i="5"/>
  <c r="R24" i="5"/>
  <c r="Q24" i="5"/>
  <c r="P36" i="5"/>
  <c r="D34" i="5"/>
  <c r="G34" i="5"/>
  <c r="N24" i="5"/>
  <c r="E36" i="4"/>
  <c r="F24" i="4"/>
  <c r="G34" i="4"/>
  <c r="D34" i="4"/>
  <c r="L24" i="4"/>
  <c r="O24" i="4"/>
  <c r="K36" i="4"/>
  <c r="O34" i="4"/>
  <c r="L34" i="4"/>
  <c r="D24" i="4"/>
  <c r="G24" i="4"/>
  <c r="C36" i="4"/>
  <c r="Z19" i="4"/>
  <c r="Y21" i="4"/>
  <c r="J34" i="4"/>
  <c r="I34" i="4"/>
  <c r="AA19" i="4"/>
  <c r="H36" i="4"/>
  <c r="J24" i="4"/>
  <c r="I24" i="4"/>
  <c r="X30" i="4"/>
  <c r="Z30" i="6" s="1"/>
  <c r="AA21" i="4"/>
  <c r="M36" i="4"/>
  <c r="N24" i="4"/>
  <c r="R34" i="4"/>
  <c r="Q34" i="4"/>
  <c r="AB30" i="4"/>
  <c r="P36" i="4"/>
  <c r="R24" i="4"/>
  <c r="Q24" i="4"/>
  <c r="L24" i="3"/>
  <c r="K36" i="3"/>
  <c r="J34" i="3"/>
  <c r="I34" i="3"/>
  <c r="D34" i="3"/>
  <c r="G34" i="3"/>
  <c r="H36" i="3"/>
  <c r="J24" i="3"/>
  <c r="I24" i="3"/>
  <c r="F24" i="3"/>
  <c r="E36" i="3"/>
  <c r="O34" i="3"/>
  <c r="L34" i="3"/>
  <c r="P36" i="3"/>
  <c r="Q24" i="3"/>
  <c r="R34" i="3"/>
  <c r="Q34" i="3"/>
  <c r="D24" i="3"/>
  <c r="G24" i="3"/>
  <c r="C36" i="3"/>
  <c r="AK23" i="11" l="1"/>
  <c r="AB24" i="11"/>
  <c r="L11" i="11"/>
  <c r="L20" i="11"/>
  <c r="K24" i="11"/>
  <c r="L31" i="11"/>
  <c r="L16" i="11"/>
  <c r="AB15" i="11"/>
  <c r="AC30" i="3"/>
  <c r="N41" i="9"/>
  <c r="R41" i="9"/>
  <c r="J20" i="11"/>
  <c r="H24" i="11"/>
  <c r="I16" i="11"/>
  <c r="J28" i="11"/>
  <c r="I28" i="11"/>
  <c r="H34" i="11"/>
  <c r="AC30" i="9"/>
  <c r="Z30" i="9"/>
  <c r="I42" i="11"/>
  <c r="G28" i="11"/>
  <c r="D28" i="11"/>
  <c r="C34" i="11"/>
  <c r="N31" i="3"/>
  <c r="N38" i="3"/>
  <c r="N22" i="3"/>
  <c r="N10" i="3"/>
  <c r="N30" i="3"/>
  <c r="N17" i="3"/>
  <c r="N27" i="3"/>
  <c r="N18" i="3"/>
  <c r="N26" i="3"/>
  <c r="N42" i="3"/>
  <c r="O20" i="3"/>
  <c r="N19" i="3"/>
  <c r="N39" i="3"/>
  <c r="N15" i="3"/>
  <c r="M24" i="3"/>
  <c r="N20" i="3"/>
  <c r="N12" i="3"/>
  <c r="R20" i="3"/>
  <c r="N14" i="3"/>
  <c r="N13" i="3"/>
  <c r="N28" i="3"/>
  <c r="N46" i="3"/>
  <c r="N11" i="3"/>
  <c r="N32" i="3"/>
  <c r="AA19" i="3"/>
  <c r="X21" i="3"/>
  <c r="I13" i="11"/>
  <c r="I11" i="11"/>
  <c r="R28" i="11"/>
  <c r="Q28" i="11"/>
  <c r="P34" i="11"/>
  <c r="K28" i="11"/>
  <c r="O26" i="11"/>
  <c r="L26" i="11"/>
  <c r="AB30" i="6"/>
  <c r="Z24" i="11"/>
  <c r="AI15" i="11"/>
  <c r="L13" i="11"/>
  <c r="AE15" i="11"/>
  <c r="AA18" i="11"/>
  <c r="M16" i="11"/>
  <c r="M20" i="6"/>
  <c r="Y30" i="6"/>
  <c r="AG18" i="11"/>
  <c r="X18" i="11"/>
  <c r="X23" i="11" s="1"/>
  <c r="AE23" i="11" s="1"/>
  <c r="AF3" i="9"/>
  <c r="T6" i="9"/>
  <c r="D24" i="6"/>
  <c r="C36" i="6"/>
  <c r="G24" i="6"/>
  <c r="R34" i="6"/>
  <c r="Q34" i="6"/>
  <c r="AB21" i="6"/>
  <c r="AI18" i="11" s="1"/>
  <c r="AK18" i="11"/>
  <c r="AD14" i="11"/>
  <c r="Q20" i="11"/>
  <c r="P24" i="11"/>
  <c r="Q14" i="11"/>
  <c r="Q12" i="11"/>
  <c r="Q15" i="11"/>
  <c r="L24" i="6"/>
  <c r="K36" i="6"/>
  <c r="Q39" i="11"/>
  <c r="L12" i="11"/>
  <c r="AC21" i="3"/>
  <c r="C24" i="11"/>
  <c r="D12" i="11"/>
  <c r="G20" i="11"/>
  <c r="D20" i="11"/>
  <c r="F24" i="6"/>
  <c r="T12" i="6"/>
  <c r="E36" i="6"/>
  <c r="I15" i="11"/>
  <c r="X30" i="6"/>
  <c r="AH18" i="11"/>
  <c r="AE21" i="6"/>
  <c r="AD30" i="6"/>
  <c r="U7" i="9"/>
  <c r="X7" i="9" s="1"/>
  <c r="K7" i="9"/>
  <c r="AC20" i="11"/>
  <c r="L14" i="11"/>
  <c r="AC23" i="11"/>
  <c r="L18" i="11"/>
  <c r="J34" i="10"/>
  <c r="H36" i="10"/>
  <c r="Q22" i="11"/>
  <c r="L17" i="11"/>
  <c r="F16" i="11"/>
  <c r="F13" i="11"/>
  <c r="F18" i="11"/>
  <c r="F15" i="11"/>
  <c r="F22" i="11"/>
  <c r="F20" i="11"/>
  <c r="F27" i="11"/>
  <c r="F42" i="11"/>
  <c r="F12" i="11"/>
  <c r="F46" i="11"/>
  <c r="F19" i="11"/>
  <c r="F14" i="11"/>
  <c r="F38" i="11"/>
  <c r="F39" i="11"/>
  <c r="E24" i="11"/>
  <c r="L27" i="11"/>
  <c r="F17" i="11"/>
  <c r="L22" i="11"/>
  <c r="F28" i="11"/>
  <c r="E34" i="11"/>
  <c r="F34" i="11" s="1"/>
  <c r="M34" i="11"/>
  <c r="L15" i="11"/>
  <c r="R32" i="11"/>
  <c r="Q32" i="11"/>
  <c r="F31" i="11"/>
  <c r="Q19" i="11"/>
  <c r="Q30" i="11"/>
  <c r="M36" i="5"/>
  <c r="F32" i="11"/>
  <c r="F41" i="9"/>
  <c r="J41" i="9"/>
  <c r="J32" i="11"/>
  <c r="I32" i="11"/>
  <c r="F10" i="11"/>
  <c r="Z18" i="11"/>
  <c r="Z23" i="11" s="1"/>
  <c r="AD8" i="11"/>
  <c r="F30" i="11"/>
  <c r="L10" i="11"/>
  <c r="F11" i="11"/>
  <c r="Z15" i="11"/>
  <c r="AD15" i="11" s="1"/>
  <c r="W24" i="11"/>
  <c r="AC30" i="6"/>
  <c r="I39" i="11"/>
  <c r="AC21" i="6"/>
  <c r="I38" i="11"/>
  <c r="Q11" i="11"/>
  <c r="L19" i="11"/>
  <c r="D18" i="11"/>
  <c r="G32" i="11"/>
  <c r="D32" i="11"/>
  <c r="Q36" i="10"/>
  <c r="P41" i="10"/>
  <c r="P45" i="10"/>
  <c r="R36" i="10"/>
  <c r="C36" i="10"/>
  <c r="O32" i="10"/>
  <c r="K38" i="10"/>
  <c r="K38" i="11" s="1"/>
  <c r="K45" i="10"/>
  <c r="O45" i="10" s="1"/>
  <c r="O41" i="10"/>
  <c r="E43" i="10"/>
  <c r="I41" i="10"/>
  <c r="K30" i="10"/>
  <c r="K30" i="11" s="1"/>
  <c r="O26" i="10"/>
  <c r="K43" i="8"/>
  <c r="O41" i="8"/>
  <c r="J41" i="8"/>
  <c r="E43" i="8"/>
  <c r="E43" i="9" s="1"/>
  <c r="F41" i="8"/>
  <c r="AC30" i="8"/>
  <c r="Z30" i="8"/>
  <c r="R41" i="8"/>
  <c r="M43" i="8"/>
  <c r="M43" i="9" s="1"/>
  <c r="N41" i="8"/>
  <c r="G41" i="8"/>
  <c r="C43" i="8"/>
  <c r="L36" i="7"/>
  <c r="K41" i="7"/>
  <c r="O36" i="7"/>
  <c r="R36" i="7"/>
  <c r="Q36" i="7"/>
  <c r="P41" i="7"/>
  <c r="D36" i="7"/>
  <c r="C41" i="7"/>
  <c r="G36" i="7"/>
  <c r="J36" i="7"/>
  <c r="I36" i="7"/>
  <c r="H41" i="7"/>
  <c r="E41" i="7"/>
  <c r="F36" i="7"/>
  <c r="M41" i="7"/>
  <c r="N36" i="7"/>
  <c r="AD30" i="7"/>
  <c r="AA30" i="7"/>
  <c r="Q36" i="6"/>
  <c r="P41" i="6"/>
  <c r="P41" i="11" s="1"/>
  <c r="I41" i="6"/>
  <c r="H43" i="6"/>
  <c r="F45" i="5"/>
  <c r="R36" i="5"/>
  <c r="Q36" i="5"/>
  <c r="P41" i="5"/>
  <c r="J36" i="5"/>
  <c r="I36" i="5"/>
  <c r="H41" i="5"/>
  <c r="E43" i="5"/>
  <c r="F43" i="5" s="1"/>
  <c r="F41" i="5"/>
  <c r="C41" i="5"/>
  <c r="G36" i="5"/>
  <c r="D36" i="5"/>
  <c r="K41" i="5"/>
  <c r="O36" i="5"/>
  <c r="L36" i="5"/>
  <c r="AC30" i="4"/>
  <c r="J36" i="4"/>
  <c r="I36" i="4"/>
  <c r="H41" i="4"/>
  <c r="F36" i="4"/>
  <c r="E41" i="4"/>
  <c r="N36" i="4"/>
  <c r="M41" i="4"/>
  <c r="O36" i="4"/>
  <c r="L36" i="4"/>
  <c r="K41" i="4"/>
  <c r="Y30" i="4"/>
  <c r="Z30" i="4" s="1"/>
  <c r="Z21" i="4"/>
  <c r="R36" i="4"/>
  <c r="Q36" i="4"/>
  <c r="P41" i="4"/>
  <c r="AC21" i="4"/>
  <c r="G36" i="4"/>
  <c r="D36" i="4"/>
  <c r="C41" i="4"/>
  <c r="G36" i="3"/>
  <c r="C41" i="3"/>
  <c r="D36" i="3"/>
  <c r="J36" i="3"/>
  <c r="I36" i="3"/>
  <c r="H41" i="3"/>
  <c r="F36" i="3"/>
  <c r="E41" i="3"/>
  <c r="Q36" i="3"/>
  <c r="P41" i="3"/>
  <c r="K41" i="3"/>
  <c r="L36" i="3"/>
  <c r="H45" i="6" l="1"/>
  <c r="K45" i="6"/>
  <c r="C45" i="6"/>
  <c r="E45" i="6"/>
  <c r="P45" i="6"/>
  <c r="N45" i="5"/>
  <c r="K32" i="11"/>
  <c r="O30" i="11"/>
  <c r="L30" i="11"/>
  <c r="H41" i="10"/>
  <c r="H45" i="10"/>
  <c r="J45" i="10" s="1"/>
  <c r="J36" i="10"/>
  <c r="AE30" i="6"/>
  <c r="AA24" i="11"/>
  <c r="AA23" i="11"/>
  <c r="AE18" i="11"/>
  <c r="L28" i="11"/>
  <c r="O28" i="11"/>
  <c r="G34" i="11"/>
  <c r="D34" i="11"/>
  <c r="Q41" i="11"/>
  <c r="P43" i="11"/>
  <c r="N36" i="5"/>
  <c r="M41" i="5"/>
  <c r="Q34" i="11"/>
  <c r="R34" i="11"/>
  <c r="O24" i="3"/>
  <c r="N24" i="3"/>
  <c r="R24" i="3"/>
  <c r="M36" i="3"/>
  <c r="I43" i="10"/>
  <c r="I24" i="11"/>
  <c r="H36" i="11"/>
  <c r="J24" i="11"/>
  <c r="F43" i="9"/>
  <c r="J43" i="9"/>
  <c r="AH23" i="11"/>
  <c r="Y24" i="11"/>
  <c r="C36" i="11"/>
  <c r="G24" i="11"/>
  <c r="D24" i="11"/>
  <c r="L24" i="11"/>
  <c r="AG23" i="11"/>
  <c r="X24" i="11"/>
  <c r="O38" i="11"/>
  <c r="L38" i="11"/>
  <c r="T25" i="6"/>
  <c r="F36" i="6"/>
  <c r="E41" i="6"/>
  <c r="J36" i="6"/>
  <c r="N14" i="6"/>
  <c r="M24" i="6"/>
  <c r="N26" i="6"/>
  <c r="N32" i="6"/>
  <c r="N27" i="6"/>
  <c r="N39" i="6"/>
  <c r="N17" i="6"/>
  <c r="N12" i="6"/>
  <c r="N42" i="6"/>
  <c r="N38" i="6"/>
  <c r="N15" i="6"/>
  <c r="N22" i="6"/>
  <c r="N46" i="6"/>
  <c r="N11" i="6"/>
  <c r="N30" i="6"/>
  <c r="N20" i="6"/>
  <c r="N10" i="6"/>
  <c r="N13" i="6"/>
  <c r="N28" i="6"/>
  <c r="N18" i="6"/>
  <c r="R20" i="6"/>
  <c r="O20" i="6"/>
  <c r="N34" i="6"/>
  <c r="N33" i="6"/>
  <c r="AC24" i="11"/>
  <c r="AI23" i="11"/>
  <c r="N43" i="9"/>
  <c r="R43" i="9"/>
  <c r="Q24" i="11"/>
  <c r="P36" i="11"/>
  <c r="G36" i="6"/>
  <c r="D36" i="6"/>
  <c r="C41" i="6"/>
  <c r="M20" i="11"/>
  <c r="X30" i="3"/>
  <c r="Z30" i="3" s="1"/>
  <c r="AA21" i="3"/>
  <c r="Z21" i="3"/>
  <c r="J34" i="11"/>
  <c r="I34" i="11"/>
  <c r="E36" i="11"/>
  <c r="F24" i="11"/>
  <c r="L36" i="6"/>
  <c r="K41" i="6"/>
  <c r="N16" i="6"/>
  <c r="AC15" i="11"/>
  <c r="AB18" i="11"/>
  <c r="C41" i="10"/>
  <c r="C45" i="10"/>
  <c r="G45" i="10" s="1"/>
  <c r="G36" i="10"/>
  <c r="K34" i="10"/>
  <c r="O30" i="10"/>
  <c r="R45" i="10"/>
  <c r="Q45" i="10"/>
  <c r="P43" i="10"/>
  <c r="R41" i="10"/>
  <c r="Q41" i="10"/>
  <c r="O38" i="10"/>
  <c r="K42" i="10"/>
  <c r="K42" i="11" s="1"/>
  <c r="C45" i="8"/>
  <c r="G45" i="8" s="1"/>
  <c r="G43" i="8"/>
  <c r="J43" i="8"/>
  <c r="F43" i="8"/>
  <c r="E45" i="8"/>
  <c r="E45" i="9" s="1"/>
  <c r="R43" i="8"/>
  <c r="N43" i="8"/>
  <c r="K45" i="8"/>
  <c r="O45" i="8" s="1"/>
  <c r="O43" i="8"/>
  <c r="J45" i="7"/>
  <c r="I45" i="7"/>
  <c r="R45" i="7"/>
  <c r="Q45" i="7"/>
  <c r="G45" i="7"/>
  <c r="D45" i="7"/>
  <c r="F45" i="7"/>
  <c r="O45" i="7"/>
  <c r="L45" i="7"/>
  <c r="N45" i="7"/>
  <c r="E43" i="7"/>
  <c r="F41" i="7"/>
  <c r="H43" i="7"/>
  <c r="J41" i="7"/>
  <c r="I41" i="7"/>
  <c r="L41" i="7"/>
  <c r="K43" i="7"/>
  <c r="O41" i="7"/>
  <c r="M43" i="7"/>
  <c r="N43" i="7" s="1"/>
  <c r="N41" i="7"/>
  <c r="D41" i="7"/>
  <c r="C43" i="7"/>
  <c r="G41" i="7"/>
  <c r="P43" i="7"/>
  <c r="R41" i="7"/>
  <c r="Q41" i="7"/>
  <c r="Q41" i="6"/>
  <c r="P43" i="6"/>
  <c r="I43" i="6"/>
  <c r="L45" i="5"/>
  <c r="O45" i="5"/>
  <c r="D45" i="5"/>
  <c r="G45" i="5"/>
  <c r="R45" i="5"/>
  <c r="Q45" i="5"/>
  <c r="D41" i="5"/>
  <c r="C43" i="5"/>
  <c r="G41" i="5"/>
  <c r="P43" i="5"/>
  <c r="R41" i="5"/>
  <c r="Q41" i="5"/>
  <c r="L41" i="5"/>
  <c r="K43" i="5"/>
  <c r="O41" i="5"/>
  <c r="H43" i="5"/>
  <c r="J41" i="5"/>
  <c r="I41" i="5"/>
  <c r="I42" i="5" s="1"/>
  <c r="O45" i="4"/>
  <c r="L45" i="4"/>
  <c r="G45" i="4"/>
  <c r="D45" i="4"/>
  <c r="R45" i="4"/>
  <c r="Q45" i="4"/>
  <c r="N45" i="4"/>
  <c r="F45" i="4"/>
  <c r="R41" i="4"/>
  <c r="Q41" i="4"/>
  <c r="P43" i="4"/>
  <c r="J41" i="4"/>
  <c r="I41" i="4"/>
  <c r="H43" i="4"/>
  <c r="N41" i="4"/>
  <c r="M43" i="4"/>
  <c r="N43" i="4" s="1"/>
  <c r="G41" i="4"/>
  <c r="D41" i="4"/>
  <c r="C43" i="4"/>
  <c r="F41" i="4"/>
  <c r="E43" i="4"/>
  <c r="F43" i="4" s="1"/>
  <c r="O41" i="4"/>
  <c r="L41" i="4"/>
  <c r="K43" i="4"/>
  <c r="J45" i="3"/>
  <c r="I45" i="3"/>
  <c r="L45" i="3"/>
  <c r="D45" i="3"/>
  <c r="G45" i="3"/>
  <c r="F45" i="3"/>
  <c r="Q45" i="3"/>
  <c r="F41" i="3"/>
  <c r="E43" i="3"/>
  <c r="F43" i="3" s="1"/>
  <c r="J41" i="3"/>
  <c r="I41" i="3"/>
  <c r="H43" i="3"/>
  <c r="K43" i="3"/>
  <c r="L41" i="3"/>
  <c r="Q41" i="3"/>
  <c r="P43" i="3"/>
  <c r="C43" i="3"/>
  <c r="G41" i="3"/>
  <c r="D41" i="3"/>
  <c r="M45" i="6" l="1"/>
  <c r="N45" i="3"/>
  <c r="O45" i="3"/>
  <c r="R45" i="3"/>
  <c r="F41" i="6"/>
  <c r="E43" i="6"/>
  <c r="T28" i="6"/>
  <c r="J41" i="6"/>
  <c r="O32" i="11"/>
  <c r="L32" i="11"/>
  <c r="O42" i="11"/>
  <c r="L42" i="11"/>
  <c r="K43" i="6"/>
  <c r="L41" i="6"/>
  <c r="Q36" i="11"/>
  <c r="I36" i="11"/>
  <c r="H41" i="11"/>
  <c r="J36" i="11"/>
  <c r="R45" i="6"/>
  <c r="P45" i="11"/>
  <c r="Q45" i="6"/>
  <c r="N20" i="11"/>
  <c r="N30" i="11"/>
  <c r="N15" i="11"/>
  <c r="N46" i="11"/>
  <c r="N27" i="11"/>
  <c r="N22" i="11"/>
  <c r="N14" i="11"/>
  <c r="N39" i="11"/>
  <c r="N31" i="11"/>
  <c r="N42" i="11"/>
  <c r="N12" i="11"/>
  <c r="M24" i="11"/>
  <c r="N38" i="11"/>
  <c r="N19" i="11"/>
  <c r="N10" i="11"/>
  <c r="N11" i="11"/>
  <c r="N26" i="11"/>
  <c r="N18" i="11"/>
  <c r="N13" i="11"/>
  <c r="N17" i="11"/>
  <c r="N32" i="11"/>
  <c r="R20" i="11"/>
  <c r="O20" i="11"/>
  <c r="N28" i="11"/>
  <c r="G36" i="11"/>
  <c r="D36" i="11"/>
  <c r="C41" i="11"/>
  <c r="E45" i="11"/>
  <c r="F45" i="11" s="1"/>
  <c r="T31" i="6"/>
  <c r="F45" i="6"/>
  <c r="J45" i="9"/>
  <c r="F45" i="9"/>
  <c r="N16" i="11"/>
  <c r="M43" i="5"/>
  <c r="N43" i="5" s="1"/>
  <c r="N41" i="5"/>
  <c r="K34" i="11"/>
  <c r="H43" i="10"/>
  <c r="J43" i="10" s="1"/>
  <c r="J41" i="10"/>
  <c r="G45" i="6"/>
  <c r="C45" i="11"/>
  <c r="D45" i="6"/>
  <c r="E41" i="11"/>
  <c r="F36" i="11"/>
  <c r="G41" i="6"/>
  <c r="D41" i="6"/>
  <c r="C43" i="6"/>
  <c r="N24" i="6"/>
  <c r="M36" i="6"/>
  <c r="R24" i="6"/>
  <c r="O24" i="6"/>
  <c r="N34" i="11"/>
  <c r="O45" i="6"/>
  <c r="K45" i="11"/>
  <c r="L45" i="6"/>
  <c r="AD18" i="11"/>
  <c r="AC18" i="11"/>
  <c r="AB23" i="11"/>
  <c r="O36" i="3"/>
  <c r="N36" i="3"/>
  <c r="R36" i="3"/>
  <c r="M41" i="3"/>
  <c r="Q43" i="11"/>
  <c r="J45" i="6"/>
  <c r="H45" i="11"/>
  <c r="I45" i="6"/>
  <c r="R43" i="10"/>
  <c r="Q43" i="10"/>
  <c r="O42" i="10"/>
  <c r="K46" i="10"/>
  <c r="K39" i="10"/>
  <c r="K39" i="11" s="1"/>
  <c r="O34" i="10"/>
  <c r="C43" i="10"/>
  <c r="G41" i="10"/>
  <c r="J45" i="8"/>
  <c r="F45" i="8"/>
  <c r="R43" i="7"/>
  <c r="Q43" i="7"/>
  <c r="G43" i="7"/>
  <c r="D43" i="7"/>
  <c r="J43" i="7"/>
  <c r="I43" i="7"/>
  <c r="F43" i="7"/>
  <c r="O43" i="7"/>
  <c r="L43" i="7"/>
  <c r="Q43" i="6"/>
  <c r="J43" i="5"/>
  <c r="I43" i="5"/>
  <c r="G43" i="5"/>
  <c r="D43" i="5"/>
  <c r="O43" i="5"/>
  <c r="L43" i="5"/>
  <c r="R43" i="5"/>
  <c r="Q43" i="5"/>
  <c r="O43" i="4"/>
  <c r="L43" i="4"/>
  <c r="J43" i="4"/>
  <c r="I43" i="4"/>
  <c r="G43" i="4"/>
  <c r="D43" i="4"/>
  <c r="R43" i="4"/>
  <c r="Q43" i="4"/>
  <c r="L43" i="3"/>
  <c r="D43" i="3"/>
  <c r="G43" i="3"/>
  <c r="Q43" i="3"/>
  <c r="J43" i="3"/>
  <c r="I43" i="3"/>
  <c r="O46" i="10" l="1"/>
  <c r="K46" i="11"/>
  <c r="M41" i="6"/>
  <c r="N36" i="6"/>
  <c r="R36" i="6"/>
  <c r="O36" i="6"/>
  <c r="G45" i="11"/>
  <c r="D45" i="11"/>
  <c r="O39" i="11"/>
  <c r="L39" i="11"/>
  <c r="G43" i="6"/>
  <c r="D43" i="6"/>
  <c r="L43" i="6"/>
  <c r="F43" i="6"/>
  <c r="T30" i="6"/>
  <c r="J43" i="6"/>
  <c r="O41" i="3"/>
  <c r="R41" i="3"/>
  <c r="N41" i="3"/>
  <c r="M43" i="3"/>
  <c r="L45" i="11"/>
  <c r="J45" i="11"/>
  <c r="I45" i="11"/>
  <c r="L34" i="11"/>
  <c r="O34" i="11"/>
  <c r="K36" i="11"/>
  <c r="O24" i="11"/>
  <c r="M36" i="11"/>
  <c r="N24" i="11"/>
  <c r="R24" i="11"/>
  <c r="J41" i="11"/>
  <c r="I41" i="11"/>
  <c r="H43" i="11"/>
  <c r="G43" i="10"/>
  <c r="G41" i="11"/>
  <c r="D41" i="11"/>
  <c r="C43" i="11"/>
  <c r="Q45" i="11"/>
  <c r="F41" i="11"/>
  <c r="E43" i="11"/>
  <c r="F43" i="11" s="1"/>
  <c r="M45" i="11"/>
  <c r="N45" i="11" s="1"/>
  <c r="N45" i="6"/>
  <c r="O39" i="10"/>
  <c r="K43" i="10"/>
  <c r="O43" i="10" s="1"/>
  <c r="J45" i="5"/>
  <c r="I45" i="5"/>
  <c r="J45" i="4"/>
  <c r="I45" i="4"/>
  <c r="N43" i="3" l="1"/>
  <c r="O43" i="3"/>
  <c r="R43" i="3"/>
  <c r="L36" i="11"/>
  <c r="K41" i="11"/>
  <c r="O36" i="11"/>
  <c r="J43" i="11"/>
  <c r="I43" i="11"/>
  <c r="R45" i="11"/>
  <c r="G43" i="11"/>
  <c r="D43" i="11"/>
  <c r="N36" i="11"/>
  <c r="R36" i="11"/>
  <c r="O45" i="11"/>
  <c r="O46" i="11"/>
  <c r="L46" i="11"/>
  <c r="M41" i="11"/>
  <c r="M43" i="6"/>
  <c r="N41" i="6"/>
  <c r="R41" i="6"/>
  <c r="O41" i="6"/>
  <c r="O41" i="11" l="1"/>
  <c r="L41" i="11"/>
  <c r="K43" i="11"/>
  <c r="N43" i="6"/>
  <c r="R43" i="6"/>
  <c r="O43" i="6"/>
  <c r="M43" i="11"/>
  <c r="N41" i="11"/>
  <c r="R41" i="11"/>
  <c r="O43" i="11" l="1"/>
  <c r="L43" i="11"/>
  <c r="N43" i="11"/>
  <c r="R43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guillermo Múnera Angus</author>
  </authors>
  <commentList>
    <comment ref="AE6" authorId="0" shapeId="0" xr:uid="{1E04BB77-3154-4C40-8F9E-647DC6E01D9C}">
      <text>
        <r>
          <rPr>
            <b/>
            <sz val="9"/>
            <color indexed="81"/>
            <rFont val="Tahoma"/>
            <family val="2"/>
          </rPr>
          <t>Crecimiento frente al mismo mes del año anterior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6"/>
  <connection id="2" xr16:uid="{BF4CFD5B-B91F-4E0D-95AD-9D37000E7071}" name="Conexión2" type="7" refreshedVersion="6"/>
  <connection id="3" xr16:uid="{C7F74B4F-9495-40A8-AAF5-7A79AF052AD4}" name="Conexión3" type="7" refreshedVersion="8"/>
</connections>
</file>

<file path=xl/sharedStrings.xml><?xml version="1.0" encoding="utf-8"?>
<sst xmlns="http://schemas.openxmlformats.org/spreadsheetml/2006/main" count="1417" uniqueCount="568">
  <si>
    <t>Periodo ant</t>
  </si>
  <si>
    <t>Periodo Actual</t>
  </si>
  <si>
    <t>MES INIC</t>
  </si>
  <si>
    <t>MES FIN</t>
  </si>
  <si>
    <t>AÑO</t>
  </si>
  <si>
    <t>TRM</t>
  </si>
  <si>
    <t>ENERO</t>
  </si>
  <si>
    <t>FEBRERO</t>
  </si>
  <si>
    <t>PPTO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</si>
  <si>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</si>
  <si>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</si>
  <si>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</si>
  <si>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</si>
  <si>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</si>
  <si>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</si>
  <si>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</si>
  <si>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</si>
  <si>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</si>
  <si>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</si>
  <si>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MUSICAR S.A. COLOMBIA CONSOLIDADO</t>
  </si>
  <si>
    <t>Estado de resultados</t>
  </si>
  <si>
    <t xml:space="preserve">Flujo de Caja </t>
  </si>
  <si>
    <t>Cifras en miles de Pesos Colombianos</t>
  </si>
  <si>
    <t>ACUMULADO</t>
  </si>
  <si>
    <t>Cump</t>
  </si>
  <si>
    <t>Crec</t>
  </si>
  <si>
    <t>Exe/def</t>
  </si>
  <si>
    <t>Item</t>
  </si>
  <si>
    <t>Valor</t>
  </si>
  <si>
    <t>%/Ing</t>
  </si>
  <si>
    <t>%</t>
  </si>
  <si>
    <t>Saldo Inicial</t>
  </si>
  <si>
    <t>Ingresos</t>
  </si>
  <si>
    <t>Materiales</t>
  </si>
  <si>
    <t>Servicios</t>
  </si>
  <si>
    <t>Nómina</t>
  </si>
  <si>
    <t>Egresos Generales</t>
  </si>
  <si>
    <t>Total Egresos</t>
  </si>
  <si>
    <t>Flujo Operacional</t>
  </si>
  <si>
    <t>Total Ingresos</t>
  </si>
  <si>
    <t>Disponible antes de CAPEX</t>
  </si>
  <si>
    <t>Costos</t>
  </si>
  <si>
    <t>CAPEX (Inversión)</t>
  </si>
  <si>
    <t>Margen de Contribución</t>
  </si>
  <si>
    <t>Impuestos</t>
  </si>
  <si>
    <t>Gastos Variables de Venta</t>
  </si>
  <si>
    <t>Gastos Fijos de Venta</t>
  </si>
  <si>
    <t>Movimiento Financiero</t>
  </si>
  <si>
    <t>Total Gastos de Venta</t>
  </si>
  <si>
    <t>Dividendos Pagados</t>
  </si>
  <si>
    <t>Gastos Operación</t>
  </si>
  <si>
    <t xml:space="preserve">Saldo Final </t>
  </si>
  <si>
    <t>Gastos Administrativos Distribuidos</t>
  </si>
  <si>
    <t>Total Gastos Administrativos</t>
  </si>
  <si>
    <t>Total Gastos Operacionales</t>
  </si>
  <si>
    <t>Utilidad Operacional</t>
  </si>
  <si>
    <t>Ingresos no Operacionales</t>
  </si>
  <si>
    <t>Gastos no Operacionales</t>
  </si>
  <si>
    <t>Utilidad antes de Impuestos</t>
  </si>
  <si>
    <t>Utilidad Neta</t>
  </si>
  <si>
    <t>EBITDA</t>
  </si>
  <si>
    <t>ok</t>
  </si>
  <si>
    <t>MUSICAR COLOMBIA</t>
  </si>
  <si>
    <t>450,460,461,462,463,464,465,466,467,471,472,475,476,477,478,470</t>
  </si>
  <si>
    <t>4155900000,4155900100,4155900500,4155900600,4170250000,4170250100,4170250200,4170251500,4170251600,4170251700,4170251900,4170251800,4170252000,4170253000,4170253500,4170252100,4170253700,4155900700,4170253800,4155900800</t>
  </si>
  <si>
    <t>Musical Experience  (Ambiental)</t>
  </si>
  <si>
    <t>4155950500,4170250300,4170250400,4155950600,4155952500,4155952600,4170252600</t>
  </si>
  <si>
    <t>Instalaciones</t>
  </si>
  <si>
    <t>4155950000,4155950100,4155950200,4170250900,4175080000</t>
  </si>
  <si>
    <t>Voice Experience (Publihold)</t>
  </si>
  <si>
    <t>4135950000,4135950100,4135950200,4135950800,4175090000,4175090100,4245010000,4245050000,4135950500</t>
  </si>
  <si>
    <t>Service &amp; Equipment Experience</t>
  </si>
  <si>
    <t>POP Satelital</t>
  </si>
  <si>
    <t>4170250800,4170251100</t>
  </si>
  <si>
    <t>Voice Experience (Audicóm)</t>
  </si>
  <si>
    <t>Fact. Servicio Satelital</t>
  </si>
  <si>
    <t>Visual Experience</t>
  </si>
  <si>
    <t>4155951800,4155952000,4135950600,4135950700</t>
  </si>
  <si>
    <t>Olfa Experience</t>
  </si>
  <si>
    <t>4170252500</t>
  </si>
  <si>
    <t>Locutor virtual</t>
  </si>
  <si>
    <t xml:space="preserve"> </t>
  </si>
  <si>
    <t>5260050000,5260100000,5260150000,5260200000,5260350000,5260980000,5265980000,5160050000,5160100000,5160150000,5160200000,5160350000,5160980000,5165980000,5165100000,5165150000,5165950000,5265100000</t>
  </si>
  <si>
    <t>Ebitda</t>
  </si>
  <si>
    <t>depre</t>
  </si>
  <si>
    <t>MUSICAR S.A. COLOMBIA</t>
  </si>
  <si>
    <t>Estado de Resultados</t>
  </si>
  <si>
    <t>080,469,090,100</t>
  </si>
  <si>
    <t>MUSICAR  COLOMBIA</t>
  </si>
  <si>
    <t>Estado de Reultados</t>
  </si>
  <si>
    <t>Cifras en miles de Dólares Americanos</t>
  </si>
  <si>
    <t>esta no se cambia</t>
  </si>
  <si>
    <t>% Cump</t>
  </si>
  <si>
    <t>SALDOINI</t>
  </si>
  <si>
    <t>INGRESOS</t>
  </si>
  <si>
    <t>MATERIALES</t>
  </si>
  <si>
    <t>PERSONAL</t>
  </si>
  <si>
    <t>GENERALES</t>
  </si>
  <si>
    <t>IMPUESTOS</t>
  </si>
  <si>
    <t>FINANCIERO</t>
  </si>
  <si>
    <t>DIVIDENDO</t>
  </si>
  <si>
    <t>MUSICAR S.A. EL SALVADOR</t>
  </si>
  <si>
    <t>Estado de Ganancias y pérdidas</t>
  </si>
  <si>
    <t>ACUMULADO MES ANTERIOR</t>
  </si>
  <si>
    <t>Ppto 2024</t>
  </si>
  <si>
    <t>Real 2023</t>
  </si>
  <si>
    <t>real 2024</t>
  </si>
  <si>
    <t>Total</t>
  </si>
  <si>
    <t>MUSICAR S.A. VENEZUELA</t>
  </si>
  <si>
    <t>Cifras en miles de Bolivares Fuertes</t>
  </si>
  <si>
    <t>Fact.Olfa experience</t>
  </si>
  <si>
    <t>TRM 2024</t>
  </si>
  <si>
    <t>Dólar implicito tomado dolar today</t>
  </si>
  <si>
    <t>TRM 2023</t>
  </si>
  <si>
    <t>Cifras en Dólares Americanos</t>
  </si>
  <si>
    <t>Cifras en Dolares americanos</t>
  </si>
  <si>
    <t>Año 2021</t>
  </si>
  <si>
    <t>Año 2022</t>
  </si>
  <si>
    <t>Utild vene en Bolivares</t>
  </si>
  <si>
    <t>utilidad venez en usd</t>
  </si>
  <si>
    <t>Cierre</t>
  </si>
  <si>
    <t>promedio</t>
  </si>
  <si>
    <t>Prom año</t>
  </si>
  <si>
    <t>Año 2023</t>
  </si>
  <si>
    <t>Año 2024</t>
  </si>
  <si>
    <t>MUSICAR INTERNACIONAL</t>
  </si>
  <si>
    <t>Cifras en  Dolares Americanos</t>
  </si>
  <si>
    <t>Dividendos Pagados (Descapitalizacion)</t>
  </si>
  <si>
    <t xml:space="preserve">Gastos Administrativos </t>
  </si>
  <si>
    <t>MUSICAR S.A. COLOMBIA CONSOLIDADO USD</t>
  </si>
  <si>
    <t>Ppto 2022</t>
  </si>
  <si>
    <t>Real 2022</t>
  </si>
  <si>
    <t>Real 2021</t>
  </si>
  <si>
    <t>acumulado</t>
  </si>
  <si>
    <t xml:space="preserve">   Facturación Musical Experience (Ambiental)</t>
  </si>
  <si>
    <t xml:space="preserve">   Facturación Instalación</t>
  </si>
  <si>
    <t xml:space="preserve">   Facturación Voice Experience (Publihold)</t>
  </si>
  <si>
    <t xml:space="preserve">   Facturación Olfa Experience</t>
  </si>
  <si>
    <t>4135950000,4135950100,4135950200,4135950800,4175090000,4175090100,4245010000,4245050000,4135950500,4135950500</t>
  </si>
  <si>
    <t xml:space="preserve">   Facturación Service &amp; Equipment Experience (Red-Audio)</t>
  </si>
  <si>
    <t xml:space="preserve">   Facturación POP Satelital</t>
  </si>
  <si>
    <t xml:space="preserve">   Facturacion Locutor virtual</t>
  </si>
  <si>
    <t>4135950900</t>
  </si>
  <si>
    <t xml:space="preserve">   Facturacion Instaladores</t>
  </si>
  <si>
    <t xml:space="preserve">   Facturación Voice Experience (Audicóm)</t>
  </si>
  <si>
    <t xml:space="preserve">   Facturación Servicio Satelital</t>
  </si>
  <si>
    <t xml:space="preserve">   Facturación Visual Experience (Pantallas)</t>
  </si>
  <si>
    <t>COLOMBIA</t>
  </si>
  <si>
    <t>CO</t>
  </si>
  <si>
    <t>6135950000,6135951000,6170250000,6170250100</t>
  </si>
  <si>
    <t xml:space="preserve">   Costo de mercancia vendida</t>
  </si>
  <si>
    <t>6135951100,6135951200</t>
  </si>
  <si>
    <t xml:space="preserve">   Costo de mercancia vendida Aromas</t>
  </si>
  <si>
    <t>6120330500</t>
  </si>
  <si>
    <t xml:space="preserve">   Provision devoluciones costo</t>
  </si>
  <si>
    <t>6135980000</t>
  </si>
  <si>
    <t xml:space="preserve">   Ajuste por inflacion costo</t>
  </si>
  <si>
    <t>VARIABLES DE VENTA</t>
  </si>
  <si>
    <t xml:space="preserve">   Otros gastos variables</t>
  </si>
  <si>
    <t>5205180100,5205180200</t>
  </si>
  <si>
    <t xml:space="preserve">   Comisiones gastos variables</t>
  </si>
  <si>
    <t>5205301000,5205301100,5205331000,5205331100,5205361000,5205361100,5205391000,5205391100,5205421800,5205421900,5205422000,5205422200,5205422300,5205422400,5205422500,5205451400,5205451500,5205451600,5205451700,5205511000,5205511100,5205541000,5205541100,5205601000,5205601100,5205691000,5205691100,5205701000,5205701100,5205721000,5205721100,5205751000,5205751100,5205781000,5205781100,5205841000,5205841100,5205951000,5205951100</t>
  </si>
  <si>
    <t xml:space="preserve">   Prestaciones sociales comisiones vent</t>
  </si>
  <si>
    <t>5295050100,5295050200,5295050300</t>
  </si>
  <si>
    <t xml:space="preserve">   Servicios a terceros</t>
  </si>
  <si>
    <t xml:space="preserve">   Empaque y material de empaque</t>
  </si>
  <si>
    <t xml:space="preserve">   Fletes y acarreos gastos var.ventas</t>
  </si>
  <si>
    <t>5260050000,5260100000,5260150000,5260200000,5260350000,5260980000,5265980000</t>
  </si>
  <si>
    <t xml:space="preserve">   Depreciaciones gastos ventas</t>
  </si>
  <si>
    <t>5295950600,</t>
  </si>
  <si>
    <t xml:space="preserve">   Discos y elementos de programación ventas</t>
  </si>
  <si>
    <t>5245150000,5245150100,5245150200,5245250000,5245200000,5295150000,5245150300,5245150600,5245100000,5250050000,5250100000,5250150000,5250950000,5295250000,5295250100,5245150400</t>
  </si>
  <si>
    <t xml:space="preserve">   Material,sumin.mantto. e instalac.vt </t>
  </si>
  <si>
    <t xml:space="preserve">   Herramientas y equipos de seguridad</t>
  </si>
  <si>
    <t>5235050000,,5235050100,5235200000,5235950100,5235950400,5235950500,5235950600,5235950700,5235950800,5235950900</t>
  </si>
  <si>
    <t xml:space="preserve">   Trabajos de origen externo</t>
  </si>
  <si>
    <t xml:space="preserve">   Gastos de aduana exportaciones</t>
  </si>
  <si>
    <t xml:space="preserve">   Trabajos fuera de la empresa</t>
  </si>
  <si>
    <t xml:space="preserve">   Agencias temp de empleos gtos.var.vta</t>
  </si>
  <si>
    <t>4250500400,5295950100</t>
  </si>
  <si>
    <t xml:space="preserve">   Regalias y derechos de autor</t>
  </si>
  <si>
    <t xml:space="preserve">   Provision de cartera y devoluciones</t>
  </si>
  <si>
    <t>5299150000,5299150100</t>
  </si>
  <si>
    <t xml:space="preserve">   Costo artículos descontinuados</t>
  </si>
  <si>
    <t>GASTOS DE VENTAS FIJOS</t>
  </si>
  <si>
    <t>5205030100,5205030200,5205060100,5205060200,5205060300,5205150100,5205150200,5205270100,5205270200,5295600100,5295600200,5205240100</t>
  </si>
  <si>
    <t xml:space="preserve">   Sueldos Ventas</t>
  </si>
  <si>
    <t>5205300100,5205300200,5205330100,5205330200,5205360100,5205360200,5205390100,5205390200,5205420100,5205420200,5205421200,5205421300,5205421400,5205421500,5205421600,5205421700,5205450100,5205451000,5205451100,5205451200,5205451300,5205451800,5205510100,5205510200,5205540100,5205540200,5205600100,5205600200,5205680000,5205690100,5205690200,5205700100,5205700200,5205720100,5205720200,5205750100,5205750200,5205780100,5205780200,5205840100,5205840200,5205950100,5205950200,5205680100</t>
  </si>
  <si>
    <t xml:space="preserve">   Prestaciones sociales sueldos ventas </t>
  </si>
  <si>
    <t>5205480100,5205480200,5205480300,5205481000,5205481100,5205450300</t>
  </si>
  <si>
    <t xml:space="preserve">   Bonificaciones y premios empleados </t>
  </si>
  <si>
    <t>5205630100,5205630200,5205630300</t>
  </si>
  <si>
    <t xml:space="preserve">   Capacitacion gastos ventas</t>
  </si>
  <si>
    <t>5205660100,5205660200,5205660400,5205660500</t>
  </si>
  <si>
    <t xml:space="preserve">   Gastos reuniones de personal venta</t>
  </si>
  <si>
    <t>5235350100,5295950400,5295951400,5235350500</t>
  </si>
  <si>
    <t xml:space="preserve">Gastos de internet </t>
  </si>
  <si>
    <t>5220150000,5220200000,5220250000,5250400000,5220950000,5220950100,5235500100</t>
  </si>
  <si>
    <t xml:space="preserve">   Alquiler equipos, contratos de manten</t>
  </si>
  <si>
    <t>5210250000,5210350000,5210950000,5210300100,5210358000,</t>
  </si>
  <si>
    <t xml:space="preserve">   Honorarios gastos ventas fijos</t>
  </si>
  <si>
    <t xml:space="preserve">   Amortización Intangibles de ventas</t>
  </si>
  <si>
    <t>5215050000,5215100000,5215950000,5215950200</t>
  </si>
  <si>
    <t xml:space="preserve">   Impuestos Municipales</t>
  </si>
  <si>
    <t>5205660300,5255050300,5255060200,5255150300,5255200300,5255950300</t>
  </si>
  <si>
    <t xml:space="preserve">   Club 100%</t>
  </si>
  <si>
    <t>5245400000,5295350000</t>
  </si>
  <si>
    <t xml:space="preserve">   Mantenimiento vehiculos gastos ventas</t>
  </si>
  <si>
    <t>5295300000,5295100000</t>
  </si>
  <si>
    <t xml:space="preserve">   Papeleria, utiles, revistas, periodic</t>
  </si>
  <si>
    <t>5235600000,5235600100,5235600300,5235600500</t>
  </si>
  <si>
    <t xml:space="preserve">   Publicidad ventas</t>
  </si>
  <si>
    <t>5235350000,5235400100,5235400200,5235450000,5235350200,5235350300</t>
  </si>
  <si>
    <t xml:space="preserve">   Portes, telefono y fax</t>
  </si>
  <si>
    <t xml:space="preserve">   Amortización gastos preoperativos</t>
  </si>
  <si>
    <t>5230050000,5230100000,5230150000,5230200000,5230250000,5230300000,5230350000,5230400000,5230600000,5230650000,5230750000,5230800000,5230950000,5230950100,5295700000</t>
  </si>
  <si>
    <t xml:space="preserve">   Seguro incendio y varios ventas</t>
  </si>
  <si>
    <t>5110350100,5210350200</t>
  </si>
  <si>
    <t>Servicios infraestructura</t>
  </si>
  <si>
    <t>5215950100,5299050099,5235350400</t>
  </si>
  <si>
    <t xml:space="preserve">   Otros Gastos de Ventas</t>
  </si>
  <si>
    <t>5295200100,5295200200,5295200300</t>
  </si>
  <si>
    <t xml:space="preserve">   Atenciones a clientes gastos venta fi</t>
  </si>
  <si>
    <t>5225050000,5225100000</t>
  </si>
  <si>
    <t xml:space="preserve">   Cuotas a asociaciones y afiliacion gt</t>
  </si>
  <si>
    <t>5235250000,5235300000,5235250100</t>
  </si>
  <si>
    <t xml:space="preserve">   Luz y agua gastos ventas</t>
  </si>
  <si>
    <t>5295600000,5295600500</t>
  </si>
  <si>
    <t xml:space="preserve">   Viveres y refrigerios fijos</t>
  </si>
  <si>
    <t>5205210100,5205210200,5255050100,5255050200,5255060100,5255060300,5255060400,5255150100,5255150200,5255200100,5255200200,5255950100,5255950200,5205451900</t>
  </si>
  <si>
    <t xml:space="preserve">   Gastos de viaje, pasajes y hoteles</t>
  </si>
  <si>
    <t>5240050000,5240100000,5240150000,5240200400,5240950000</t>
  </si>
  <si>
    <t xml:space="preserve">   Gastos legales ventas</t>
  </si>
  <si>
    <t>5295450000,5295950500</t>
  </si>
  <si>
    <t xml:space="preserve">   Caja menor gastos ventas fijos</t>
  </si>
  <si>
    <t>5235100100,5295250200</t>
  </si>
  <si>
    <t xml:space="preserve">   Agencias temporales de empleo gastos</t>
  </si>
  <si>
    <t>5220050000,5220100000,5220100100,5245100100</t>
  </si>
  <si>
    <t xml:space="preserve">   Arrendamientos gastos venta fijos</t>
  </si>
  <si>
    <t>GASTOS OPERATIVOS</t>
  </si>
  <si>
    <t>5105030100,5105060100,5105150100,5105270100,5195600300,5105240100,5105060200</t>
  </si>
  <si>
    <t xml:space="preserve">   Sueldos Operativos</t>
  </si>
  <si>
    <t xml:space="preserve">   Comisiones Opertativas</t>
  </si>
  <si>
    <t>5105300100,5105301100,5105330100,5105331100,5105360200,5105361200,5105390200,5105391100,5105420100,5105421100,5105421300,5105421500,5105421700,5105421900,5105422100,5105422300,5105422500,5105450100,5105451100,5105451300,5105451500,5105451700,5105510100,5105511100,5105540100,5105541100,5105600100,5105601100,5105690100,5105691100,5105700100,5105701100,5105720100,5105721100,5105750100,5105751100,5105780100,5105781100,5105840100,5105841100,5105950100,5105950600,5105951100,5105451900</t>
  </si>
  <si>
    <t xml:space="preserve">   Prestaciones sociales operativos</t>
  </si>
  <si>
    <t xml:space="preserve">   Bonificaciones operativas</t>
  </si>
  <si>
    <t>5160050000,5160100000,5160150000,5160200000,5160350000,5160980000,5165980000</t>
  </si>
  <si>
    <t xml:space="preserve">   Depreciaciòn Administrativos</t>
  </si>
  <si>
    <t>5165100000,5165150000,5165950000</t>
  </si>
  <si>
    <t xml:space="preserve">   Amortización gastos administración</t>
  </si>
  <si>
    <t>GASTOS DE ADMINISTRACION PROPIA</t>
  </si>
  <si>
    <t xml:space="preserve">   Comisiones Gastos Administración</t>
  </si>
  <si>
    <t>5105301000,5105331000,5105361000,5105361100,5105391000,5105421800,5105422000,5105422200,5105422400,5105451400,5105451600,5105511000,5105541000,5105601000,5105691000,5105701000,5105721000,5105751000,5105781000,5105841000,5105951000,5105680100</t>
  </si>
  <si>
    <t xml:space="preserve">   Prestaciones sociales comisiones A</t>
  </si>
  <si>
    <t>5105030000,5105060000,5105060300,5105150000,5105270000,5195600100,5105240000</t>
  </si>
  <si>
    <t xml:space="preserve">   Sueldos Administracion</t>
  </si>
  <si>
    <t xml:space="preserve">5105300000,5105330000,5105360000,5105360100,5105390000,5105390100,5105420000,5105421200,5105421400,5105421600,5105450000,5105451000,5105451200,5105510000,5105540000,5105600000,5105680000,5105690000,5105700000,5105720000,5105750000,5105780000,5105840000,5105950000,5105701200 </t>
  </si>
  <si>
    <t xml:space="preserve">   Prestaciones sociales </t>
  </si>
  <si>
    <t>5105630000,5105630200,5105630100</t>
  </si>
  <si>
    <t xml:space="preserve">   Capacitacion Gasto Administracion</t>
  </si>
  <si>
    <t>5155050100,5155060100,5155150100,5155200100,5155950100</t>
  </si>
  <si>
    <t xml:space="preserve">   Club 100% administrativo</t>
  </si>
  <si>
    <t>5135050000,5135150000,5135200000,5135950500</t>
  </si>
  <si>
    <t xml:space="preserve">   Trabajo de origen externo</t>
  </si>
  <si>
    <t>5135100000,5195250200</t>
  </si>
  <si>
    <t xml:space="preserve">   Agencias temporales Administración</t>
  </si>
  <si>
    <t>5195200000,5195200100</t>
  </si>
  <si>
    <t xml:space="preserve">   Atenciones a clientes Administraci</t>
  </si>
  <si>
    <t xml:space="preserve">   Arrendamientos Gastos Administración</t>
  </si>
  <si>
    <t>5120200000,5120250000,5120400000</t>
  </si>
  <si>
    <t xml:space="preserve">   Alquiler equipos y contratos de mante</t>
  </si>
  <si>
    <t>5105480000,5105480200,5105480300,5105481000,5105450200</t>
  </si>
  <si>
    <t xml:space="preserve">   Bonificaciones y premios empleados Ad</t>
  </si>
  <si>
    <t>5125050000,5125100000</t>
  </si>
  <si>
    <t xml:space="preserve">   Cuotas asociaciones y de afiliacio</t>
  </si>
  <si>
    <t>5135250000,5135300000</t>
  </si>
  <si>
    <t xml:space="preserve">   Luz y agua Administración</t>
  </si>
  <si>
    <t>5105660000,5105660100,5105660200,5105660300</t>
  </si>
  <si>
    <t xml:space="preserve">   Gastos reuniones de personal Administ</t>
  </si>
  <si>
    <t>5110100000,5110200000,5110250000,5110300000,5110950000</t>
  </si>
  <si>
    <t xml:space="preserve">   Honorarios Administración </t>
  </si>
  <si>
    <t>5110350000</t>
  </si>
  <si>
    <t xml:space="preserve">   Licencias y Proyectos Especiales</t>
  </si>
  <si>
    <t>5115050000,5115100000,5115150000,5115400000,5115700000,5115700100,5115950000</t>
  </si>
  <si>
    <t xml:space="preserve">   Impuestos Administración</t>
  </si>
  <si>
    <t>5145400000,5195350000</t>
  </si>
  <si>
    <t xml:space="preserve">   Mantenimiento vehiculos Administrac.</t>
  </si>
  <si>
    <t>5195100000,5195300000</t>
  </si>
  <si>
    <t xml:space="preserve">   Papeleria , utiles, revistas periodic</t>
  </si>
  <si>
    <t>5135600000,5135600500</t>
  </si>
  <si>
    <t xml:space="preserve">   Serv.publicidad,propaganda y promoció</t>
  </si>
  <si>
    <t>5135350000,5135350200,5135400000,5135450000,5135350300</t>
  </si>
  <si>
    <t xml:space="preserve">   Portes, telex, teléfono, fax</t>
  </si>
  <si>
    <t>5145150000,5145150100,5145200000,5145250000,5195150000,5195400000,5195950400</t>
  </si>
  <si>
    <t xml:space="preserve">   Material,suministro,mantenimiento </t>
  </si>
  <si>
    <t>5145050000,5145100000,5150050000,5150100000,5150150000,5150950000,5195250000,5195250100</t>
  </si>
  <si>
    <t xml:space="preserve">   Mantenimiendo de construcciones y edificaciones</t>
  </si>
  <si>
    <t>5130050000,5130100000,5130150000,5130200000,5130250000,5130350000,5130400000,5130600000,5130650000,5130700000,5130750000,5130950000,5130950100,5130950200,5195700000,5130950300</t>
  </si>
  <si>
    <t xml:space="preserve">   Seguro incendio y varios Administrac.</t>
  </si>
  <si>
    <t>5195600000,5195600500</t>
  </si>
  <si>
    <t xml:space="preserve">   Viveres y refrigerios Administraci </t>
  </si>
  <si>
    <t>5105210000,5155050000,5155060000,5155060200,5155060300,5155150000,5155200000,5155950000,5155960000</t>
  </si>
  <si>
    <t xml:space="preserve">   Gastos de viaje, pasajes y hoteles </t>
  </si>
  <si>
    <t>5140050000,5140100000,5140150000,5140200000,5140250000,5140950000,4250500600</t>
  </si>
  <si>
    <t xml:space="preserve">   Gastos legales Administración </t>
  </si>
  <si>
    <t>,5195950600</t>
  </si>
  <si>
    <t xml:space="preserve">   Discos y equipos de seguridad Administración</t>
  </si>
  <si>
    <t>5195450000</t>
  </si>
  <si>
    <t xml:space="preserve">   Caja menor Gastos Administraciòn </t>
  </si>
  <si>
    <t>5115950100,5195050100,5195600200,5195950300,5199050000,5199100000,5199150000,5199950000</t>
  </si>
  <si>
    <t xml:space="preserve">   Otros gastos de administración</t>
  </si>
  <si>
    <t>Suma de MOVTO_LIBRO2</t>
  </si>
  <si>
    <t xml:space="preserve">GASTOS ADMINISTRACION APLICADOS </t>
  </si>
  <si>
    <t>CENTRO_OPERACION_MOVTO</t>
  </si>
  <si>
    <t>Nombre Centro_operacion_movto</t>
  </si>
  <si>
    <t>5135950300,5195056600,5198530000,5210350100,5295056600,5398050000</t>
  </si>
  <si>
    <t xml:space="preserve">   Cobros holding</t>
  </si>
  <si>
    <t>090</t>
  </si>
  <si>
    <t>PROYECTO INNOVACION</t>
  </si>
  <si>
    <t>5235950200,5235950300,5398210000,5398219900,5235950800</t>
  </si>
  <si>
    <t xml:space="preserve">   Gastos aplicados sectoriales</t>
  </si>
  <si>
    <t>Total general</t>
  </si>
  <si>
    <t xml:space="preserve">   Servicios Carvajal Servi-Assenda S.A.</t>
  </si>
  <si>
    <t>INGRESOS NO OPERACIONALES</t>
  </si>
  <si>
    <t>4210200100,4210200200</t>
  </si>
  <si>
    <t xml:space="preserve"> Diferencia en cambio por exportaciones</t>
  </si>
  <si>
    <t>4210200400,4210200500,4210200501,4210201000,4210201001,4210201100</t>
  </si>
  <si>
    <t xml:space="preserve"> Diferencia en cambio por otros</t>
  </si>
  <si>
    <t>4210400000,4218050000,4245500000,4250500100,4250500200,4250500300,4250506600,4255200000,4295050000,4295810000,4255400000,4250051000,4250500500</t>
  </si>
  <si>
    <t xml:space="preserve"> Otros Ingresos</t>
  </si>
  <si>
    <t>4210050100,4210051000</t>
  </si>
  <si>
    <t>Intereses recibidos</t>
  </si>
  <si>
    <t>GASTOS NO OPERACIONALES</t>
  </si>
  <si>
    <t>5235601000,5305350000,5310150000,5310300000,5310350000,5313050000,5315150000,5315150100,5315150200,5315160000,5315200000,5315200100,5315200200,5315200300,5315200400,5315950000,5395200000,5395950000,5395950200,5395100000,5395050000,5395250000</t>
  </si>
  <si>
    <t xml:space="preserve">   Otros egresos no operacionales</t>
  </si>
  <si>
    <t>5305250102,5305250200,5305250201,5305250400,5305250500,5305250501,5305250700</t>
  </si>
  <si>
    <t xml:space="preserve">   Diferencia en cambio</t>
  </si>
  <si>
    <t xml:space="preserve">5305050000,5305150000,5305200100,5305200200,5305200300,5305200400,5305202200,5305950000,5398110000,5305200101    </t>
  </si>
  <si>
    <t xml:space="preserve">   Intereses y otros</t>
  </si>
  <si>
    <t>5310950100,5310950200,5310950300,5395990000</t>
  </si>
  <si>
    <t xml:space="preserve">   Ajustes por inflacion Gastos No Op</t>
  </si>
  <si>
    <t>AJUSTES POR INFLACION</t>
  </si>
  <si>
    <t>4705050000,4705050100,4705100000,4705150000,4705200000,4705250000,4705300000,4705300100,4705350000,4705400000,4705450000,4705500000,4705550000,4705600000</t>
  </si>
  <si>
    <t>Ajustes Por Inflacion</t>
  </si>
  <si>
    <t>TOTAL AJUSTES POR INFLACION</t>
  </si>
  <si>
    <t>UTILIDAD ANTES DE IMPUESTOS</t>
  </si>
  <si>
    <t xml:space="preserve">IMPUESTOS </t>
  </si>
  <si>
    <t>5405050100,5405050200,5405050300,5405051100,5115950400</t>
  </si>
  <si>
    <t xml:space="preserve">   Impuesto de renta</t>
  </si>
  <si>
    <t>NOMINA</t>
  </si>
  <si>
    <t>EBITDA DEPRECICAION Y AMORTIZACION</t>
  </si>
  <si>
    <t>SALVADOR</t>
  </si>
  <si>
    <t>INGRESOS OPERACIONALES</t>
  </si>
  <si>
    <t>PARA EL PPTO DEL 2017 KARINA UTILIZO OTRAS CUENTAS</t>
  </si>
  <si>
    <t>4170250000,4170251000,4155951100,4155951000</t>
  </si>
  <si>
    <t>FACTURACION SERVICIO DE AMBIENTACION</t>
  </si>
  <si>
    <t>FACTURACION PUBLIHOLD</t>
  </si>
  <si>
    <t xml:space="preserve">FACTURACION AUDICOM </t>
  </si>
  <si>
    <t>FACTURACION CARTELERAS DIGITALES</t>
  </si>
  <si>
    <t>FACT. REDES DE AUDIOS Y GRABACIONES ESPC</t>
  </si>
  <si>
    <t>FACTURACION INSTALACIONES</t>
  </si>
  <si>
    <t>4135950100</t>
  </si>
  <si>
    <t>VENTA DE OTROS PRODUCTOS CLIENTES- OLFA</t>
  </si>
  <si>
    <t xml:space="preserve">COSTOS DE VENTAS </t>
  </si>
  <si>
    <t xml:space="preserve">GASTOS VARIABLES DE VENTAS </t>
  </si>
  <si>
    <t xml:space="preserve">COMISIONES GASTOS VARIABLES </t>
  </si>
  <si>
    <t>Suma de VALOR_PRESUPUESTO</t>
  </si>
  <si>
    <t>PRESTACIONES SOCIALES COMISION</t>
  </si>
  <si>
    <t>AUXILIAR</t>
  </si>
  <si>
    <t>5160100000</t>
  </si>
  <si>
    <t>5205180100</t>
  </si>
  <si>
    <t>5205361000</t>
  </si>
  <si>
    <t>5235950500</t>
  </si>
  <si>
    <t>DEPRECIACIONES GASTOS DE VENTA VARIABLES</t>
  </si>
  <si>
    <t>5245150100</t>
  </si>
  <si>
    <t>5299100000</t>
  </si>
  <si>
    <t xml:space="preserve"> DEPRECIAC.EQUIPO DE OFICINA</t>
  </si>
  <si>
    <t xml:space="preserve">MANTEN SUMINISTROS Y MTTO INSTALACION </t>
  </si>
  <si>
    <t xml:space="preserve">TRABAJOS DE ORIGEN EXTERNO </t>
  </si>
  <si>
    <t xml:space="preserve">REGALIAS Y DERECHOS DE AUTOR </t>
  </si>
  <si>
    <t xml:space="preserve">CARTERA PROBLEMA CUENTA INCOBRABLE </t>
  </si>
  <si>
    <t>DEPRECIACION</t>
  </si>
  <si>
    <t xml:space="preserve">GASTOS DE VENTAS FIJOS </t>
  </si>
  <si>
    <t xml:space="preserve">CAPACITACION GASTOS DE VENTA </t>
  </si>
  <si>
    <t xml:space="preserve">SUELDOS VENTAS </t>
  </si>
  <si>
    <t xml:space="preserve">PRESTACIONES SOCIALES SUELDO VENTAS </t>
  </si>
  <si>
    <t>GASTOS REUNIONES DE PERSONAL</t>
  </si>
  <si>
    <t xml:space="preserve">HONORARIOS GASTOS DE VENTA FIJOS </t>
  </si>
  <si>
    <t>IMPUESTOS MUNICIPALES</t>
  </si>
  <si>
    <t>MANTENIMIENTO VEHICULOS GASTOS DE VENTAS</t>
  </si>
  <si>
    <t xml:space="preserve">PAPELERIA Y UTILES </t>
  </si>
  <si>
    <t xml:space="preserve">PUBLICIDAD Y ANUNCIOS VENTAS </t>
  </si>
  <si>
    <t>PORTES CORREO TELEFONO Y FAX</t>
  </si>
  <si>
    <t xml:space="preserve">SEGUROS VARIOS VENTAS </t>
  </si>
  <si>
    <t xml:space="preserve">CUOTAS ASOCIACIONES Y AFILIACIONES </t>
  </si>
  <si>
    <t xml:space="preserve">BONIFICACIONES Y PREMIOS A EMPLEADOS </t>
  </si>
  <si>
    <t>GASTOS DE VIAJE-HOTELES-PASAJES</t>
  </si>
  <si>
    <t xml:space="preserve">GASTOS LEGALES DE VENTAS </t>
  </si>
  <si>
    <t xml:space="preserve">ARRENDAMIENTOS </t>
  </si>
  <si>
    <t>GASTOS DE ADMINISTRACION PROPIO</t>
  </si>
  <si>
    <t xml:space="preserve">SUELDOS ADMINISTRACION </t>
  </si>
  <si>
    <t xml:space="preserve">PRESTACIONES SOCIALES </t>
  </si>
  <si>
    <t xml:space="preserve">COMISIONES GASTOS DE ADMINISTRACION </t>
  </si>
  <si>
    <t xml:space="preserve">CAPACITACION AL PERSONAL </t>
  </si>
  <si>
    <t xml:space="preserve">PRESTACIONES SOCIALES COMISIONES A </t>
  </si>
  <si>
    <t xml:space="preserve">ARRENDAMIENTOS GASTOS ADMINISTRACION </t>
  </si>
  <si>
    <t xml:space="preserve">GASTOS REUNION DE PERSONAL </t>
  </si>
  <si>
    <t xml:space="preserve">HERRAMIENTAS Y EQUIPOS DE SEGURIDAD </t>
  </si>
  <si>
    <t xml:space="preserve">HONORARIOS </t>
  </si>
  <si>
    <t xml:space="preserve">SEGUROS VARIOS </t>
  </si>
  <si>
    <t xml:space="preserve">MANTENIMIENTO VEHICULO ADMINISTRACION </t>
  </si>
  <si>
    <t xml:space="preserve">PORTES TELEX Y TELEFONO </t>
  </si>
  <si>
    <t xml:space="preserve">MATERIALES SUMINISTROS, MANTENIMIENTO </t>
  </si>
  <si>
    <t xml:space="preserve">GASTOS LEGALES DE ADMON </t>
  </si>
  <si>
    <t>REGISTRO MERCANTIL</t>
  </si>
  <si>
    <t xml:space="preserve">GASTOS DE VIAJE </t>
  </si>
  <si>
    <t xml:space="preserve">GASTOS DE ADMINISTRACION APLICADOS </t>
  </si>
  <si>
    <t xml:space="preserve">COBROS HOLDING </t>
  </si>
  <si>
    <t xml:space="preserve">GASTOS APLICADOS SECTORIALES </t>
  </si>
  <si>
    <t>SERVICIOS GC2</t>
  </si>
  <si>
    <t xml:space="preserve">INGRESOS NO OPERACIONALES </t>
  </si>
  <si>
    <t xml:space="preserve">Diferencia en cambio exportaciones </t>
  </si>
  <si>
    <t>Diferencia en Cambio Otros</t>
  </si>
  <si>
    <t xml:space="preserve">OTROS INGRESOS </t>
  </si>
  <si>
    <t xml:space="preserve">GASTOS NO OPERACIONALES </t>
  </si>
  <si>
    <t xml:space="preserve">OTROS EGRESOS NO OPERACIONALES </t>
  </si>
  <si>
    <t xml:space="preserve">DIFERENCIA EN CAMBIO </t>
  </si>
  <si>
    <t xml:space="preserve">INTERESES OTROS </t>
  </si>
  <si>
    <t xml:space="preserve">IMPUESTO DE RENTA </t>
  </si>
  <si>
    <t>DEPRECIACION EBITDA</t>
  </si>
  <si>
    <t>5160200000,5260100000,5260200000,5260350000,5160100000</t>
  </si>
  <si>
    <t>FLUJO CAJA</t>
  </si>
  <si>
    <t>INGRESOS POR DEPOSITAR</t>
  </si>
  <si>
    <t>FONDOS DE CAJA MENOR</t>
  </si>
  <si>
    <t>BANCO BANCOLOMBIA CTA CTE 060-047239-00</t>
  </si>
  <si>
    <t>BANCO HELM BANK CTA CTE 301-41175-7</t>
  </si>
  <si>
    <t>BANCO DE BOGOTA CTA CTE 146431697</t>
  </si>
  <si>
    <t>BANCO DE OCCIDENTE CTA CTE # 027-02780-4</t>
  </si>
  <si>
    <t>BANCOOMEVA  CTA CTE # 010705156006</t>
  </si>
  <si>
    <t>BANCO BANCOLOMBIA CAYMAN CTA. CTE #53820</t>
  </si>
  <si>
    <t>FONDO CAJA DOLARES N</t>
  </si>
  <si>
    <t>DER. EN FIDEICOMISOS DE INVER.</t>
  </si>
  <si>
    <t>RECAUDOS NACIONALES</t>
  </si>
  <si>
    <t>RECAUDOS DEL EXTERIOR</t>
  </si>
  <si>
    <t>RECAUDOS ASOCIADAS NACIONALES</t>
  </si>
  <si>
    <t>RECAUDO ASOCIADAS DEL EXTERIOR</t>
  </si>
  <si>
    <t>CHD</t>
  </si>
  <si>
    <t>CHEQUE DEVUELTO</t>
  </si>
  <si>
    <t>OTROS INGRESOS</t>
  </si>
  <si>
    <t>TOTAL INGRESOS OPERACIONALES</t>
  </si>
  <si>
    <t>EGRESOS OPERACIONALES</t>
  </si>
  <si>
    <t>PAGOS PROVEEDORES NACIONALES</t>
  </si>
  <si>
    <t>PAGO PROVEEDORES DEL EXTERIOR</t>
  </si>
  <si>
    <t>NACIONALIZACION INVENTARIOS</t>
  </si>
  <si>
    <t>FLETES Y ACARREOS</t>
  </si>
  <si>
    <t>EMPAQUE Y MATERIAL DE EMPAQUE</t>
  </si>
  <si>
    <t>MATERIALES DE MANUFACTURA</t>
  </si>
  <si>
    <t>TOTAL MATERIALES</t>
  </si>
  <si>
    <t>SERVICIOS</t>
  </si>
  <si>
    <t xml:space="preserve"> LUZ Y  AGUA </t>
  </si>
  <si>
    <t>1209,1213</t>
  </si>
  <si>
    <t>SALARIOS Y PRESTACIONES</t>
  </si>
  <si>
    <t>TRABAJOS INTERNOS</t>
  </si>
  <si>
    <t xml:space="preserve"> PRESTAMOS A EMPLEADOS  NETOS</t>
  </si>
  <si>
    <t>TRABAJOS DE ORIGEN EXTERNO</t>
  </si>
  <si>
    <t>TOTAL PERSONAL</t>
  </si>
  <si>
    <t xml:space="preserve"> PUBLICIDAD          </t>
  </si>
  <si>
    <t>SERVICIOS  DE INFRAESTRUCTURA</t>
  </si>
  <si>
    <t>CAPACITACION</t>
  </si>
  <si>
    <t>GASTOS LEGALES</t>
  </si>
  <si>
    <t>LICENCIAS Y PROYECTOS ESPECIALES</t>
  </si>
  <si>
    <t>MANTEMIMIENTO CONSTRUCCIONES</t>
  </si>
  <si>
    <t xml:space="preserve"> MTO EQUIPO        </t>
  </si>
  <si>
    <t xml:space="preserve"> ARRENDAMIENTOS  </t>
  </si>
  <si>
    <t xml:space="preserve"> ALQUILER DE EQUIPOS</t>
  </si>
  <si>
    <t xml:space="preserve"> GASTOS DE VIAJE  </t>
  </si>
  <si>
    <t xml:space="preserve"> GTOS DE ADUANA EXPORTACIONES</t>
  </si>
  <si>
    <t xml:space="preserve"> IMPUESTOS MUNICIPALES    </t>
  </si>
  <si>
    <t xml:space="preserve"> MANTENIMIENTO INSTALACIONES     </t>
  </si>
  <si>
    <t xml:space="preserve"> PORTES TELEX TELEFONO</t>
  </si>
  <si>
    <t xml:space="preserve"> PAPELERIA Y UTILES  </t>
  </si>
  <si>
    <t xml:space="preserve"> ATENCIONES A CLIENTE  </t>
  </si>
  <si>
    <t xml:space="preserve"> DONACIONES            </t>
  </si>
  <si>
    <t xml:space="preserve"> CAJA MENOR     </t>
  </si>
  <si>
    <t xml:space="preserve"> VIVERES               </t>
  </si>
  <si>
    <t xml:space="preserve"> REUNIONES DE PERSONAL         </t>
  </si>
  <si>
    <t xml:space="preserve"> SEGURO INCENDIO Y VARIOS               </t>
  </si>
  <si>
    <t xml:space="preserve"> MANTENIMIENTO DE VEHICULOS      </t>
  </si>
  <si>
    <t xml:space="preserve"> HONORARIOS           </t>
  </si>
  <si>
    <t xml:space="preserve"> HERRAMIENTAS Y EQUIPOS DE SEGURIDAD</t>
  </si>
  <si>
    <t xml:space="preserve"> ASOCIACION Y AFILIACION</t>
  </si>
  <si>
    <t xml:space="preserve"> COMISIONES A TERCEROS </t>
  </si>
  <si>
    <t xml:space="preserve"> COMISIONES BANCARIAS</t>
  </si>
  <si>
    <t xml:space="preserve"> CONTRIBUCION 4 POR MIL</t>
  </si>
  <si>
    <t xml:space="preserve"> REGALIAS</t>
  </si>
  <si>
    <t xml:space="preserve"> HOLDING</t>
  </si>
  <si>
    <t>SECTORIALES (947)</t>
  </si>
  <si>
    <t>EGRESOS ERP</t>
  </si>
  <si>
    <t>OTROS FIJOS (Marcas y patentes, gastos notariales, multas sanciones y litigios)</t>
  </si>
  <si>
    <t>TOTAL GENERALES</t>
  </si>
  <si>
    <t>TOTAL EGRESOS OPERACIONALES</t>
  </si>
  <si>
    <t>FLUJO OPERACIONAL</t>
  </si>
  <si>
    <t>SALDO DE CAJA ANTES DE INVERSIONES</t>
  </si>
  <si>
    <t>INVERSION</t>
  </si>
  <si>
    <t>PAGO  EQUIPOS Y NACIONALIZACION</t>
  </si>
  <si>
    <t>PAGO EQUIPO DE OFICINA</t>
  </si>
  <si>
    <t>PAGO  VEHICULOS</t>
  </si>
  <si>
    <t>EQUPÓS SM21</t>
  </si>
  <si>
    <t>TOTAL INVERSION</t>
  </si>
  <si>
    <t>IMPUESTO DE VENTAS</t>
  </si>
  <si>
    <t>3102,3105</t>
  </si>
  <si>
    <t>IMPUESTO DE RENTA</t>
  </si>
  <si>
    <t>DEVOLUCION DE IVA</t>
  </si>
  <si>
    <t>DEVOLUCION DE RENTA</t>
  </si>
  <si>
    <t>TOTAL IMPUESTOS</t>
  </si>
  <si>
    <t>MOVIMIENTO FINANCIERO</t>
  </si>
  <si>
    <t xml:space="preserve"> FLUJO CAJA ANTES DE MOVIMIENTO FINANCIERO Y PATRIMONIAL</t>
  </si>
  <si>
    <t>DIVIDENDOS</t>
  </si>
  <si>
    <t>RENDIMIENTOS FINANCIEROS</t>
  </si>
  <si>
    <t xml:space="preserve"> DIVIDENDOS RECIBIDOS</t>
  </si>
  <si>
    <t xml:space="preserve">  DIVIDENDOS PAGADOS</t>
  </si>
  <si>
    <t xml:space="preserve">  CAPITALIZACION</t>
  </si>
  <si>
    <t xml:space="preserve">  PAGOS ESPECIALES (INGRESOS) ENTRE ASOCIADAS</t>
  </si>
  <si>
    <t>PERIODO</t>
  </si>
  <si>
    <t>(Todas)</t>
  </si>
  <si>
    <t>SUBTOTAL PATRIMONIO</t>
  </si>
  <si>
    <t>Suma de Valor Presupuesto</t>
  </si>
  <si>
    <t>Cpto Flujo de Efectivo</t>
  </si>
  <si>
    <t>Nombre Cpto Flujo Efectivo</t>
  </si>
  <si>
    <t>OTROS ( sin cargo a la Holding)</t>
  </si>
  <si>
    <t>4102</t>
  </si>
  <si>
    <t>INTERESES LARGO PLAZO</t>
  </si>
  <si>
    <t>PRESTAMOS DE ASOCIADAS (COLOCACION)</t>
  </si>
  <si>
    <t>7102</t>
  </si>
  <si>
    <t>PAGO CUOTA CORRIENTE</t>
  </si>
  <si>
    <t>7104</t>
  </si>
  <si>
    <t>PRESTAMOS DE ENTIDADES FINANCIERAS CP</t>
  </si>
  <si>
    <t>CARTAS DE CREDITO ( INVERSIONES)</t>
  </si>
  <si>
    <t xml:space="preserve">PRESTAMOS DE ENTIDADES FINANCIERAS LARGO PLAZO   </t>
  </si>
  <si>
    <t>Generico</t>
  </si>
  <si>
    <t>DIFERENCIA EN CAMBIO DE CAJA DE LAS INVERSIONES</t>
  </si>
  <si>
    <t>INTERESES CORTO PLAZO</t>
  </si>
  <si>
    <t>PRESTAMOS DE ENTIDADES FINANCIERAS CORTO PLAZO (CREDITOS TESORERIA)</t>
  </si>
  <si>
    <t>SALDO FINAL EFECTIVO</t>
  </si>
  <si>
    <t>BVI</t>
  </si>
  <si>
    <t>BANCO GENERAL SA</t>
  </si>
  <si>
    <t>BANCOLOMBIA PANAMA</t>
  </si>
  <si>
    <t xml:space="preserve">                  ACTV DE RADIO Y T.V.</t>
  </si>
  <si>
    <t xml:space="preserve">                  DE SOCIEDADES ANONIMAS Y ASIMILADAS</t>
  </si>
  <si>
    <t xml:space="preserve">                  HONORARIOS ASESORIA TECNICA</t>
  </si>
  <si>
    <t xml:space="preserve">                  OTROS GASTOS FINANCIEROS</t>
  </si>
  <si>
    <t xml:space="preserve">                  OTROS</t>
  </si>
  <si>
    <t xml:space="preserve">      RECAUDOS NACIONALES</t>
  </si>
  <si>
    <t xml:space="preserve">      RECAUDOS DEL EXTERIOR</t>
  </si>
  <si>
    <t xml:space="preserve">      RECAUDOS ASOCIADAS NACIONALES</t>
  </si>
  <si>
    <t xml:space="preserve">      RECAUDOS ASOCIADAS DEL EXTERIOR</t>
  </si>
  <si>
    <t xml:space="preserve">      OTROS INGRESOS</t>
  </si>
  <si>
    <t xml:space="preserve">  SALDO INICIAL</t>
  </si>
  <si>
    <t>Entrada</t>
  </si>
  <si>
    <t xml:space="preserve">      GASTOS DE VIAJE</t>
  </si>
  <si>
    <t xml:space="preserve">      PAPELERIA Y UTILES</t>
  </si>
  <si>
    <t xml:space="preserve">      HONORARIOS</t>
  </si>
  <si>
    <t xml:space="preserve">      COMISIONES BANCARIAS</t>
  </si>
  <si>
    <t>PROEVEEDORES</t>
  </si>
  <si>
    <t>Salida</t>
  </si>
  <si>
    <t xml:space="preserve">  PAGOS ESPECIALES (INGRESOS) ASOCIADAS</t>
  </si>
  <si>
    <t xml:space="preserve">  DESCAPITALIZACION</t>
  </si>
  <si>
    <t>PRESTAMOS ASOCIADAS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</si>
</sst>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3" formatCode="_-* #,##0.00_-;\-* #,##0.00_-;_-* &quot;-&quot;??_-;_-@_-"/>
    <numFmt numFmtId="164" formatCode="mmm/yyyy"/>
    <numFmt numFmtId="165" formatCode="[$$]\ #,##0.00;\-[$$]\ #,##0.00"/>
    <numFmt numFmtId="166" formatCode="_(* #,##0_);_(* \(#,##0\);_(* &quot;-&quot;??_);_(@_)"/>
    <numFmt numFmtId="167" formatCode="#,##0;[Red]\-#,##0;&quot;-&quot;"/>
    <numFmt numFmtId="168" formatCode="mmmm/yyyy"/>
    <numFmt numFmtId="169" formatCode="[$-F800]dddd\,\ mmmm\ dd\,\ yyyy"/>
    <numFmt numFmtId="170" formatCode="0.0%"/>
    <numFmt numFmtId="171" formatCode="0_);\(0\)"/>
    <numFmt numFmtId="172" formatCode="_(* #,##0.000000000000_);_(* \(#,##0.000000000000\);_(* &quot;-&quot;??_);_(@_)"/>
    <numFmt numFmtId="173" formatCode="_(* #,##0.00000000_);_(* \(#,##0.00000000\);_(* &quot;-&quot;??_);_(@_)"/>
    <numFmt numFmtId="174" formatCode="_-* #,##0_-;\-* #,##0_-;_-* &quot;-&quot;????????_-;_-@_-"/>
    <numFmt numFmtId="175" formatCode="_(* #,##0.00000_);_(* \(#,##0.00000\);_(* &quot;-&quot;????????_);_(@_)"/>
  </numFmts>
  <fonts count="28" x14ac:knownFonts="1">
    <font>
      <sz val="10"/>
      <color theme="1"/>
      <name val="Aptos Narrow"/>
      <family val="2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color theme="2" tint="-0.749992370372631"/>
      <name val="Arial"/>
      <family val="2"/>
    </font>
    <font>
      <sz val="10"/>
      <color rgb="FF3366FF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theme="2" tint="-0.749992370372631"/>
      <name val="Arial"/>
      <family val="2"/>
    </font>
    <font>
      <sz val="10"/>
      <color rgb="FFFF0000"/>
      <name val="Arial"/>
      <family val="2"/>
    </font>
    <font>
      <sz val="9"/>
      <color theme="2" tint="-0.74999237037263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10"/>
      <color indexed="8"/>
      <name val="MS Sans Serif"/>
      <family val="2"/>
    </font>
    <font>
      <sz val="8"/>
      <color theme="2" tint="-0.749992370372631"/>
      <name val="Arial"/>
      <family val="2"/>
    </font>
    <font>
      <sz val="14"/>
      <color theme="2" tint="-0.749992370372631"/>
      <name val="Arial"/>
      <family val="2"/>
    </font>
    <font>
      <sz val="10"/>
      <color indexed="8"/>
      <name val="Calibri"/>
      <family val="2"/>
    </font>
    <font>
      <sz val="8"/>
      <color theme="1"/>
      <name val="Arial"/>
      <family val="2"/>
    </font>
    <font>
      <b/>
      <sz val="8"/>
      <color theme="1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/>
      <right/>
      <top/>
      <bottom style="medium">
        <color auto="1"/>
      </bottom>
      <diagonal/>
    </border>
  </borders>
  <cellStyleXfs count="7">
    <xf numFmtId="0" fontId="0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41" fontId="1" fillId="0" borderId="0" applyFont="0" applyFill="0" applyBorder="0" applyAlignment="0" applyProtection="0"/>
  </cellStyleXfs>
  <cellXfs count="136">
    <xf numFmtId="0" fontId="0" fillId="0" borderId="0" xfId="0"/>
    <xf numFmtId="0" fontId="2" fillId="0" borderId="0" xfId="1" applyFont="1"/>
    <xf numFmtId="0" fontId="3" fillId="0" borderId="0" xfId="1" applyFont="1"/>
    <xf numFmtId="0" fontId="3" fillId="0" borderId="0" xfId="1" applyFont="1" applyAlignment="1">
      <alignment horizontal="left"/>
    </xf>
    <xf numFmtId="164" fontId="4" fillId="0" borderId="0" xfId="1" applyNumberFormat="1" applyFont="1"/>
    <xf numFmtId="1" fontId="2" fillId="0" borderId="0" xfId="1" applyNumberFormat="1" applyFont="1"/>
    <xf numFmtId="165" fontId="2" fillId="0" borderId="0" xfId="2" applyNumberFormat="1" applyFont="1" applyAlignment="1">
      <alignment horizontal="right" vertical="center" wrapText="1"/>
    </xf>
    <xf numFmtId="164" fontId="2" fillId="0" borderId="0" xfId="1" applyNumberFormat="1" applyFont="1"/>
    <xf numFmtId="43" fontId="2" fillId="0" borderId="0" xfId="3" applyFont="1" applyFill="1" applyBorder="1"/>
    <xf numFmtId="0" fontId="6" fillId="0" borderId="0" xfId="1" applyFont="1" applyAlignment="1">
      <alignment horizontal="center" wrapText="1"/>
    </xf>
    <xf numFmtId="0" fontId="6" fillId="0" borderId="0" xfId="1" applyFont="1" applyAlignment="1">
      <alignment vertical="center"/>
    </xf>
    <xf numFmtId="166" fontId="6" fillId="0" borderId="0" xfId="3" applyNumberFormat="1" applyFont="1" applyFill="1" applyBorder="1" applyAlignment="1">
      <alignment horizontal="center" wrapText="1"/>
    </xf>
    <xf numFmtId="0" fontId="6" fillId="0" borderId="0" xfId="1" applyFont="1"/>
    <xf numFmtId="166" fontId="6" fillId="0" borderId="0" xfId="3" applyNumberFormat="1" applyFont="1" applyFill="1" applyBorder="1"/>
    <xf numFmtId="0" fontId="6" fillId="0" borderId="0" xfId="1" applyFont="1" applyAlignment="1">
      <alignment horizontal="center"/>
    </xf>
    <xf numFmtId="0" fontId="7" fillId="0" borderId="0" xfId="1" applyFont="1"/>
    <xf numFmtId="166" fontId="6" fillId="0" borderId="0" xfId="3" applyNumberFormat="1" applyFont="1" applyFill="1" applyBorder="1" applyAlignment="1">
      <alignment horizontal="center"/>
    </xf>
    <xf numFmtId="0" fontId="8" fillId="0" borderId="0" xfId="1" applyFont="1"/>
    <xf numFmtId="0" fontId="6" fillId="0" borderId="0" xfId="1" applyFont="1" applyAlignment="1">
      <alignment horizontal="left"/>
    </xf>
    <xf numFmtId="0" fontId="9" fillId="0" borderId="0" xfId="1" applyFont="1" applyAlignment="1">
      <alignment horizontal="left"/>
    </xf>
    <xf numFmtId="0" fontId="3" fillId="0" borderId="1" xfId="1" applyFont="1" applyBorder="1" applyAlignment="1">
      <alignment horizontal="centerContinuous"/>
    </xf>
    <xf numFmtId="0" fontId="6" fillId="0" borderId="0" xfId="1" applyFont="1" applyAlignment="1">
      <alignment horizontal="right"/>
    </xf>
    <xf numFmtId="0" fontId="6" fillId="0" borderId="0" xfId="1" applyFont="1" applyAlignment="1">
      <alignment wrapText="1"/>
    </xf>
    <xf numFmtId="166" fontId="6" fillId="0" borderId="0" xfId="3" applyNumberFormat="1" applyFont="1" applyFill="1" applyBorder="1" applyAlignment="1"/>
    <xf numFmtId="0" fontId="10" fillId="0" borderId="0" xfId="1" applyFont="1"/>
    <xf numFmtId="0" fontId="6" fillId="0" borderId="1" xfId="1" applyFont="1" applyBorder="1"/>
    <xf numFmtId="0" fontId="6" fillId="0" borderId="1" xfId="1" applyFont="1" applyBorder="1" applyAlignment="1">
      <alignment horizontal="right"/>
    </xf>
    <xf numFmtId="0" fontId="6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1" xfId="1" applyFont="1" applyBorder="1" applyAlignment="1">
      <alignment horizontal="center"/>
    </xf>
    <xf numFmtId="0" fontId="11" fillId="0" borderId="0" xfId="1" applyFont="1"/>
    <xf numFmtId="3" fontId="3" fillId="0" borderId="0" xfId="1" applyNumberFormat="1" applyFont="1" applyAlignment="1">
      <alignment horizontal="right"/>
    </xf>
    <xf numFmtId="9" fontId="6" fillId="0" borderId="0" xfId="4" applyFont="1" applyFill="1" applyBorder="1" applyAlignment="1">
      <alignment horizontal="right"/>
    </xf>
    <xf numFmtId="9" fontId="3" fillId="0" borderId="0" xfId="4" applyFont="1" applyFill="1" applyBorder="1" applyAlignment="1">
      <alignment horizontal="right"/>
    </xf>
    <xf numFmtId="3" fontId="6" fillId="0" borderId="0" xfId="1" applyNumberFormat="1" applyFont="1" applyAlignment="1">
      <alignment horizontal="right"/>
    </xf>
    <xf numFmtId="166" fontId="6" fillId="0" borderId="0" xfId="3" applyNumberFormat="1" applyFont="1" applyFill="1" applyBorder="1" applyAlignment="1">
      <alignment horizontal="right"/>
    </xf>
    <xf numFmtId="9" fontId="6" fillId="0" borderId="0" xfId="4" applyFont="1" applyFill="1" applyBorder="1" applyAlignment="1">
      <alignment horizontal="center"/>
    </xf>
    <xf numFmtId="49" fontId="11" fillId="0" borderId="0" xfId="1" applyNumberFormat="1" applyFont="1"/>
    <xf numFmtId="49" fontId="12" fillId="0" borderId="0" xfId="1" applyNumberFormat="1" applyFont="1"/>
    <xf numFmtId="3" fontId="6" fillId="0" borderId="0" xfId="1" applyNumberFormat="1" applyFont="1"/>
    <xf numFmtId="167" fontId="3" fillId="0" borderId="0" xfId="4" applyNumberFormat="1" applyFont="1" applyFill="1" applyBorder="1" applyAlignment="1">
      <alignment horizontal="right"/>
    </xf>
    <xf numFmtId="0" fontId="13" fillId="0" borderId="0" xfId="1" applyFont="1" applyAlignment="1">
      <alignment horizontal="left"/>
    </xf>
    <xf numFmtId="3" fontId="13" fillId="0" borderId="0" xfId="1" applyNumberFormat="1" applyFont="1" applyAlignment="1">
      <alignment horizontal="right"/>
    </xf>
    <xf numFmtId="9" fontId="13" fillId="0" borderId="0" xfId="4" applyFont="1" applyFill="1" applyBorder="1" applyAlignment="1">
      <alignment horizontal="right"/>
    </xf>
    <xf numFmtId="9" fontId="9" fillId="0" borderId="0" xfId="4" applyFont="1" applyFill="1" applyBorder="1" applyAlignment="1">
      <alignment horizontal="right"/>
    </xf>
    <xf numFmtId="167" fontId="6" fillId="0" borderId="0" xfId="1" applyNumberFormat="1" applyFont="1" applyAlignment="1">
      <alignment horizontal="left"/>
    </xf>
    <xf numFmtId="166" fontId="13" fillId="0" borderId="0" xfId="3" applyNumberFormat="1" applyFont="1" applyFill="1" applyBorder="1" applyAlignment="1">
      <alignment horizontal="right"/>
    </xf>
    <xf numFmtId="9" fontId="13" fillId="0" borderId="0" xfId="4" applyFont="1" applyFill="1" applyBorder="1" applyAlignment="1">
      <alignment horizontal="center"/>
    </xf>
    <xf numFmtId="0" fontId="11" fillId="0" borderId="0" xfId="1" applyFont="1" applyAlignment="1">
      <alignment horizont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center" wrapText="1"/>
    </xf>
    <xf numFmtId="166" fontId="3" fillId="0" borderId="0" xfId="3" applyNumberFormat="1" applyFont="1" applyFill="1" applyBorder="1" applyAlignment="1">
      <alignment horizontal="center" wrapText="1"/>
    </xf>
    <xf numFmtId="166" fontId="3" fillId="0" borderId="0" xfId="3" applyNumberFormat="1" applyFont="1" applyFill="1" applyBorder="1"/>
    <xf numFmtId="0" fontId="3" fillId="0" borderId="0" xfId="1" applyFont="1" applyAlignment="1">
      <alignment horizontal="center"/>
    </xf>
    <xf numFmtId="3" fontId="3" fillId="0" borderId="0" xfId="1" applyNumberFormat="1" applyFont="1"/>
    <xf numFmtId="168" fontId="3" fillId="0" borderId="0" xfId="1" applyNumberFormat="1" applyFont="1" applyAlignment="1">
      <alignment horizontal="centerContinuous"/>
    </xf>
    <xf numFmtId="168" fontId="3" fillId="0" borderId="0" xfId="1" applyNumberFormat="1" applyFont="1" applyAlignment="1">
      <alignment horizontal="center"/>
    </xf>
    <xf numFmtId="166" fontId="3" fillId="0" borderId="0" xfId="3" applyNumberFormat="1" applyFont="1" applyFill="1" applyBorder="1" applyAlignment="1">
      <alignment horizontal="center"/>
    </xf>
    <xf numFmtId="169" fontId="3" fillId="0" borderId="0" xfId="1" applyNumberFormat="1" applyFont="1" applyAlignment="1">
      <alignment horizontal="centerContinuous"/>
    </xf>
    <xf numFmtId="0" fontId="11" fillId="0" borderId="0" xfId="1" applyFont="1" applyAlignment="1">
      <alignment horizontal="right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right" wrapText="1"/>
    </xf>
    <xf numFmtId="166" fontId="3" fillId="0" borderId="0" xfId="3" applyNumberFormat="1" applyFont="1" applyFill="1" applyBorder="1" applyAlignment="1">
      <alignment horizontal="right"/>
    </xf>
    <xf numFmtId="3" fontId="11" fillId="0" borderId="0" xfId="1" quotePrefix="1" applyNumberFormat="1" applyFont="1"/>
    <xf numFmtId="0" fontId="3" fillId="0" borderId="1" xfId="1" applyFont="1" applyBorder="1" applyAlignment="1">
      <alignment horizontal="left"/>
    </xf>
    <xf numFmtId="0" fontId="3" fillId="0" borderId="1" xfId="1" applyFont="1" applyBorder="1" applyAlignment="1">
      <alignment horizontal="right"/>
    </xf>
    <xf numFmtId="166" fontId="3" fillId="0" borderId="0" xfId="3" applyNumberFormat="1" applyFont="1" applyFill="1" applyBorder="1" applyAlignment="1"/>
    <xf numFmtId="9" fontId="3" fillId="0" borderId="0" xfId="4" applyFont="1" applyFill="1" applyBorder="1" applyAlignment="1">
      <alignment horizontal="center"/>
    </xf>
    <xf numFmtId="3" fontId="9" fillId="0" borderId="0" xfId="1" applyNumberFormat="1" applyFont="1" applyAlignment="1">
      <alignment horizontal="right"/>
    </xf>
    <xf numFmtId="49" fontId="11" fillId="0" borderId="0" xfId="5" applyNumberFormat="1" applyFont="1"/>
    <xf numFmtId="166" fontId="9" fillId="0" borderId="0" xfId="3" applyNumberFormat="1" applyFont="1" applyFill="1" applyBorder="1" applyAlignment="1">
      <alignment horizontal="right"/>
    </xf>
    <xf numFmtId="9" fontId="9" fillId="0" borderId="0" xfId="4" applyFont="1" applyFill="1" applyBorder="1" applyAlignment="1">
      <alignment horizontal="center"/>
    </xf>
    <xf numFmtId="3" fontId="3" fillId="0" borderId="0" xfId="1" applyNumberFormat="1" applyFont="1" applyAlignment="1">
      <alignment horizontal="center"/>
    </xf>
    <xf numFmtId="166" fontId="9" fillId="0" borderId="0" xfId="1" applyNumberFormat="1" applyFont="1"/>
    <xf numFmtId="3" fontId="11" fillId="0" borderId="0" xfId="1" applyNumberFormat="1" applyFont="1"/>
    <xf numFmtId="166" fontId="3" fillId="0" borderId="0" xfId="1" applyNumberFormat="1" applyFont="1"/>
    <xf numFmtId="0" fontId="15" fillId="0" borderId="0" xfId="1" applyFont="1" applyAlignment="1">
      <alignment horizontal="center" wrapText="1"/>
    </xf>
    <xf numFmtId="0" fontId="15" fillId="0" borderId="0" xfId="1" applyFont="1"/>
    <xf numFmtId="0" fontId="9" fillId="0" borderId="0" xfId="1" applyFont="1"/>
    <xf numFmtId="49" fontId="15" fillId="0" borderId="0" xfId="1" applyNumberFormat="1" applyFont="1"/>
    <xf numFmtId="166" fontId="9" fillId="0" borderId="0" xfId="3" applyNumberFormat="1" applyFont="1" applyFill="1" applyBorder="1"/>
    <xf numFmtId="0" fontId="8" fillId="0" borderId="0" xfId="1" applyFont="1" applyAlignment="1">
      <alignment horizontal="center" wrapText="1"/>
    </xf>
    <xf numFmtId="43" fontId="6" fillId="0" borderId="0" xfId="1" applyNumberFormat="1" applyFont="1"/>
    <xf numFmtId="170" fontId="6" fillId="0" borderId="0" xfId="4" applyNumberFormat="1" applyFont="1" applyFill="1" applyBorder="1"/>
    <xf numFmtId="17" fontId="6" fillId="0" borderId="0" xfId="1" applyNumberFormat="1" applyFont="1"/>
    <xf numFmtId="0" fontId="6" fillId="0" borderId="2" xfId="1" applyFont="1" applyBorder="1" applyAlignment="1">
      <alignment horizontal="centerContinuous"/>
    </xf>
    <xf numFmtId="0" fontId="6" fillId="0" borderId="2" xfId="1" applyFont="1" applyBorder="1"/>
    <xf numFmtId="0" fontId="6" fillId="0" borderId="2" xfId="1" applyFont="1" applyBorder="1" applyAlignment="1">
      <alignment horizontal="right"/>
    </xf>
    <xf numFmtId="171" fontId="6" fillId="0" borderId="0" xfId="3" applyNumberFormat="1" applyFont="1" applyFill="1" applyBorder="1" applyAlignment="1">
      <alignment horizontal="right"/>
    </xf>
    <xf numFmtId="0" fontId="16" fillId="0" borderId="0" xfId="1" applyFont="1"/>
    <xf numFmtId="17" fontId="3" fillId="0" borderId="0" xfId="1" applyNumberFormat="1" applyFont="1"/>
    <xf numFmtId="0" fontId="6" fillId="0" borderId="0" xfId="1" applyFont="1" applyAlignment="1">
      <alignment horizontal="centerContinuous"/>
    </xf>
    <xf numFmtId="1" fontId="3" fillId="0" borderId="0" xfId="1" applyNumberFormat="1" applyFont="1" applyAlignment="1">
      <alignment horizontal="left"/>
    </xf>
    <xf numFmtId="49" fontId="3" fillId="0" borderId="0" xfId="1" applyNumberFormat="1" applyFont="1"/>
    <xf numFmtId="166" fontId="3" fillId="0" borderId="0" xfId="1" applyNumberFormat="1" applyFont="1" applyAlignment="1">
      <alignment horizontal="right"/>
    </xf>
    <xf numFmtId="9" fontId="3" fillId="0" borderId="0" xfId="4" applyFont="1" applyFill="1" applyBorder="1" applyAlignment="1"/>
    <xf numFmtId="170" fontId="3" fillId="0" borderId="0" xfId="4" applyNumberFormat="1" applyFont="1" applyFill="1" applyBorder="1" applyAlignment="1"/>
    <xf numFmtId="3" fontId="9" fillId="0" borderId="0" xfId="1" applyNumberFormat="1" applyFont="1"/>
    <xf numFmtId="166" fontId="3" fillId="0" borderId="0" xfId="3" applyNumberFormat="1" applyFont="1" applyFill="1" applyBorder="1" applyAlignment="1">
      <alignment horizontal="left"/>
    </xf>
    <xf numFmtId="0" fontId="6" fillId="0" borderId="1" xfId="1" applyFont="1" applyBorder="1" applyAlignment="1">
      <alignment horizontal="centerContinuous"/>
    </xf>
    <xf numFmtId="3" fontId="17" fillId="0" borderId="0" xfId="1" applyNumberFormat="1" applyFont="1" applyAlignment="1">
      <alignment horizontal="center" vertical="center" wrapText="1"/>
    </xf>
    <xf numFmtId="43" fontId="3" fillId="0" borderId="0" xfId="1" applyNumberFormat="1" applyFont="1"/>
    <xf numFmtId="172" fontId="3" fillId="0" borderId="0" xfId="3" applyNumberFormat="1" applyFont="1" applyFill="1" applyBorder="1"/>
    <xf numFmtId="1" fontId="3" fillId="0" borderId="0" xfId="1" applyNumberFormat="1" applyFont="1"/>
    <xf numFmtId="0" fontId="18" fillId="0" borderId="0" xfId="1" applyFont="1"/>
    <xf numFmtId="43" fontId="18" fillId="0" borderId="0" xfId="3" applyFont="1"/>
    <xf numFmtId="0" fontId="1" fillId="0" borderId="0" xfId="1"/>
    <xf numFmtId="0" fontId="18" fillId="0" borderId="0" xfId="1" applyFont="1" applyAlignment="1">
      <alignment wrapText="1"/>
    </xf>
    <xf numFmtId="173" fontId="19" fillId="0" borderId="0" xfId="3" applyNumberFormat="1" applyFont="1"/>
    <xf numFmtId="174" fontId="1" fillId="0" borderId="0" xfId="1" applyNumberFormat="1"/>
    <xf numFmtId="166" fontId="0" fillId="0" borderId="0" xfId="3" applyNumberFormat="1" applyFont="1"/>
    <xf numFmtId="43" fontId="19" fillId="0" borderId="0" xfId="3" applyFont="1"/>
    <xf numFmtId="166" fontId="18" fillId="0" borderId="0" xfId="3" applyNumberFormat="1" applyFont="1"/>
    <xf numFmtId="175" fontId="18" fillId="0" borderId="0" xfId="1" applyNumberFormat="1" applyFont="1"/>
    <xf numFmtId="0" fontId="3" fillId="0" borderId="0" xfId="1" applyFont="1" applyAlignment="1">
      <alignment horizontal="centerContinuous"/>
    </xf>
    <xf numFmtId="2" fontId="3" fillId="0" borderId="0" xfId="1" applyNumberFormat="1" applyFont="1" applyAlignment="1">
      <alignment horizontal="center"/>
    </xf>
    <xf numFmtId="3" fontId="8" fillId="0" borderId="0" xfId="1" applyNumberFormat="1" applyFont="1" applyAlignment="1">
      <alignment horizontal="right"/>
    </xf>
    <xf numFmtId="49" fontId="22" fillId="0" borderId="0" xfId="1" applyNumberFormat="1" applyFont="1"/>
    <xf numFmtId="0" fontId="23" fillId="0" borderId="0" xfId="5" applyFont="1" applyAlignment="1">
      <alignment vertical="center"/>
    </xf>
    <xf numFmtId="0" fontId="22" fillId="0" borderId="0" xfId="1" applyFont="1"/>
    <xf numFmtId="0" fontId="24" fillId="0" borderId="0" xfId="1" applyFont="1"/>
    <xf numFmtId="41" fontId="22" fillId="0" borderId="0" xfId="6" applyFont="1"/>
    <xf numFmtId="49" fontId="25" fillId="0" borderId="0" xfId="5" applyNumberFormat="1" applyFont="1"/>
    <xf numFmtId="49" fontId="23" fillId="0" borderId="0" xfId="5" applyNumberFormat="1" applyFont="1"/>
    <xf numFmtId="0" fontId="26" fillId="0" borderId="0" xfId="5" applyFont="1" applyAlignment="1">
      <alignment vertical="center"/>
    </xf>
    <xf numFmtId="166" fontId="22" fillId="0" borderId="0" xfId="3" applyNumberFormat="1" applyFont="1"/>
    <xf numFmtId="166" fontId="22" fillId="0" borderId="0" xfId="1" applyNumberFormat="1" applyFont="1"/>
    <xf numFmtId="49" fontId="22" fillId="2" borderId="0" xfId="1" applyNumberFormat="1" applyFont="1" applyFill="1"/>
    <xf numFmtId="3" fontId="22" fillId="0" borderId="0" xfId="1" applyNumberFormat="1" applyFont="1"/>
    <xf numFmtId="43" fontId="22" fillId="0" borderId="0" xfId="1" applyNumberFormat="1" applyFont="1"/>
    <xf numFmtId="41" fontId="22" fillId="0" borderId="0" xfId="1" applyNumberFormat="1" applyFont="1"/>
    <xf numFmtId="49" fontId="27" fillId="0" borderId="0" xfId="5" applyNumberFormat="1" applyFont="1"/>
    <xf numFmtId="0" fontId="24" fillId="2" borderId="0" xfId="1" applyFont="1" applyFill="1"/>
    <xf numFmtId="0" fontId="22" fillId="2" borderId="0" xfId="1" applyFont="1" applyFill="1"/>
    <xf numFmtId="0" fontId="25" fillId="0" borderId="0" xfId="1" applyFont="1" applyAlignment="1">
      <alignment vertical="center"/>
    </xf>
    <xf numFmtId="0" fontId="25" fillId="0" borderId="0" xfId="1" applyFont="1" applyAlignment="1">
      <alignment horizontal="left" vertical="center"/>
    </xf>
  </cellXfs>
  <cellStyles count="7">
    <cellStyle name="Millares [0] 2" xfId="6" xr:uid="{800549D8-3779-4A90-B3B6-69863DF9B14D}"/>
    <cellStyle name="Millares 2" xfId="3" xr:uid="{6E706FBF-5EE8-4E8B-B372-51BB3F01A66D}"/>
    <cellStyle name="Normal" xfId="0" builtinId="0"/>
    <cellStyle name="Normal 2" xfId="1" xr:uid="{E4EFC2EB-2EB2-48F8-83E4-9DE2298F1299}"/>
    <cellStyle name="Normal 2 2" xfId="5" xr:uid="{65E00A33-09E8-4C77-96C0-637827778CB6}"/>
    <cellStyle name="Normal 3" xfId="2" xr:uid="{6A86795A-E74A-44C3-8111-033305A6286A}"/>
    <cellStyle name="Porcentaje 2" xfId="4" xr:uid="{88F7DCBC-065E-45BE-B26E-624118DE8D7F}"/>
  </cellStyles>
  <dxfs count="69"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533400</xdr:colOff>
      <xdr:row>0</xdr:row>
      <xdr:rowOff>219075</xdr:rowOff>
    </xdr:from>
    <xdr:to>
      <xdr:col>41</xdr:col>
      <xdr:colOff>251003</xdr:colOff>
      <xdr:row>8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EE812A-3F3A-46CF-9E29-AC498AE47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22725" y="219075"/>
          <a:ext cx="3527603" cy="1504950"/>
        </a:xfrm>
        <a:prstGeom prst="rect">
          <a:avLst/>
        </a:prstGeom>
      </xdr:spPr>
    </xdr:pic>
    <xdr:clientData/>
  </xdr:twoCellAnchor>
  <xdr:twoCellAnchor editAs="oneCell">
    <xdr:from>
      <xdr:col>41</xdr:col>
      <xdr:colOff>419101</xdr:colOff>
      <xdr:row>1</xdr:row>
      <xdr:rowOff>104776</xdr:rowOff>
    </xdr:from>
    <xdr:to>
      <xdr:col>46</xdr:col>
      <xdr:colOff>514351</xdr:colOff>
      <xdr:row>10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977D68-2402-4ACD-80BD-04226C7B0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118426" y="342901"/>
          <a:ext cx="3905250" cy="1562100"/>
        </a:xfrm>
        <a:prstGeom prst="rect">
          <a:avLst/>
        </a:prstGeom>
      </xdr:spPr>
    </xdr:pic>
    <xdr:clientData/>
  </xdr:twoCellAnchor>
  <xdr:twoCellAnchor editAs="oneCell">
    <xdr:from>
      <xdr:col>46</xdr:col>
      <xdr:colOff>723899</xdr:colOff>
      <xdr:row>1</xdr:row>
      <xdr:rowOff>64439</xdr:rowOff>
    </xdr:from>
    <xdr:to>
      <xdr:col>51</xdr:col>
      <xdr:colOff>437464</xdr:colOff>
      <xdr:row>10</xdr:row>
      <xdr:rowOff>9212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6D7EDD-BF57-4488-9297-E2C1B019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233224" y="302564"/>
          <a:ext cx="3523565" cy="1611648"/>
        </a:xfrm>
        <a:prstGeom prst="rect">
          <a:avLst/>
        </a:prstGeom>
      </xdr:spPr>
    </xdr:pic>
    <xdr:clientData/>
  </xdr:twoCellAnchor>
  <xdr:twoCellAnchor editAs="oneCell">
    <xdr:from>
      <xdr:col>37</xdr:col>
      <xdr:colOff>9525</xdr:colOff>
      <xdr:row>11</xdr:row>
      <xdr:rowOff>76201</xdr:rowOff>
    </xdr:from>
    <xdr:to>
      <xdr:col>40</xdr:col>
      <xdr:colOff>104775</xdr:colOff>
      <xdr:row>26</xdr:row>
      <xdr:rowOff>5038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0C68E2A-71C7-4B4C-9365-461ECEFB8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660850" y="2143126"/>
          <a:ext cx="2381250" cy="2357712"/>
        </a:xfrm>
        <a:prstGeom prst="rect">
          <a:avLst/>
        </a:prstGeom>
      </xdr:spPr>
    </xdr:pic>
    <xdr:clientData/>
  </xdr:twoCellAnchor>
  <xdr:twoCellAnchor editAs="oneCell">
    <xdr:from>
      <xdr:col>41</xdr:col>
      <xdr:colOff>180975</xdr:colOff>
      <xdr:row>11</xdr:row>
      <xdr:rowOff>152400</xdr:rowOff>
    </xdr:from>
    <xdr:to>
      <xdr:col>46</xdr:col>
      <xdr:colOff>491142</xdr:colOff>
      <xdr:row>24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4C1D487-91EF-4B09-9E5C-8944473FC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880300" y="2219325"/>
          <a:ext cx="4120167" cy="2095500"/>
        </a:xfrm>
        <a:prstGeom prst="rect">
          <a:avLst/>
        </a:prstGeom>
      </xdr:spPr>
    </xdr:pic>
    <xdr:clientData/>
  </xdr:twoCellAnchor>
  <xdr:twoCellAnchor editAs="oneCell">
    <xdr:from>
      <xdr:col>47</xdr:col>
      <xdr:colOff>676275</xdr:colOff>
      <xdr:row>11</xdr:row>
      <xdr:rowOff>47626</xdr:rowOff>
    </xdr:from>
    <xdr:to>
      <xdr:col>53</xdr:col>
      <xdr:colOff>257175</xdr:colOff>
      <xdr:row>25</xdr:row>
      <xdr:rowOff>83965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69A353D-CFFD-4CB8-B218-869E6ACF3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947600" y="2114551"/>
          <a:ext cx="4152900" cy="2303289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47626</xdr:colOff>
      <xdr:row>10</xdr:row>
      <xdr:rowOff>76201</xdr:rowOff>
    </xdr:from>
    <xdr:to>
      <xdr:col>60</xdr:col>
      <xdr:colOff>143368</xdr:colOff>
      <xdr:row>26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E2D4A1E-D10C-4274-A5BA-5420BF092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652951" y="1981201"/>
          <a:ext cx="4667742" cy="2600324"/>
        </a:xfrm>
        <a:prstGeom prst="rect">
          <a:avLst/>
        </a:prstGeom>
      </xdr:spPr>
    </xdr:pic>
    <xdr:clientData/>
  </xdr:twoCellAnchor>
  <xdr:twoCellAnchor editAs="oneCell">
    <xdr:from>
      <xdr:col>60</xdr:col>
      <xdr:colOff>247650</xdr:colOff>
      <xdr:row>11</xdr:row>
      <xdr:rowOff>37299</xdr:rowOff>
    </xdr:from>
    <xdr:to>
      <xdr:col>65</xdr:col>
      <xdr:colOff>628650</xdr:colOff>
      <xdr:row>25</xdr:row>
      <xdr:rowOff>130797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EBE88C3-BD0F-470B-8AFB-8CD4967FC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424975" y="2104224"/>
          <a:ext cx="4191000" cy="2360448"/>
        </a:xfrm>
        <a:prstGeom prst="rect">
          <a:avLst/>
        </a:prstGeom>
      </xdr:spPr>
    </xdr:pic>
    <xdr:clientData/>
  </xdr:twoCellAnchor>
  <xdr:twoCellAnchor editAs="oneCell">
    <xdr:from>
      <xdr:col>66</xdr:col>
      <xdr:colOff>457200</xdr:colOff>
      <xdr:row>12</xdr:row>
      <xdr:rowOff>1</xdr:rowOff>
    </xdr:from>
    <xdr:to>
      <xdr:col>72</xdr:col>
      <xdr:colOff>142875</xdr:colOff>
      <xdr:row>25</xdr:row>
      <xdr:rowOff>129324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ECA7C4D-5072-4342-8510-80571CAE9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206525" y="2228851"/>
          <a:ext cx="4257675" cy="2234348"/>
        </a:xfrm>
        <a:prstGeom prst="rect">
          <a:avLst/>
        </a:prstGeom>
      </xdr:spPr>
    </xdr:pic>
    <xdr:clientData/>
  </xdr:twoCellAnchor>
  <xdr:twoCellAnchor editAs="oneCell">
    <xdr:from>
      <xdr:col>72</xdr:col>
      <xdr:colOff>466725</xdr:colOff>
      <xdr:row>12</xdr:row>
      <xdr:rowOff>47625</xdr:rowOff>
    </xdr:from>
    <xdr:to>
      <xdr:col>77</xdr:col>
      <xdr:colOff>532562</xdr:colOff>
      <xdr:row>25</xdr:row>
      <xdr:rowOff>109319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24EF1287-E838-465E-BF40-400D631D0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788050" y="2276475"/>
          <a:ext cx="3875837" cy="2166719"/>
        </a:xfrm>
        <a:prstGeom prst="rect">
          <a:avLst/>
        </a:prstGeom>
      </xdr:spPr>
    </xdr:pic>
    <xdr:clientData/>
  </xdr:twoCellAnchor>
  <xdr:twoCellAnchor editAs="oneCell">
    <xdr:from>
      <xdr:col>78</xdr:col>
      <xdr:colOff>0</xdr:colOff>
      <xdr:row>13</xdr:row>
      <xdr:rowOff>0</xdr:rowOff>
    </xdr:from>
    <xdr:to>
      <xdr:col>82</xdr:col>
      <xdr:colOff>633609</xdr:colOff>
      <xdr:row>25</xdr:row>
      <xdr:rowOff>83090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547BE24E-B121-4A8B-B18B-05A63AFAB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893325" y="2390775"/>
          <a:ext cx="3681609" cy="2026190"/>
        </a:xfrm>
        <a:prstGeom prst="rect">
          <a:avLst/>
        </a:prstGeom>
      </xdr:spPr>
    </xdr:pic>
    <xdr:clientData/>
  </xdr:twoCellAnchor>
  <xdr:twoCellAnchor editAs="oneCell">
    <xdr:from>
      <xdr:col>44</xdr:col>
      <xdr:colOff>685801</xdr:colOff>
      <xdr:row>62</xdr:row>
      <xdr:rowOff>66675</xdr:rowOff>
    </xdr:from>
    <xdr:to>
      <xdr:col>48</xdr:col>
      <xdr:colOff>628651</xdr:colOff>
      <xdr:row>71</xdr:row>
      <xdr:rowOff>129933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7F260BF-D46B-4AC6-9026-5FA7AF469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671126" y="11268075"/>
          <a:ext cx="2990850" cy="1634883"/>
        </a:xfrm>
        <a:prstGeom prst="rect">
          <a:avLst/>
        </a:prstGeom>
      </xdr:spPr>
    </xdr:pic>
    <xdr:clientData/>
  </xdr:twoCellAnchor>
  <xdr:twoCellAnchor editAs="oneCell">
    <xdr:from>
      <xdr:col>49</xdr:col>
      <xdr:colOff>285749</xdr:colOff>
      <xdr:row>61</xdr:row>
      <xdr:rowOff>247651</xdr:rowOff>
    </xdr:from>
    <xdr:to>
      <xdr:col>53</xdr:col>
      <xdr:colOff>418280</xdr:colOff>
      <xdr:row>72</xdr:row>
      <xdr:rowOff>11660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32B5002-2536-451A-9D19-89C340FA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081074" y="11153776"/>
          <a:ext cx="3180531" cy="182140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utierrez Rodriguez" refreshedDate="45212.644313773148" createdVersion="3" refreshedVersion="8" minRefreshableVersion="3" recordCount="23" xr:uid="{BDF99CFB-2499-43CF-8852-569008CFDCB5}">
  <cacheSource type="external" connectionId="3"/>
  <cacheFields count="33">
    <cacheField name="PERIODO" numFmtId="0">
      <sharedItems containsSemiMixedTypes="0" containsString="0" containsNumber="1" containsInteger="1" minValue="201909" maxValue="202309" count="10">
        <n v="202301"/>
        <n v="202302"/>
        <n v="202305"/>
        <n v="202307"/>
        <n v="202309"/>
        <n v="202303"/>
        <n v="202304"/>
        <n v="202306"/>
        <n v="202308"/>
        <n v="201909" u="1"/>
      </sharedItems>
    </cacheField>
    <cacheField name="Plan Presupuestal" numFmtId="0">
      <sharedItems count="1">
        <s v="001"/>
      </sharedItems>
    </cacheField>
    <cacheField name="Nombre Plan Presupuestal" numFmtId="0">
      <sharedItems count="1">
        <s v="REAL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pto Flujo de Efectivo" numFmtId="0">
      <sharedItems count="4">
        <s v="7104"/>
        <s v="7102"/>
        <s v="4102"/>
        <s v="7105" u="1"/>
      </sharedItems>
    </cacheField>
    <cacheField name="Nombre Cpto Flujo Efectivo" numFmtId="0">
      <sharedItems count="4">
        <s v="PRESTAMOS DE ENTIDADES FINANCIERAS CP"/>
        <s v="PAGO CUOTA CORRIENTE"/>
        <s v="INTERESES LARGO PLAZO"/>
        <s v="PRESTAMOS ENTIDADES FINANCIERAS LP" u="1"/>
      </sharedItems>
    </cacheField>
    <cacheField name="Cpto Mayor Flujo Efectivo" numFmtId="0">
      <sharedItems count="2">
        <s v="7"/>
        <s v="4"/>
      </sharedItems>
    </cacheField>
    <cacheField name="CPTO_FE_N1" numFmtId="0">
      <sharedItems count="2">
        <s v="7"/>
        <s v="4"/>
      </sharedItems>
    </cacheField>
    <cacheField name="Nombre Cpto FE N1" numFmtId="0">
      <sharedItems count="2">
        <s v="ACTIVIDADES DE FINANCIACION"/>
        <s v="MOVIMIENTO FINANCIERO"/>
      </sharedItems>
    </cacheField>
    <cacheField name="CPTO_FE_N2" numFmtId="0">
      <sharedItems count="3">
        <s v="7104"/>
        <s v="7102"/>
        <s v="4102"/>
      </sharedItems>
    </cacheField>
    <cacheField name="Nombre Cpto FE N2" numFmtId="0">
      <sharedItems count="3">
        <s v="PRESTAMOS DE ENTIDADES FINANCIERAS CP"/>
        <s v="PAGO CUOTA CORRIENTE"/>
        <s v="INTERESES LARGO PLAZO"/>
      </sharedItems>
    </cacheField>
    <cacheField name="CPTO_FE_N3" numFmtId="0">
      <sharedItems count="3">
        <s v="7104"/>
        <s v="7102"/>
        <s v="4102"/>
      </sharedItems>
    </cacheField>
    <cacheField name="Nombre Cpto FE N3" numFmtId="0">
      <sharedItems count="3">
        <s v="PRESTAMOS DE ENTIDADES FINANCIERAS CP"/>
        <s v="PAGO CUOTA CORRIENTE"/>
        <s v="INTERESES LARGO PLAZO"/>
      </sharedItems>
    </cacheField>
    <cacheField name="CPTO_FE_N4" numFmtId="0">
      <sharedItems count="3">
        <s v="7104"/>
        <s v="7102"/>
        <s v="4102"/>
      </sharedItems>
    </cacheField>
    <cacheField name="Nombre Cpto FE N4" numFmtId="0">
      <sharedItems count="3">
        <s v="PRESTAMOS DE ENTIDADES FINANCIERAS CP"/>
        <s v="PAGO CUOTA CORRIENTE"/>
        <s v="INTERESES LARGO PLAZO"/>
      </sharedItems>
    </cacheField>
    <cacheField name="CPTO_FE_N5" numFmtId="0">
      <sharedItems count="3">
        <s v="7104"/>
        <s v="7102"/>
        <s v="4102"/>
      </sharedItems>
    </cacheField>
    <cacheField name="Nombre Cpto FE N5" numFmtId="0">
      <sharedItems count="3">
        <s v="PRESTAMOS DE ENTIDADES FINANCIERAS CP"/>
        <s v="PAGO CUOTA CORRIENTE"/>
        <s v="INTERESES LARGO PLAZO"/>
      </sharedItems>
    </cacheField>
    <cacheField name="CPTO_FE_N6" numFmtId="0">
      <sharedItems count="3">
        <s v="7104"/>
        <s v="7102"/>
        <s v="4102"/>
      </sharedItems>
    </cacheField>
    <cacheField name="Nombre Cpto FE N6" numFmtId="0">
      <sharedItems count="3">
        <s v="PRESTAMOS DE ENTIDADES FINANCIERAS CP"/>
        <s v="PAGO CUOTA CORRIENTE"/>
        <s v="INTERESES LARGO PLAZO"/>
      </sharedItems>
    </cacheField>
    <cacheField name="CPTO_FE_N7" numFmtId="0">
      <sharedItems count="3">
        <s v="7104"/>
        <s v="7102"/>
        <s v="4102"/>
      </sharedItems>
    </cacheField>
    <cacheField name="Nombre Cpto FE N7" numFmtId="0">
      <sharedItems count="3">
        <s v="PRESTAMOS DE ENTIDADES FINANCIERAS CP"/>
        <s v="PAGO CUOTA CORRIENTE"/>
        <s v="INTERESES LARGO PLAZO"/>
      </sharedItems>
    </cacheField>
    <cacheField name="CPTO_FE_N8" numFmtId="0">
      <sharedItems count="3">
        <s v="7104"/>
        <s v="7102"/>
        <s v="4102"/>
      </sharedItems>
    </cacheField>
    <cacheField name="Nombre Cpto FE N8" numFmtId="0">
      <sharedItems count="3">
        <s v="PRESTAMOS DE ENTIDADES FINANCIERAS CP"/>
        <s v="PAGO CUOTA CORRIENTE"/>
        <s v="INTERESES LARGO PLAZO"/>
      </sharedItems>
    </cacheField>
    <cacheField name="Centro de Operacion" numFmtId="0">
      <sharedItems count="1">
        <s v="450"/>
      </sharedItems>
    </cacheField>
    <cacheField name="Nombre Centro de Operacion" numFmtId="0">
      <sharedItems count="1">
        <s v="ADMINSTRATIVO"/>
      </sharedItems>
    </cacheField>
    <cacheField name="REGIONAL" numFmtId="0">
      <sharedItems count="1">
        <s v="00"/>
      </sharedItems>
    </cacheField>
    <cacheField name="nombre Regional" numFmtId="0">
      <sharedItems count="1">
        <s v="ADMINISTRATIVOS"/>
      </sharedItems>
    </cacheField>
    <cacheField name="Unidad de Negocio" numFmtId="0">
      <sharedItems count="1">
        <s v="00"/>
      </sharedItems>
    </cacheField>
    <cacheField name="nombre Unidad de Negocio" numFmtId="0">
      <sharedItems count="1">
        <s v="ADMINISTRATIVA FICIERA"/>
      </sharedItems>
    </cacheField>
    <cacheField name="FECHA" numFmtId="0">
      <sharedItems containsString="0" containsBlank="1" count="1">
        <m/>
      </sharedItems>
    </cacheField>
    <cacheField name="AÑO" numFmtId="0">
      <sharedItems containsSemiMixedTypes="0" containsString="0" containsNumber="1" containsInteger="1" minValue="2023" maxValue="2023" count="1">
        <n v="2023"/>
      </sharedItems>
    </cacheField>
    <cacheField name="Valor Presupuesto" numFmtId="0">
      <sharedItems containsSemiMixedTypes="0" containsString="0" containsNumber="1" containsInteger="1" minValue="10000000" maxValue="290000000" count="23">
        <n v="10000000"/>
        <n v="155000000"/>
        <n v="290000000"/>
        <n v="50000000"/>
        <n v="55000000"/>
        <n v="94000000"/>
        <n v="77063000"/>
        <n v="77062000"/>
        <n v="66944000"/>
        <n v="74923000"/>
        <n v="74840000"/>
        <n v="75359000"/>
        <n v="74958000"/>
        <n v="76042000"/>
        <n v="44007000"/>
        <n v="18838000"/>
        <n v="19977000"/>
        <n v="18725000"/>
        <n v="17603000"/>
        <n v="20865000"/>
        <n v="20378000"/>
        <n v="19207000"/>
        <n v="18871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24.714106712963" createdVersion="3" refreshedVersion="6" minRefreshableVersion="3" recordCount="2824" xr:uid="{B8FBADDF-035A-4E8F-833A-C4206E621055}">
  <cacheSource type="external" connectionId="2"/>
  <cacheFields count="108">
    <cacheField name="PERIODO" numFmtId="0">
      <sharedItems containsSemiMixedTypes="0" containsString="0" containsNumber="1" containsInteger="1" minValue="201901" maxValue="201908" count="8">
        <n v="201901"/>
        <n v="201902"/>
        <n v="201906"/>
        <n v="201907"/>
        <n v="201908"/>
        <n v="201903"/>
        <n v="201905"/>
        <n v="201904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entro de Operacion" numFmtId="0">
      <sharedItems count="7">
        <s v="450"/>
        <s v="465"/>
        <s v="462"/>
        <s v="464"/>
        <s v="463"/>
        <s v="460"/>
        <s v="461"/>
      </sharedItems>
    </cacheField>
    <cacheField name="Nombre Centro de Operacion" numFmtId="0">
      <sharedItems count="7">
        <s v="ADMINSTRATIVO"/>
        <s v="BARRANQUILLA"/>
        <s v="BOGOTA"/>
        <s v="MEDELLIN"/>
        <s v="BUCARAMANGA"/>
        <s v="CALI"/>
        <s v="EJE CAFETERO"/>
      </sharedItems>
    </cacheField>
    <cacheField name="Tipo Documento" numFmtId="0">
      <sharedItems count="14">
        <s v="NDS"/>
        <s v="RC"/>
        <s v="NI"/>
        <s v="LAN"/>
        <s v="GVJ"/>
        <s v="OP"/>
        <s v="DFC"/>
        <s v="FP"/>
        <s v="NB"/>
        <s v="RK"/>
        <s v="DBA"/>
        <s v="PEL"/>
        <s v="CE"/>
        <s v="CJM"/>
      </sharedItems>
    </cacheField>
    <cacheField name="Nombre Tipo Documento" numFmtId="0">
      <sharedItems count="14">
        <s v="NOTA DEBITO VENTA DE SERVICIO"/>
        <s v="RECIBOS DE CAJA"/>
        <s v="NOTA INTERNA DE CONTABILIDAD"/>
        <s v="LEGALIZACION ANTICIPOS"/>
        <s v="LEGALIZACION GASTOS DE VIAJE"/>
        <s v="ORDEN DE PAGO"/>
        <s v="DIFERENCIA EN CAMBIO"/>
        <s v="FACTURA POR PAGAR"/>
        <s v="NOTAS BANCARIAS"/>
        <s v="RECIBO CAJA MONTOS SUPERIORES"/>
        <s v="DAR DE BAJA ACTIVOS FIJOS"/>
        <s v="PAGOS ELECTRONICOS"/>
        <s v="COMPROBANTES DE EGRESO"/>
        <s v="CAJA MENOR"/>
      </sharedItems>
    </cacheField>
    <cacheField name="DOCTO" numFmtId="0">
      <sharedItems containsSemiMixedTypes="0" containsString="0" containsNumber="1" containsInteger="1" minValue="9" maxValue="63967"/>
    </cacheField>
    <cacheField name="Tercero Docto" numFmtId="0">
      <sharedItems/>
    </cacheField>
    <cacheField name="Razon social Docto" numFmtId="0">
      <sharedItems/>
    </cacheField>
    <cacheField name="FECHA_DOCTO" numFmtId="0">
      <sharedItems/>
    </cacheField>
    <cacheField name="CUENTA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 Cuenta" numFmtId="0">
      <sharedItems containsString="0" containsBlank="1" count="1">
        <m/>
      </sharedItems>
    </cacheField>
    <cacheField name="NOMBRE_AUXILIAR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PLAN_CUENTA" numFmtId="0">
      <sharedItems count="1">
        <s v="NIF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                                  "/>
      </sharedItems>
    </cacheField>
    <cacheField name="CUENTA_N2" numFmtId="0">
      <sharedItems count="1">
        <s v="53"/>
      </sharedItems>
    </cacheField>
    <cacheField name="NOMBRE_CUENTA_N2" numFmtId="0">
      <sharedItems count="1">
        <s v="NO OPERACIONALES                        "/>
      </sharedItems>
    </cacheField>
    <cacheField name="CUENTA_N3" numFmtId="0">
      <sharedItems count="4">
        <s v="5315"/>
        <s v="5395"/>
        <s v="5305"/>
        <s v="5310"/>
      </sharedItems>
    </cacheField>
    <cacheField name="NOMBRE_CUENTA_N3" numFmtId="0">
      <sharedItems count="4">
        <s v="GASTOS EXTRAORDINARIOS                  "/>
        <s v="GASTOS DIVERSOS                         "/>
        <s v="FINANCIEROS                             "/>
        <s v="PERDIDA EN VENTA Y RETIRO DE BIENES     "/>
      </sharedItems>
    </cacheField>
    <cacheField name="CUENTA_N4" numFmtId="0">
      <sharedItems count="14">
        <s v="531515"/>
        <s v="539510"/>
        <s v="539505"/>
        <s v="530525"/>
        <s v="531516"/>
        <s v="531520"/>
        <s v="531595"/>
        <s v="530520"/>
        <s v="539520"/>
        <s v="530535"/>
        <s v="530595"/>
        <s v="531030"/>
        <s v="530505"/>
        <s v="530515"/>
      </sharedItems>
    </cacheField>
    <cacheField name="NOMBRE_CUENTA_N4" numFmtId="0">
      <sharedItems count="13">
        <s v="COSTOS Y GASTOS EJERCICIOS ANTERIORES   "/>
        <s v="AJUSTE AL PESO                          "/>
        <s v="DEMANDAS LABORALES"/>
        <s v="DIFERENCIA EN CAMBIO                    "/>
        <s v="GTO IMPORENTA EJE ANT                   "/>
        <s v="IMPUESTOS ASUMIDOS                      "/>
        <s v="OTROS                                   "/>
        <s v="INTERESES                               "/>
        <s v="MULTAS,SANCIONES Y LITIGIOS             "/>
        <s v="DESCUENTOS COMERCIALES CONDICONADOS     "/>
        <s v="PERDIDA POR SINIESTRO                   "/>
        <s v="GASTOS BANCARIOS                        "/>
        <s v="COMISIONES                              "/>
      </sharedItems>
    </cacheField>
    <cacheField name="CUENTA_N5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5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6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6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7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7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8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8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ENTRO_OPERACION_MOVTO" numFmtId="0">
      <sharedItems count="10">
        <s v="460"/>
        <s v="450"/>
        <s v="465"/>
        <s v="464"/>
        <s v="462"/>
        <s v="471"/>
        <s v="461"/>
        <s v="463"/>
        <s v="466"/>
        <s v="090"/>
      </sharedItems>
    </cacheField>
    <cacheField name="Nombre Centro_operacion_movto" numFmtId="0">
      <sharedItems count="10">
        <s v="CALI"/>
        <s v="ADMINSTRATIVO"/>
        <s v="BARRANQUILLA"/>
        <s v="MEDELLIN"/>
        <s v="BOGOTA"/>
        <s v="AYUDA INTERNACIONAL"/>
        <s v="EJE CAFETERO"/>
        <s v="BUCARAMANGA"/>
        <s v="CARTAGENA"/>
        <s v="PROYECTO INNOVACION"/>
      </sharedItems>
    </cacheField>
    <cacheField name="REGIONAL" numFmtId="0">
      <sharedItems count="3">
        <s v="MT"/>
        <s v="00"/>
        <s v="01"/>
      </sharedItems>
    </cacheField>
    <cacheField name="nombre Regional" numFmtId="0">
      <sharedItems count="3">
        <s v="TOTAL SUCURSALES"/>
        <s v="ADMINISTRATIVOS"/>
        <s v="CALI"/>
      </sharedItems>
    </cacheField>
    <cacheField name="Unidad de Negocio" numFmtId="0">
      <sharedItems count="2">
        <s v="01"/>
        <s v="00"/>
      </sharedItems>
    </cacheField>
    <cacheField name="nombre Unidad de Negocio" numFmtId="0">
      <sharedItems count="2">
        <s v="VENTAS"/>
        <s v="ADMINISTRATIVA FICIERA"/>
      </sharedItems>
    </cacheField>
    <cacheField name="TERCERO" numFmtId="0">
      <sharedItems/>
    </cacheField>
    <cacheField name="Nombre Tercero" numFmtId="0">
      <sharedItems containsBlank="1"/>
    </cacheField>
    <cacheField name="SUCURSAL_TERCERO" numFmtId="0">
      <sharedItems containsString="0" containsBlank="1" count="1">
        <m/>
      </sharedItems>
    </cacheField>
    <cacheField name="VENDEDOR" numFmtId="0">
      <sharedItems containsBlank="1" count="3">
        <m/>
        <s v="EJZO"/>
        <s v="MACP"/>
      </sharedItems>
    </cacheField>
    <cacheField name="Nombre vendedor Vendedor" numFmtId="0">
      <sharedItems containsBlank="1" count="3">
        <m/>
        <s v="MUSICAR S.A.S"/>
        <s v="CARRASQUILLA PIZARRO MARCO ANTONIO"/>
      </sharedItems>
    </cacheField>
    <cacheField name="GRUPO_CCOSTO" numFmtId="0">
      <sharedItems containsString="0" containsBlank="1" count="1">
        <m/>
      </sharedItems>
    </cacheField>
    <cacheField name="Centro de Costo" numFmtId="0">
      <sharedItems containsString="0" containsBlank="1" count="1">
        <m/>
      </sharedItems>
    </cacheField>
    <cacheField name="Nombre Centro de Costo" numFmtId="0">
      <sharedItems containsString="0" containsBlank="1" count="1">
        <m/>
      </sharedItems>
    </cacheField>
    <cacheField name="NOMBRE_CCOSTO" numFmtId="0">
      <sharedItems containsString="0" containsBlank="1" count="1">
        <m/>
      </sharedItems>
    </cacheField>
    <cacheField name="CCOSTO_N1" numFmtId="0">
      <sharedItems containsString="0" containsBlank="1" count="1">
        <m/>
      </sharedItems>
    </cacheField>
    <cacheField name="NOMBRE_CCOSTO_N1" numFmtId="0">
      <sharedItems containsString="0" containsBlank="1" count="1">
        <m/>
      </sharedItems>
    </cacheField>
    <cacheField name="CCOSTO_N2" numFmtId="0">
      <sharedItems containsString="0" containsBlank="1" count="1">
        <m/>
      </sharedItems>
    </cacheField>
    <cacheField name="NOMBRE_CCOSTO_N2" numFmtId="0">
      <sharedItems containsString="0" containsBlank="1" count="1">
        <m/>
      </sharedItems>
    </cacheField>
    <cacheField name="CCOSTO_N3" numFmtId="0">
      <sharedItems containsString="0" containsBlank="1" count="1">
        <m/>
      </sharedItems>
    </cacheField>
    <cacheField name="NOMBRE_CCOSTO_N3" numFmtId="0">
      <sharedItems containsString="0" containsBlank="1" count="1">
        <m/>
      </sharedItems>
    </cacheField>
    <cacheField name="CCOSTO_N4" numFmtId="0">
      <sharedItems containsString="0" containsBlank="1" count="1">
        <m/>
      </sharedItems>
    </cacheField>
    <cacheField name="NOMBRE_CCOSTO_N4" numFmtId="0">
      <sharedItems containsString="0" containsBlank="1" count="1">
        <m/>
      </sharedItems>
    </cacheField>
    <cacheField name="CCOSTO_N5" numFmtId="0">
      <sharedItems containsString="0" containsBlank="1" count="1">
        <m/>
      </sharedItems>
    </cacheField>
    <cacheField name="NOMBRE_CCOSTO_N5" numFmtId="0">
      <sharedItems containsString="0" containsBlank="1" count="1">
        <m/>
      </sharedItems>
    </cacheField>
    <cacheField name="CCOSTO_N6" numFmtId="0">
      <sharedItems containsString="0" containsBlank="1" count="1">
        <m/>
      </sharedItems>
    </cacheField>
    <cacheField name="NOMBRE_CCOSTO_N6" numFmtId="0">
      <sharedItems containsString="0" containsBlank="1" count="1">
        <m/>
      </sharedItems>
    </cacheField>
    <cacheField name="CCOSTO_N7" numFmtId="0">
      <sharedItems containsString="0" containsBlank="1" count="1">
        <m/>
      </sharedItems>
    </cacheField>
    <cacheField name="NOMBRE_CCOSTO_N7" numFmtId="0">
      <sharedItems containsString="0" containsBlank="1" count="1">
        <m/>
      </sharedItems>
    </cacheField>
    <cacheField name="CCOSTO_N8" numFmtId="0">
      <sharedItems containsString="0" containsBlank="1" count="1">
        <m/>
      </sharedItems>
    </cacheField>
    <cacheField name="NOMBRE_CCOSTO_N8" numFmtId="0">
      <sharedItems containsString="0" containsBlank="1" count="1">
        <m/>
      </sharedItems>
    </cacheField>
    <cacheField name="FLUJO_EFECTIVO" numFmtId="0">
      <sharedItems containsString="0" containsBlank="1" count="1">
        <m/>
      </sharedItems>
    </cacheField>
    <cacheField name="NOMBRE_FLUJO_EFECTIVO" numFmtId="0">
      <sharedItems containsString="0" containsBlank="1" count="1">
        <m/>
      </sharedItems>
    </cacheField>
    <cacheField name="MAYOR_FLUJO_EFECTIVO" numFmtId="0">
      <sharedItems containsString="0" containsBlank="1" count="1">
        <m/>
      </sharedItems>
    </cacheField>
    <cacheField name="CPTOFE_N1" numFmtId="0">
      <sharedItems containsString="0" containsBlank="1" count="1">
        <m/>
      </sharedItems>
    </cacheField>
    <cacheField name="NOMBRE_CPTOFE_N1" numFmtId="0">
      <sharedItems containsString="0" containsBlank="1" count="1">
        <m/>
      </sharedItems>
    </cacheField>
    <cacheField name="CPTOFE_N2" numFmtId="0">
      <sharedItems containsString="0" containsBlank="1" count="1">
        <m/>
      </sharedItems>
    </cacheField>
    <cacheField name="NOMBRE_CPTOFE_N2" numFmtId="0">
      <sharedItems containsString="0" containsBlank="1" count="1">
        <m/>
      </sharedItems>
    </cacheField>
    <cacheField name="CPTOFE_N3" numFmtId="0">
      <sharedItems containsString="0" containsBlank="1" count="1">
        <m/>
      </sharedItems>
    </cacheField>
    <cacheField name="NOMBRE_CPTOFE_N3" numFmtId="0">
      <sharedItems containsString="0" containsBlank="1" count="1">
        <m/>
      </sharedItems>
    </cacheField>
    <cacheField name="CPTOFE_N4" numFmtId="0">
      <sharedItems containsString="0" containsBlank="1" count="1">
        <m/>
      </sharedItems>
    </cacheField>
    <cacheField name="NOMBRE_CPTOFE_N4" numFmtId="0">
      <sharedItems containsString="0" containsBlank="1" count="1">
        <m/>
      </sharedItems>
    </cacheField>
    <cacheField name="CPTOFE_N5" numFmtId="0">
      <sharedItems containsString="0" containsBlank="1" count="1">
        <m/>
      </sharedItems>
    </cacheField>
    <cacheField name="NOMBRE_CPTOFE_N5" numFmtId="0">
      <sharedItems containsString="0" containsBlank="1" count="1">
        <m/>
      </sharedItems>
    </cacheField>
    <cacheField name="CPTOFE_N6" numFmtId="0">
      <sharedItems containsString="0" containsBlank="1" count="1">
        <m/>
      </sharedItems>
    </cacheField>
    <cacheField name="NOMBRE_CPTOFE_N6" numFmtId="0">
      <sharedItems containsString="0" containsBlank="1" count="1">
        <m/>
      </sharedItems>
    </cacheField>
    <cacheField name="CPTOFE_N7" numFmtId="0">
      <sharedItems containsString="0" containsBlank="1" count="1">
        <m/>
      </sharedItems>
    </cacheField>
    <cacheField name="NOMBRE_CPTOFE_N7" numFmtId="0">
      <sharedItems containsString="0" containsBlank="1" count="1">
        <m/>
      </sharedItems>
    </cacheField>
    <cacheField name="CPTOFE_N8" numFmtId="0">
      <sharedItems containsString="0" containsBlank="1" count="1">
        <m/>
      </sharedItems>
    </cacheField>
    <cacheField name="NOMBRE_CPTOFE_N8" numFmtId="0">
      <sharedItems containsString="0" containsBlank="1" count="1">
        <m/>
      </sharedItems>
    </cacheField>
    <cacheField name="DOCUMENTO_BANCOS" numFmtId="0">
      <sharedItems containsString="0" containsBlank="1" count="1">
        <m/>
      </sharedItems>
    </cacheField>
    <cacheField name="NUMERO_DOCTO_BANCOS" numFmtId="0">
      <sharedItems containsSemiMixedTypes="0" containsString="0" containsNumber="1" containsInteger="1" minValue="0" maxValue="0" count="1">
        <n v="0"/>
      </sharedItems>
    </cacheField>
    <cacheField name="DOCTO_ALTERNO_BANCOS" numFmtId="0">
      <sharedItems count="1">
        <s v=" "/>
      </sharedItems>
    </cacheField>
    <cacheField name="Referencia 1" numFmtId="0">
      <sharedItems count="1">
        <s v=" "/>
      </sharedItems>
    </cacheField>
    <cacheField name="Referencia 2" numFmtId="0">
      <sharedItems count="1">
        <s v=" "/>
      </sharedItems>
    </cacheField>
    <cacheField name="Referencia 3" numFmtId="0">
      <sharedItems count="1">
        <s v=" "/>
      </sharedItems>
    </cacheField>
    <cacheField name="NOTAS" numFmtId="0">
      <sharedItems/>
    </cacheField>
    <cacheField name="DEBITOS" numFmtId="0">
      <sharedItems containsSemiMixedTypes="0" containsString="0" containsNumber="1" minValue="0" maxValue="11209723.92"/>
    </cacheField>
    <cacheField name="CREDITOS" numFmtId="0">
      <sharedItems containsSemiMixedTypes="0" containsString="0" containsNumber="1" minValue="0" maxValue="5574045"/>
    </cacheField>
    <cacheField name="MOVIMIENTO" numFmtId="0">
      <sharedItems containsSemiMixedTypes="0" containsString="0" containsNumber="1" minValue="-5574045" maxValue="11209723.92"/>
    </cacheField>
    <cacheField name="DEBITOS_ALT" numFmtId="0">
      <sharedItems containsSemiMixedTypes="0" containsString="0" containsNumber="1" containsInteger="1" minValue="0" maxValue="0" count="1">
        <n v="0"/>
      </sharedItems>
    </cacheField>
    <cacheField name="CREDITOS_ALT" numFmtId="0">
      <sharedItems containsSemiMixedTypes="0" containsString="0" containsNumber="1" containsInteger="1" minValue="0" maxValue="0" count="1">
        <n v="0"/>
      </sharedItems>
    </cacheField>
    <cacheField name="MOVIMIENTO_ALT" numFmtId="0">
      <sharedItems containsSemiMixedTypes="0" containsString="0" containsNumber="1" containsInteger="1" minValue="0" maxValue="0" count="1">
        <n v="0"/>
      </sharedItems>
    </cacheField>
    <cacheField name="Deb Libro 2" numFmtId="0">
      <sharedItems containsSemiMixedTypes="0" containsString="0" containsNumber="1" minValue="0" maxValue="11209723.92"/>
    </cacheField>
    <cacheField name="Cred Libro 2" numFmtId="0">
      <sharedItems containsSemiMixedTypes="0" containsString="0" containsNumber="1" minValue="0" maxValue="5574045"/>
    </cacheField>
    <cacheField name="MOVTO_LIBRO2" numFmtId="0">
      <sharedItems containsSemiMixedTypes="0" containsString="0" containsNumber="1" minValue="-5574045" maxValue="11209723.92"/>
    </cacheField>
    <cacheField name="Deb alt Libro 2" numFmtId="0">
      <sharedItems containsSemiMixedTypes="0" containsString="0" containsNumber="1" containsInteger="1" minValue="0" maxValue="0" count="1">
        <n v="0"/>
      </sharedItems>
    </cacheField>
    <cacheField name="Cred alt libro 2" numFmtId="0">
      <sharedItems containsSemiMixedTypes="0" containsString="0" containsNumber="1" containsInteger="1" minValue="0" maxValue="0" count="1">
        <n v="0"/>
      </sharedItems>
    </cacheField>
    <cacheField name="MOVTO_ALT_LIBRO2" numFmtId="0">
      <sharedItems containsSemiMixedTypes="0" containsString="0" containsNumber="1" containsInteger="1" minValue="0" maxValue="0" count="1">
        <n v="0"/>
      </sharedItems>
    </cacheField>
    <cacheField name="Deb Libro 3" numFmtId="0">
      <sharedItems containsSemiMixedTypes="0" containsString="0" containsNumber="1" minValue="0" maxValue="11209723.92"/>
    </cacheField>
    <cacheField name="Cred Libro 3" numFmtId="0">
      <sharedItems containsSemiMixedTypes="0" containsString="0" containsNumber="1" minValue="0" maxValue="5574045"/>
    </cacheField>
    <cacheField name="MOVTO_LIBRO3" numFmtId="0">
      <sharedItems containsSemiMixedTypes="0" containsString="0" containsNumber="1" minValue="-5574045" maxValue="11209723.92"/>
    </cacheField>
    <cacheField name="Deb alt Libro 3" numFmtId="0">
      <sharedItems containsSemiMixedTypes="0" containsString="0" containsNumber="1" containsInteger="1" minValue="0" maxValue="0" count="1">
        <n v="0"/>
      </sharedItems>
    </cacheField>
    <cacheField name="Cred alt Libro 3" numFmtId="0">
      <sharedItems containsSemiMixedTypes="0" containsString="0" containsNumber="1" containsInteger="1" minValue="0" maxValue="0" count="1">
        <n v="0"/>
      </sharedItems>
    </cacheField>
    <cacheField name="MOVTO_ALT_LIBRO3" numFmtId="0">
      <sharedItems containsSemiMixedTypes="0" containsString="0" containsNumber="1" containsInteger="1" minValue="0" maxValue="0" count="1">
        <n v="0"/>
      </sharedItems>
    </cacheField>
    <cacheField name="VALOR_BASE" numFmtId="0">
      <sharedItems containsSemiMixedTypes="0" containsString="0" containsNumber="1" containsInteger="1" minValue="0" maxValue="0" count="1">
        <n v="0"/>
      </sharedItems>
    </cacheField>
    <cacheField name="VALOR_IMP_ASUM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." refreshedDate="42537.493262847223" createdVersion="3" refreshedVersion="6" minRefreshableVersion="3" recordCount="12" xr:uid="{8B54FCF3-DCDF-4FCC-84EE-494838D82F8E}">
  <cacheSource type="external" connectionId="1"/>
  <cacheFields count="31">
    <cacheField name="PERIODO" numFmtId="0">
      <sharedItems containsSemiMixedTypes="0" containsString="0" containsNumber="1" containsInteger="1" minValue="201605" maxValue="201605" count="1">
        <n v="201605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EL SALVADOR, S.A. DE C V"/>
      </sharedItems>
    </cacheField>
    <cacheField name="PLAN_PRESUPUESTO" numFmtId="0">
      <sharedItems count="2">
        <s v="006"/>
        <s v="001"/>
      </sharedItems>
    </cacheField>
    <cacheField name="AUXILIAR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AUXILIAR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" numFmtId="0">
      <sharedItems count="6">
        <s v="523595"/>
        <s v="516010"/>
        <s v="520518"/>
        <s v="524515"/>
        <s v="520536"/>
        <s v="529910"/>
      </sharedItems>
    </cacheField>
    <cacheField name="Nombre Cuenta" numFmtId="0">
      <sharedItems containsString="0" containsBlank="1" count="1">
        <m/>
      </sharedItems>
    </cacheField>
    <cacheField name="PLAN_CUENTA" numFmtId="0">
      <sharedItems count="1">
        <s v="PUC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"/>
      </sharedItems>
    </cacheField>
    <cacheField name="CUENTA_N2" numFmtId="0">
      <sharedItems count="2">
        <s v="52"/>
        <s v="51"/>
      </sharedItems>
    </cacheField>
    <cacheField name="NOMBRE_CUENTA_N2" numFmtId="0">
      <sharedItems count="2">
        <s v="OPERACIONALES DE VENTAS"/>
        <s v="OPERACIONALES DE ADMINISTRACION"/>
      </sharedItems>
    </cacheField>
    <cacheField name="CUENTA_N3" numFmtId="0">
      <sharedItems count="5">
        <s v="5235"/>
        <s v="5160"/>
        <s v="5205"/>
        <s v="5245"/>
        <s v="5299"/>
      </sharedItems>
    </cacheField>
    <cacheField name="NOMBRE_CUENTA_N3" numFmtId="0">
      <sharedItems count="5">
        <s v="SERVICIOS"/>
        <s v="DEPRECIACIONES"/>
        <s v="GASTOS DE PERSONAL"/>
        <s v="MANTENIMIENTO Y REPARACIONES"/>
        <s v="PROVISIONES"/>
      </sharedItems>
    </cacheField>
    <cacheField name="CUENTA_N4" numFmtId="0">
      <sharedItems count="6">
        <s v="523595"/>
        <s v="516010"/>
        <s v="520518"/>
        <s v="524515"/>
        <s v="520536"/>
        <s v="529910"/>
      </sharedItems>
    </cacheField>
    <cacheField name="NOMBRE_CUENTA_N4" numFmtId="0">
      <sharedItems count="6">
        <s v="OTROS"/>
        <s v="MAQUINARIA Y EQUIPO"/>
        <s v="COMISIONES"/>
        <s v="MANT.Y REPARAC.MAQUINARIA"/>
        <s v="PRIMA DE SERVICIOS"/>
        <s v="DEUDORES"/>
      </sharedItems>
    </cacheField>
    <cacheField name="CUENTA_N5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5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6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6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7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7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8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8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entro de Operacion" numFmtId="0">
      <sharedItems count="1">
        <s v="001"/>
      </sharedItems>
    </cacheField>
    <cacheField name="Nombre Centro de Operacion" numFmtId="0">
      <sharedItems count="1">
        <s v="EL SALVADOR"/>
      </sharedItems>
    </cacheField>
    <cacheField name="Unidad de Negocio" numFmtId="0">
      <sharedItems count="1">
        <s v="01"/>
      </sharedItems>
    </cacheField>
    <cacheField name="nombre Unidad de Negocio" numFmtId="0">
      <sharedItems count="1">
        <s v="MUSICAR"/>
      </sharedItems>
    </cacheField>
    <cacheField name="AÑO" numFmtId="0">
      <sharedItems containsSemiMixedTypes="0" containsString="0" containsNumber="1" containsInteger="1" minValue="2016" maxValue="2016" count="1">
        <n v="2016"/>
      </sharedItems>
    </cacheField>
    <cacheField name="VALOR_PRESUPUESTO" numFmtId="0">
      <sharedItems containsSemiMixedTypes="0" containsString="0" containsNumber="1" minValue="13.58" maxValue="2319.4899999999998" count="6">
        <n v="448.4"/>
        <n v="2319.4899999999998"/>
        <n v="615.13"/>
        <n v="302.10000000000002"/>
        <n v="153.78"/>
        <n v="13.5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x v="0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5"/>
  </r>
  <r>
    <x v="1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6"/>
  </r>
  <r>
    <x v="5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7"/>
  </r>
  <r>
    <x v="6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2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9"/>
  </r>
  <r>
    <x v="7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0"/>
  </r>
  <r>
    <x v="3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1"/>
  </r>
  <r>
    <x v="8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2"/>
  </r>
  <r>
    <x v="4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3"/>
  </r>
  <r>
    <x v="0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4"/>
  </r>
  <r>
    <x v="1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5"/>
  </r>
  <r>
    <x v="5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6"/>
  </r>
  <r>
    <x v="6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7"/>
  </r>
  <r>
    <x v="2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8"/>
  </r>
  <r>
    <x v="7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9"/>
  </r>
  <r>
    <x v="3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20"/>
  </r>
  <r>
    <x v="8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21"/>
  </r>
  <r>
    <x v="4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2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x v="0"/>
    <x v="0"/>
    <x v="0"/>
    <x v="0"/>
    <x v="0"/>
    <x v="0"/>
    <x v="0"/>
    <n v="4273"/>
    <s v="411881957"/>
    <s v="SAJAN, INC"/>
    <s v="20190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CONTABILIACION ERRADA EN EL RECIBO DE CAJA"/>
    <n v="1234905"/>
    <n v="0"/>
    <n v="1234905"/>
    <x v="0"/>
    <x v="0"/>
    <x v="0"/>
    <n v="1234905"/>
    <n v="0"/>
    <n v="1234905"/>
    <x v="0"/>
    <x v="0"/>
    <x v="0"/>
    <n v="1234905"/>
    <n v="0"/>
    <n v="1234905"/>
    <x v="0"/>
    <x v="0"/>
    <x v="0"/>
    <x v="0"/>
    <x v="0"/>
  </r>
  <r>
    <x v="1"/>
    <x v="0"/>
    <x v="0"/>
    <x v="0"/>
    <x v="0"/>
    <x v="1"/>
    <x v="1"/>
    <n v="2377"/>
    <s v="860037707"/>
    <s v="SBS SEGUROS COLOMBIA S.A."/>
    <s v="201902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s v="860037707"/>
    <s v="SBS SEGURO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POLIZA QUE SE CANCELO DE LA CAMIONETA PARA GERENCIA"/>
    <n v="0"/>
    <n v="2315865.0699999998"/>
    <n v="-2315865.0699999998"/>
    <x v="0"/>
    <x v="0"/>
    <x v="0"/>
    <n v="0"/>
    <n v="2315865.0699999998"/>
    <n v="-2315865.0699999998"/>
    <x v="0"/>
    <x v="0"/>
    <x v="0"/>
    <n v="0"/>
    <n v="2315865.0699999998"/>
    <n v="-2315865.0699999998"/>
    <x v="0"/>
    <x v="0"/>
    <x v="0"/>
    <x v="0"/>
    <x v="0"/>
  </r>
  <r>
    <x v="1"/>
    <x v="0"/>
    <x v="0"/>
    <x v="0"/>
    <x v="0"/>
    <x v="2"/>
    <x v="2"/>
    <n v="19702"/>
    <s v="890399003"/>
    <s v="EMPRESAS MUNICIPALES DE CALI E.I.C.E.  E.S.P."/>
    <s v="201902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 PAGO SERVCIOS PUBLICOS DIR NAL / TEL 6689603/6683173/6672449/668388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22"/>
    <s v="830053800"/>
    <s v="TELMEX COLOMBIA SA"/>
    <s v="2019022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ELMEX - TRANSMISION AREA TECNICA -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36"/>
    <s v="830122566"/>
    <s v="COLOMBIA TELECOMUNICACIONES S.A.-ESP"/>
    <s v="201906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.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3"/>
    <x v="3"/>
    <n v="201"/>
    <s v="1045717933"/>
    <s v="PALMA GUTIERREZ KETTY JANETH"/>
    <s v="201907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473169"/>
    <s v="VEGA JIMENEZ ALBERTO TUL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RVICIO DE DESINSTALACION DE 3 AIRES ACONDICIONADOS E INSTALACION DE 2 POR TRASLADO CON CAMBIO DE GAS Y TUBERIA"/>
    <n v="0"/>
    <n v="80"/>
    <n v="-80"/>
    <x v="0"/>
    <x v="0"/>
    <x v="0"/>
    <n v="0"/>
    <n v="80"/>
    <n v="-80"/>
    <x v="0"/>
    <x v="0"/>
    <x v="0"/>
    <n v="0"/>
    <n v="80"/>
    <n v="-80"/>
    <x v="0"/>
    <x v="0"/>
    <x v="0"/>
    <x v="0"/>
    <x v="0"/>
  </r>
  <r>
    <x v="4"/>
    <x v="0"/>
    <x v="0"/>
    <x v="1"/>
    <x v="1"/>
    <x v="4"/>
    <x v="4"/>
    <n v="672"/>
    <s v="1143135964"/>
    <s v="CABALLERO GONZALEZ JORGE ELIECER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6"/>
    <n v="0"/>
    <n v="656"/>
    <x v="0"/>
    <x v="0"/>
    <x v="0"/>
    <n v="656"/>
    <n v="0"/>
    <n v="656"/>
    <x v="0"/>
    <x v="0"/>
    <x v="0"/>
    <n v="656"/>
    <n v="0"/>
    <n v="656"/>
    <x v="0"/>
    <x v="0"/>
    <x v="0"/>
    <x v="0"/>
    <x v="0"/>
  </r>
  <r>
    <x v="4"/>
    <x v="0"/>
    <x v="0"/>
    <x v="2"/>
    <x v="2"/>
    <x v="3"/>
    <x v="3"/>
    <n v="233"/>
    <s v="1020483062"/>
    <s v="QUINTERO ESPINAL JUAN DAVID"/>
    <s v="201908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3"/>
    <x v="3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PORQUE EL TRABAJADOR YA NO LABORA EN LA EMPRESA"/>
    <n v="3368"/>
    <n v="0"/>
    <n v="3368"/>
    <x v="0"/>
    <x v="0"/>
    <x v="0"/>
    <n v="3368"/>
    <n v="0"/>
    <n v="3368"/>
    <x v="0"/>
    <x v="0"/>
    <x v="0"/>
    <n v="3368"/>
    <n v="0"/>
    <n v="3368"/>
    <x v="0"/>
    <x v="0"/>
    <x v="0"/>
    <x v="0"/>
    <x v="0"/>
  </r>
  <r>
    <x v="4"/>
    <x v="0"/>
    <x v="0"/>
    <x v="1"/>
    <x v="1"/>
    <x v="4"/>
    <x v="4"/>
    <n v="677"/>
    <s v="8763635"/>
    <s v="MOLINA PACHECO LUIS EDUARDO"/>
    <s v="201908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98"/>
    <n v="0"/>
    <n v="698"/>
    <x v="0"/>
    <x v="0"/>
    <x v="0"/>
    <n v="698"/>
    <n v="0"/>
    <n v="698"/>
    <x v="0"/>
    <x v="0"/>
    <x v="0"/>
    <n v="698"/>
    <n v="0"/>
    <n v="698"/>
    <x v="0"/>
    <x v="0"/>
    <x v="0"/>
    <x v="0"/>
    <x v="0"/>
  </r>
  <r>
    <x v="4"/>
    <x v="0"/>
    <x v="0"/>
    <x v="0"/>
    <x v="0"/>
    <x v="2"/>
    <x v="2"/>
    <n v="20691"/>
    <s v="800153993"/>
    <s v="COMUNICACIONES CELULAR S A  COMCEL S A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CLARO - LOCUTOR VIRTUAL  -13/07/2019 - 12/08/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71"/>
    <s v="860047239"/>
    <s v="MUSICAR S.A.S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LA CTA.1588059900 COMPENSACION ACTIVOS FIJOS."/>
    <n v="843"/>
    <n v="0"/>
    <n v="843"/>
    <x v="0"/>
    <x v="0"/>
    <x v="0"/>
    <n v="843"/>
    <n v="0"/>
    <n v="843"/>
    <x v="0"/>
    <x v="0"/>
    <x v="0"/>
    <n v="843"/>
    <n v="0"/>
    <n v="843"/>
    <x v="0"/>
    <x v="0"/>
    <x v="0"/>
    <x v="0"/>
    <x v="0"/>
  </r>
  <r>
    <x v="2"/>
    <x v="0"/>
    <x v="0"/>
    <x v="0"/>
    <x v="0"/>
    <x v="5"/>
    <x v="5"/>
    <n v="431"/>
    <s v="1151939784"/>
    <s v="MOLINEROS MARTINEZ JOHANA ALEXANDRA"/>
    <s v="20190613"/>
    <x v="2"/>
    <x v="0"/>
    <x v="2"/>
    <x v="0"/>
    <x v="0"/>
    <x v="0"/>
    <x v="0"/>
    <x v="0"/>
    <x v="1"/>
    <x v="1"/>
    <x v="2"/>
    <x v="2"/>
    <x v="2"/>
    <x v="2"/>
    <x v="2"/>
    <x v="2"/>
    <x v="2"/>
    <x v="2"/>
    <x v="2"/>
    <x v="2"/>
    <x v="1"/>
    <x v="1"/>
    <x v="1"/>
    <x v="1"/>
    <x v="1"/>
    <x v="1"/>
    <s v="1151939784"/>
    <s v="MOLINEROS MARTINEZ JOHANA ALEXAND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CILIACION JOHANA MOLINEROS MARTINEZ"/>
    <n v="5786978"/>
    <n v="0"/>
    <n v="5786978"/>
    <x v="0"/>
    <x v="0"/>
    <x v="0"/>
    <n v="5786978"/>
    <n v="0"/>
    <n v="5786978"/>
    <x v="0"/>
    <x v="0"/>
    <x v="0"/>
    <n v="5786978"/>
    <n v="0"/>
    <n v="5786978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25023"/>
    <n v="0"/>
    <n v="25023"/>
    <x v="0"/>
    <x v="0"/>
    <x v="0"/>
    <n v="25023"/>
    <n v="0"/>
    <n v="25023"/>
    <x v="0"/>
    <x v="0"/>
    <x v="0"/>
    <n v="25023"/>
    <n v="0"/>
    <n v="25023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4846959.1100000003"/>
    <n v="0"/>
    <n v="4846959.1100000003"/>
    <x v="0"/>
    <x v="0"/>
    <x v="0"/>
    <n v="0"/>
    <n v="0"/>
    <n v="0"/>
    <x v="0"/>
    <x v="0"/>
    <x v="0"/>
    <x v="0"/>
    <x v="0"/>
  </r>
  <r>
    <x v="1"/>
    <x v="0"/>
    <x v="0"/>
    <x v="0"/>
    <x v="0"/>
    <x v="2"/>
    <x v="2"/>
    <n v="19681"/>
    <s v="890102018"/>
    <s v="MUNICIPIO DE BARRANQUILLA"/>
    <s v="20190222"/>
    <x v="4"/>
    <x v="0"/>
    <x v="4"/>
    <x v="0"/>
    <x v="0"/>
    <x v="0"/>
    <x v="0"/>
    <x v="0"/>
    <x v="0"/>
    <x v="0"/>
    <x v="4"/>
    <x v="4"/>
    <x v="4"/>
    <x v="4"/>
    <x v="4"/>
    <x v="4"/>
    <x v="4"/>
    <x v="4"/>
    <x v="4"/>
    <x v="4"/>
    <x v="2"/>
    <x v="2"/>
    <x v="0"/>
    <x v="0"/>
    <x v="0"/>
    <x v="0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ANUAL BARRANQUILLA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4"/>
    <x v="0"/>
    <x v="0"/>
    <x v="2"/>
    <x v="2"/>
    <x v="3"/>
    <x v="3"/>
    <n v="231"/>
    <s v="830046791"/>
    <s v="COFACE SERVICES COLOMBIA S.A."/>
    <s v="20190821"/>
    <x v="5"/>
    <x v="0"/>
    <x v="5"/>
    <x v="0"/>
    <x v="0"/>
    <x v="0"/>
    <x v="0"/>
    <x v="0"/>
    <x v="0"/>
    <x v="0"/>
    <x v="5"/>
    <x v="5"/>
    <x v="5"/>
    <x v="5"/>
    <x v="5"/>
    <x v="5"/>
    <x v="5"/>
    <x v="5"/>
    <x v="5"/>
    <x v="5"/>
    <x v="4"/>
    <x v="4"/>
    <x v="0"/>
    <x v="0"/>
    <x v="0"/>
    <x v="0"/>
    <s v="830046791"/>
    <s v="COFACE SERVICE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PARA CERTIFICACION COFACE CLIENTE TELEPERFORMANCE"/>
    <n v="1518"/>
    <n v="0"/>
    <n v="1518"/>
    <x v="0"/>
    <x v="0"/>
    <x v="0"/>
    <n v="1518"/>
    <n v="0"/>
    <n v="1518"/>
    <x v="0"/>
    <x v="0"/>
    <x v="0"/>
    <n v="1518"/>
    <n v="0"/>
    <n v="1518"/>
    <x v="0"/>
    <x v="0"/>
    <x v="0"/>
    <x v="0"/>
    <x v="0"/>
  </r>
  <r>
    <x v="3"/>
    <x v="0"/>
    <x v="0"/>
    <x v="0"/>
    <x v="0"/>
    <x v="7"/>
    <x v="7"/>
    <n v="25836"/>
    <s v="890903407"/>
    <s v="SEGUROS GENERALES SURAMERICANA S.A"/>
    <s v="20190703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1"/>
    <x v="1"/>
    <x v="1"/>
    <x v="1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"/>
    <n v="300"/>
    <n v="0"/>
    <n v="300"/>
    <x v="0"/>
    <x v="0"/>
    <x v="0"/>
    <n v="300"/>
    <n v="0"/>
    <n v="300"/>
    <x v="0"/>
    <x v="0"/>
    <x v="0"/>
    <n v="300"/>
    <n v="0"/>
    <n v="300"/>
    <x v="0"/>
    <x v="0"/>
    <x v="0"/>
    <x v="0"/>
    <x v="0"/>
  </r>
  <r>
    <x v="1"/>
    <x v="0"/>
    <x v="0"/>
    <x v="1"/>
    <x v="1"/>
    <x v="4"/>
    <x v="4"/>
    <n v="638"/>
    <s v="72187626"/>
    <s v="ULLOA ORTEGA LUIS FERNANDO"/>
    <s v="2019021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130"/>
    <n v="0"/>
    <n v="130"/>
    <x v="0"/>
    <x v="0"/>
    <x v="0"/>
    <n v="130"/>
    <n v="0"/>
    <n v="130"/>
    <x v="0"/>
    <x v="0"/>
    <x v="0"/>
    <n v="130"/>
    <n v="0"/>
    <n v="130"/>
    <x v="0"/>
    <x v="0"/>
    <x v="0"/>
    <x v="0"/>
    <x v="0"/>
  </r>
  <r>
    <x v="1"/>
    <x v="0"/>
    <x v="0"/>
    <x v="0"/>
    <x v="0"/>
    <x v="2"/>
    <x v="2"/>
    <n v="19761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BANCOLOMBIA - FEB 2019"/>
    <n v="6594.99"/>
    <n v="0"/>
    <n v="6594.99"/>
    <x v="0"/>
    <x v="0"/>
    <x v="0"/>
    <n v="6594.99"/>
    <n v="0"/>
    <n v="6594.99"/>
    <x v="0"/>
    <x v="0"/>
    <x v="0"/>
    <n v="6594.99"/>
    <n v="0"/>
    <n v="6594.99"/>
    <x v="0"/>
    <x v="0"/>
    <x v="0"/>
    <x v="0"/>
    <x v="0"/>
  </r>
  <r>
    <x v="5"/>
    <x v="0"/>
    <x v="0"/>
    <x v="0"/>
    <x v="0"/>
    <x v="2"/>
    <x v="2"/>
    <n v="19805"/>
    <s v="800197368"/>
    <s v="DIRECCION DE IMPUESTOS Y ADUANAS NACIONALES"/>
    <s v="201903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FEBRERO-2019."/>
    <n v="415.37"/>
    <n v="0"/>
    <n v="415.37"/>
    <x v="0"/>
    <x v="0"/>
    <x v="0"/>
    <n v="415.37"/>
    <n v="0"/>
    <n v="415.37"/>
    <x v="0"/>
    <x v="0"/>
    <x v="0"/>
    <n v="415.37"/>
    <n v="0"/>
    <n v="415.37"/>
    <x v="0"/>
    <x v="0"/>
    <x v="0"/>
    <x v="0"/>
    <x v="0"/>
  </r>
  <r>
    <x v="5"/>
    <x v="0"/>
    <x v="0"/>
    <x v="0"/>
    <x v="0"/>
    <x v="2"/>
    <x v="2"/>
    <n v="19884"/>
    <s v="900092385"/>
    <s v="EPM TELECOMUNICACIONES S.A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LINEA 01800 - (01/02/2019-28/02/2019)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8"/>
    <s v="830053800"/>
    <s v="TELMEX COLOMBIA SA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 - SERVICIO TRASMISIONES AREA TECNICA EN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9"/>
    <s v="890399003"/>
    <s v="EMPRESAS MUNICIPALES DE CALI E.I.C.E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SERVICIO TELEFONICO 6683884-6672449-6683173-6689603 Y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1"/>
    <x v="1"/>
    <x v="4"/>
    <x v="4"/>
    <n v="657"/>
    <s v="1143135964"/>
    <s v="CABALLERO GONZALEZ JORGE ELIECER"/>
    <s v="2019052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22"/>
    <n v="-322"/>
    <x v="0"/>
    <x v="0"/>
    <x v="0"/>
    <n v="0"/>
    <n v="322"/>
    <n v="-322"/>
    <x v="0"/>
    <x v="0"/>
    <x v="0"/>
    <n v="0"/>
    <n v="322"/>
    <n v="-322"/>
    <x v="0"/>
    <x v="0"/>
    <x v="0"/>
    <x v="0"/>
    <x v="0"/>
  </r>
  <r>
    <x v="6"/>
    <x v="0"/>
    <x v="0"/>
    <x v="1"/>
    <x v="1"/>
    <x v="4"/>
    <x v="4"/>
    <n v="659"/>
    <s v="72187626"/>
    <s v="ULLOA ORTEGA LUIS FERNANDO"/>
    <s v="201905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1120"/>
    <n v="-1120"/>
    <x v="0"/>
    <x v="0"/>
    <x v="0"/>
    <n v="0"/>
    <n v="1120"/>
    <n v="-1120"/>
    <x v="0"/>
    <x v="0"/>
    <x v="0"/>
    <n v="0"/>
    <n v="1120"/>
    <n v="-1120"/>
    <x v="0"/>
    <x v="0"/>
    <x v="0"/>
    <x v="0"/>
    <x v="0"/>
  </r>
  <r>
    <x v="6"/>
    <x v="0"/>
    <x v="0"/>
    <x v="0"/>
    <x v="0"/>
    <x v="2"/>
    <x v="2"/>
    <n v="20237"/>
    <s v="900092385"/>
    <s v="EPM TELECOMUNICACIONES S.A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LINEA 01800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241"/>
    <s v="890399003"/>
    <s v="EMPRESAS MUNICIPALES DE CALI E.I.C.E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MCALI -SERVICIOS PUBLICOS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1"/>
    <x v="1"/>
    <x v="4"/>
    <x v="4"/>
    <n v="661"/>
    <s v="1143441764"/>
    <s v="RODRIGUEZ PADILLA GIOVANNI ENRIQUE"/>
    <s v="201906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950"/>
    <n v="0"/>
    <n v="950"/>
    <x v="0"/>
    <x v="0"/>
    <x v="0"/>
    <n v="950"/>
    <n v="0"/>
    <n v="950"/>
    <x v="0"/>
    <x v="0"/>
    <x v="0"/>
    <n v="950"/>
    <n v="0"/>
    <n v="950"/>
    <x v="0"/>
    <x v="0"/>
    <x v="0"/>
    <x v="0"/>
    <x v="0"/>
  </r>
  <r>
    <x v="2"/>
    <x v="0"/>
    <x v="0"/>
    <x v="0"/>
    <x v="0"/>
    <x v="2"/>
    <x v="2"/>
    <n v="20396"/>
    <s v="860007660"/>
    <s v="HELM BANK S.A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ES DE JUNIO 2019"/>
    <n v="0.76"/>
    <n v="0"/>
    <n v="0.76"/>
    <x v="0"/>
    <x v="0"/>
    <x v="0"/>
    <n v="0.76"/>
    <n v="0"/>
    <n v="0.76"/>
    <x v="0"/>
    <x v="0"/>
    <x v="0"/>
    <n v="0.76"/>
    <n v="0"/>
    <n v="0.76"/>
    <x v="0"/>
    <x v="0"/>
    <x v="0"/>
    <x v="0"/>
    <x v="0"/>
  </r>
  <r>
    <x v="2"/>
    <x v="0"/>
    <x v="0"/>
    <x v="0"/>
    <x v="0"/>
    <x v="2"/>
    <x v="2"/>
    <n v="20443"/>
    <s v="995"/>
    <s v="GASTOS DE MENOR CUANTIA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RECLASIFICACION DE U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3"/>
    <x v="0"/>
    <x v="0"/>
    <x v="0"/>
    <x v="0"/>
    <x v="2"/>
    <x v="2"/>
    <n v="20475"/>
    <s v="890904996"/>
    <s v="EMPRESAS PUBLICAS DE MEDELLIN ESP"/>
    <s v="201907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PUBLICOS CP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467"/>
    <s v="512"/>
    <s v="PAGOS POR NOMINA"/>
    <s v="2019071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512"/>
    <s v="PAGOS POR NOM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ONCILIACION NOMINA MES DE JUNIO DE 2019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0"/>
    <x v="0"/>
    <x v="2"/>
    <x v="2"/>
    <n v="20516"/>
    <s v="900092385"/>
    <s v="EPM TELECOMUNICACIONES S.A.  E.S.P."/>
    <s v="201907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LINEA 0180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4"/>
    <x v="4"/>
    <n v="670"/>
    <s v="72187626"/>
    <s v="ULLOA ORTEGA LUIS FERNANDO"/>
    <s v="201907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8"/>
    <n v="-8"/>
    <x v="0"/>
    <x v="0"/>
    <x v="0"/>
    <n v="0"/>
    <n v="8"/>
    <n v="-8"/>
    <x v="0"/>
    <x v="0"/>
    <x v="0"/>
    <n v="0"/>
    <n v="8"/>
    <n v="-8"/>
    <x v="0"/>
    <x v="0"/>
    <x v="0"/>
    <x v="0"/>
    <x v="0"/>
  </r>
  <r>
    <x v="3"/>
    <x v="0"/>
    <x v="0"/>
    <x v="0"/>
    <x v="0"/>
    <x v="2"/>
    <x v="2"/>
    <n v="20530"/>
    <s v="900092385"/>
    <s v="EPM TELECOMUNICACIONES S.A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IGO UNE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4"/>
    <s v="860007660"/>
    <s v="HELM BANK S.A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46"/>
    <n v="0"/>
    <n v="0.46"/>
    <x v="0"/>
    <x v="0"/>
    <x v="0"/>
    <n v="0.46"/>
    <n v="0"/>
    <n v="0.46"/>
    <x v="0"/>
    <x v="0"/>
    <x v="0"/>
    <n v="0.46"/>
    <n v="0"/>
    <n v="0.46"/>
    <x v="0"/>
    <x v="0"/>
    <x v="0"/>
    <x v="0"/>
    <x v="0"/>
  </r>
  <r>
    <x v="4"/>
    <x v="0"/>
    <x v="0"/>
    <x v="0"/>
    <x v="0"/>
    <x v="2"/>
    <x v="2"/>
    <n v="20636"/>
    <s v="800153993"/>
    <s v="COMUNICACIONES CELULAR S A  COMCEL S A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ODEM CARTELERAS SUPER INTER (JUN-JUL 2019)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0"/>
    <x v="0"/>
    <x v="2"/>
    <x v="2"/>
    <n v="20678"/>
    <s v="860007660"/>
    <s v="HELM BANK S.A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4000000000000001"/>
    <n v="0"/>
    <n v="0.14000000000000001"/>
    <x v="0"/>
    <x v="0"/>
    <x v="0"/>
    <n v="0.14000000000000001"/>
    <n v="0"/>
    <n v="0.14000000000000001"/>
    <x v="0"/>
    <x v="0"/>
    <x v="0"/>
    <n v="0.14000000000000001"/>
    <n v="0"/>
    <n v="0.14000000000000001"/>
    <x v="0"/>
    <x v="0"/>
    <x v="0"/>
    <x v="0"/>
    <x v="0"/>
  </r>
  <r>
    <x v="4"/>
    <x v="0"/>
    <x v="0"/>
    <x v="0"/>
    <x v="0"/>
    <x v="2"/>
    <x v="2"/>
    <n v="20682"/>
    <s v="890905055"/>
    <s v="EMPRESAS VARIAS DE MEDELLIN E.S.P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5055"/>
    <s v="EMPRESAS VARIAS DE MEDELLIN E.S.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83"/>
    <s v="830037248"/>
    <s v="CODENSA S.A. ES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-ENERGIA -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4"/>
    <x v="0"/>
    <x v="0"/>
    <x v="0"/>
    <x v="0"/>
    <x v="2"/>
    <x v="2"/>
    <n v="20684"/>
    <s v="890399003"/>
    <s v="EMPRESAS MUNICIPALES DE CALI E.I.C.E.  E.S.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EMCALI - TEL 6683884-6672449-6683173-6689603 Y SERVICIOS PUBLICOS DIR NAL Y CO 4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0"/>
    <x v="0"/>
    <x v="2"/>
    <x v="2"/>
    <n v="19870"/>
    <s v="890200162"/>
    <s v="ACUEDUCTO METROPOLITANO DE BUCARAMANGA S.A. E.S.P."/>
    <s v="2019032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0162"/>
    <s v="ACUEDUCTO METROPOLITANO DE BUCARAMANGA S.A.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39"/>
    <s v="899999061"/>
    <s v="BOGOTA DISTRITO CAPITAL"/>
    <s v="201901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9999061"/>
    <s v="BOGOTA DISTRITO CAPI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D Y CCIO - NOV-DIC  2018- CO BOGOTA"/>
    <n v="439"/>
    <n v="0"/>
    <n v="439"/>
    <x v="0"/>
    <x v="0"/>
    <x v="0"/>
    <n v="439"/>
    <n v="0"/>
    <n v="439"/>
    <x v="0"/>
    <x v="0"/>
    <x v="0"/>
    <n v="439"/>
    <n v="0"/>
    <n v="439"/>
    <x v="0"/>
    <x v="0"/>
    <x v="0"/>
    <x v="0"/>
    <x v="0"/>
  </r>
  <r>
    <x v="0"/>
    <x v="0"/>
    <x v="0"/>
    <x v="0"/>
    <x v="0"/>
    <x v="2"/>
    <x v="2"/>
    <n v="19542"/>
    <s v="830122566"/>
    <s v="COLOMBIA TELECOMUNICACIONES S.A.-ESP"/>
    <s v="2019011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VARIOS C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0"/>
    <x v="0"/>
    <x v="0"/>
    <x v="1"/>
    <x v="1"/>
    <x v="4"/>
    <x v="4"/>
    <n v="634"/>
    <s v="1143135964"/>
    <s v="CABALLERO GONZALEZ JORGE ELIECER"/>
    <s v="201901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6"/>
    <n v="0"/>
    <n v="266"/>
    <x v="0"/>
    <x v="0"/>
    <x v="0"/>
    <n v="266"/>
    <n v="0"/>
    <n v="266"/>
    <x v="0"/>
    <x v="0"/>
    <x v="0"/>
    <n v="266"/>
    <n v="0"/>
    <n v="266"/>
    <x v="0"/>
    <x v="0"/>
    <x v="0"/>
    <x v="0"/>
    <x v="0"/>
  </r>
  <r>
    <x v="5"/>
    <x v="0"/>
    <x v="0"/>
    <x v="0"/>
    <x v="0"/>
    <x v="2"/>
    <x v="2"/>
    <n v="19825"/>
    <s v="890480184"/>
    <s v="DISTRITO TURISTICO Y CULTURAL DE CARTAGENA DE IND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480184"/>
    <s v="DISTRITO TURISTICO Y CULTURAL DE CARTAGENA DE IND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CARTAGENA ENE-FEB 2019"/>
    <n v="187"/>
    <n v="0"/>
    <n v="187"/>
    <x v="0"/>
    <x v="0"/>
    <x v="0"/>
    <n v="187"/>
    <n v="0"/>
    <n v="187"/>
    <x v="0"/>
    <x v="0"/>
    <x v="0"/>
    <n v="187"/>
    <n v="0"/>
    <n v="187"/>
    <x v="0"/>
    <x v="0"/>
    <x v="0"/>
    <x v="0"/>
    <x v="0"/>
  </r>
  <r>
    <x v="5"/>
    <x v="0"/>
    <x v="0"/>
    <x v="0"/>
    <x v="0"/>
    <x v="2"/>
    <x v="2"/>
    <n v="19821"/>
    <s v="890399011"/>
    <s v="MUNICIPIO DE SANTIAGO DE CAL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11"/>
    <s v="MUNICIPIO DE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ICA- CALI ( ENE-FEB 2019)"/>
    <n v="152"/>
    <n v="0"/>
    <n v="152"/>
    <x v="0"/>
    <x v="0"/>
    <x v="0"/>
    <n v="152"/>
    <n v="0"/>
    <n v="152"/>
    <x v="0"/>
    <x v="0"/>
    <x v="0"/>
    <n v="152"/>
    <n v="0"/>
    <n v="152"/>
    <x v="0"/>
    <x v="0"/>
    <x v="0"/>
    <x v="0"/>
    <x v="0"/>
  </r>
  <r>
    <x v="5"/>
    <x v="0"/>
    <x v="0"/>
    <x v="0"/>
    <x v="0"/>
    <x v="2"/>
    <x v="2"/>
    <n v="19822"/>
    <s v="890102018"/>
    <s v="MUNICIPIO DE BARRANQUILLA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BARRANQUILLA (ENE-FEB 2019)"/>
    <n v="408"/>
    <n v="0"/>
    <n v="408"/>
    <x v="0"/>
    <x v="0"/>
    <x v="0"/>
    <n v="408"/>
    <n v="0"/>
    <n v="408"/>
    <x v="0"/>
    <x v="0"/>
    <x v="0"/>
    <n v="408"/>
    <n v="0"/>
    <n v="408"/>
    <x v="0"/>
    <x v="0"/>
    <x v="0"/>
    <x v="0"/>
    <x v="0"/>
  </r>
  <r>
    <x v="5"/>
    <x v="0"/>
    <x v="0"/>
    <x v="1"/>
    <x v="1"/>
    <x v="4"/>
    <x v="4"/>
    <n v="645"/>
    <s v="22656341"/>
    <s v="ARIAS QUINTERO NELVIS ROCIO"/>
    <s v="201903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0"/>
    <n v="-20"/>
    <x v="0"/>
    <x v="0"/>
    <x v="0"/>
    <n v="0"/>
    <n v="20"/>
    <n v="-20"/>
    <x v="0"/>
    <x v="0"/>
    <x v="0"/>
    <n v="0"/>
    <n v="20"/>
    <n v="-20"/>
    <x v="0"/>
    <x v="0"/>
    <x v="0"/>
    <x v="0"/>
    <x v="0"/>
  </r>
  <r>
    <x v="7"/>
    <x v="0"/>
    <x v="0"/>
    <x v="0"/>
    <x v="0"/>
    <x v="2"/>
    <x v="2"/>
    <n v="19978"/>
    <s v="800153993"/>
    <s v="COMUNICACIONES CELULAR S A  COMCEL S A"/>
    <s v="2019040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VARIOS CO- COOMEVA CARTELER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70"/>
    <s v="830053800"/>
    <s v="TELMEX COLOMBIA SA"/>
    <s v="2019050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- ABRI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93"/>
    <s v="900397145"/>
    <s v="TILETRADE S.A."/>
    <s v="201905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 01 - (Saldo de Utilidad del año 2015-Utilidad del año 2017)- USD 3585.16 (TRM 3313.80)"/>
    <n v="0.21"/>
    <n v="0"/>
    <n v="0.21"/>
    <x v="0"/>
    <x v="0"/>
    <x v="0"/>
    <n v="0.21"/>
    <n v="0"/>
    <n v="0.21"/>
    <x v="0"/>
    <x v="0"/>
    <x v="0"/>
    <n v="0.21"/>
    <n v="0"/>
    <n v="0.21"/>
    <x v="0"/>
    <x v="0"/>
    <x v="0"/>
    <x v="0"/>
    <x v="0"/>
  </r>
  <r>
    <x v="2"/>
    <x v="0"/>
    <x v="0"/>
    <x v="0"/>
    <x v="0"/>
    <x v="2"/>
    <x v="2"/>
    <n v="20362"/>
    <s v="830037248"/>
    <s v="CODENSA S.A. ESP.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NERGIA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2"/>
    <x v="0"/>
    <x v="0"/>
    <x v="1"/>
    <x v="1"/>
    <x v="4"/>
    <x v="4"/>
    <n v="662"/>
    <s v="1143135964"/>
    <s v="CABALLERO GONZALEZ JORGE ELIECER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80"/>
    <n v="-280"/>
    <x v="0"/>
    <x v="0"/>
    <x v="0"/>
    <n v="0"/>
    <n v="280"/>
    <n v="-280"/>
    <x v="0"/>
    <x v="0"/>
    <x v="0"/>
    <n v="0"/>
    <n v="280"/>
    <n v="-280"/>
    <x v="0"/>
    <x v="0"/>
    <x v="0"/>
    <x v="0"/>
    <x v="0"/>
  </r>
  <r>
    <x v="3"/>
    <x v="0"/>
    <x v="0"/>
    <x v="1"/>
    <x v="1"/>
    <x v="4"/>
    <x v="4"/>
    <n v="667"/>
    <s v="72187626"/>
    <s v="ULLOA ORTEGA LUIS FERNANDO"/>
    <s v="201907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0"/>
    <n v="0"/>
    <n v="650"/>
    <x v="0"/>
    <x v="0"/>
    <x v="0"/>
    <n v="650"/>
    <n v="0"/>
    <n v="650"/>
    <x v="0"/>
    <x v="0"/>
    <x v="0"/>
    <n v="650"/>
    <n v="0"/>
    <n v="650"/>
    <x v="0"/>
    <x v="0"/>
    <x v="0"/>
    <x v="0"/>
    <x v="0"/>
  </r>
  <r>
    <x v="3"/>
    <x v="0"/>
    <x v="0"/>
    <x v="0"/>
    <x v="0"/>
    <x v="2"/>
    <x v="2"/>
    <n v="20537"/>
    <s v="890399003"/>
    <s v="EMPRESAS MUNICIPALES DE CALI E.I.C.E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TEL 6683884/6683173/6689603/6672449 Y SERVICIOS PUBLICOS DIR NAL"/>
    <n v="3"/>
    <n v="0"/>
    <n v="3"/>
    <x v="0"/>
    <x v="0"/>
    <x v="0"/>
    <n v="3"/>
    <n v="0"/>
    <n v="3"/>
    <x v="0"/>
    <x v="0"/>
    <x v="0"/>
    <n v="3"/>
    <n v="0"/>
    <n v="3"/>
    <x v="0"/>
    <x v="0"/>
    <x v="0"/>
    <x v="0"/>
    <x v="0"/>
  </r>
  <r>
    <x v="4"/>
    <x v="0"/>
    <x v="0"/>
    <x v="0"/>
    <x v="0"/>
    <x v="3"/>
    <x v="3"/>
    <n v="348"/>
    <s v="10131503"/>
    <s v="CANO RIOS JUAN CARLOS"/>
    <s v="201908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10131503"/>
    <s v="CANO RIOS JUAN CARL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ANTICIPO AP - 450 - 200 REGISTRO CAMARA DE COMERCI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5"/>
    <x v="0"/>
    <x v="0"/>
    <x v="0"/>
    <x v="0"/>
    <x v="2"/>
    <x v="2"/>
    <n v="19923"/>
    <s v="860047239"/>
    <s v="MUSICAR S.A.S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UENTA DE DIVIDENDOS AÑO 2018"/>
    <n v="109"/>
    <n v="0"/>
    <n v="109"/>
    <x v="0"/>
    <x v="0"/>
    <x v="0"/>
    <n v="109"/>
    <n v="0"/>
    <n v="109"/>
    <x v="0"/>
    <x v="0"/>
    <x v="0"/>
    <n v="109"/>
    <n v="0"/>
    <n v="109"/>
    <x v="0"/>
    <x v="0"/>
    <x v="0"/>
    <x v="0"/>
    <x v="0"/>
  </r>
  <r>
    <x v="7"/>
    <x v="0"/>
    <x v="0"/>
    <x v="0"/>
    <x v="0"/>
    <x v="2"/>
    <x v="2"/>
    <n v="19936"/>
    <s v="860047239"/>
    <s v="MUSICAR S.A.S"/>
    <s v="201904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MARZO-2019"/>
    <n v="161.6"/>
    <n v="0"/>
    <n v="161.6"/>
    <x v="0"/>
    <x v="0"/>
    <x v="0"/>
    <n v="161.6"/>
    <n v="0"/>
    <n v="161.6"/>
    <x v="0"/>
    <x v="0"/>
    <x v="0"/>
    <n v="161.6"/>
    <n v="0"/>
    <n v="161.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7191.9"/>
    <n v="0"/>
    <n v="7191.9000000000005"/>
    <x v="0"/>
    <x v="0"/>
    <x v="0"/>
    <n v="7191.9"/>
    <n v="0"/>
    <n v="7191.9000000000005"/>
    <x v="0"/>
    <x v="0"/>
    <x v="0"/>
    <n v="7191.9"/>
    <n v="0"/>
    <n v="7191.900000000000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06142312021030"/>
    <s v="MUSICAR EL SALVADOR S.A DE CV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796235"/>
    <n v="0"/>
    <n v="796235"/>
    <x v="0"/>
    <x v="0"/>
    <x v="0"/>
    <n v="796235"/>
    <n v="0"/>
    <n v="796235"/>
    <x v="0"/>
    <x v="0"/>
    <x v="0"/>
    <n v="796235"/>
    <n v="0"/>
    <n v="79623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3130"/>
    <n v="0"/>
    <n v="3130"/>
    <x v="0"/>
    <x v="0"/>
    <x v="0"/>
    <n v="3130"/>
    <n v="0"/>
    <n v="3130"/>
    <x v="0"/>
    <x v="0"/>
    <x v="0"/>
    <n v="3130"/>
    <n v="0"/>
    <n v="313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349.99"/>
    <n v="0"/>
    <n v="3349.9900000000002"/>
    <x v="0"/>
    <x v="0"/>
    <x v="0"/>
    <n v="3349.99"/>
    <n v="0"/>
    <n v="3349.9900000000002"/>
    <x v="0"/>
    <x v="0"/>
    <x v="0"/>
    <n v="3349.99"/>
    <n v="0"/>
    <n v="3349.9900000000002"/>
    <x v="0"/>
    <x v="0"/>
    <x v="0"/>
    <x v="0"/>
    <x v="0"/>
  </r>
  <r>
    <x v="3"/>
    <x v="0"/>
    <x v="0"/>
    <x v="3"/>
    <x v="3"/>
    <x v="4"/>
    <x v="4"/>
    <n v="145"/>
    <s v="1128280824"/>
    <s v="OSORIO SANCHEZ WILSON DARIO"/>
    <s v="201907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71595034"/>
    <s v="RIOS NARANJO MAR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ÓN DE 1%"/>
    <n v="3200"/>
    <n v="0"/>
    <n v="3200"/>
    <x v="0"/>
    <x v="0"/>
    <x v="0"/>
    <n v="3200"/>
    <n v="0"/>
    <n v="3200"/>
    <x v="0"/>
    <x v="0"/>
    <x v="0"/>
    <n v="3200"/>
    <n v="0"/>
    <n v="3200"/>
    <x v="0"/>
    <x v="0"/>
    <x v="0"/>
    <x v="0"/>
    <x v="0"/>
  </r>
  <r>
    <x v="4"/>
    <x v="0"/>
    <x v="0"/>
    <x v="0"/>
    <x v="0"/>
    <x v="3"/>
    <x v="3"/>
    <n v="349"/>
    <s v="1118283794"/>
    <s v="ROMERO SERNA LEIDY CATALINA"/>
    <s v="20190808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1118283794"/>
    <s v="ROMERO SERNA LEIDY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ON RENTA"/>
    <n v="93600"/>
    <n v="0"/>
    <n v="93600"/>
    <x v="0"/>
    <x v="0"/>
    <x v="0"/>
    <n v="93600"/>
    <n v="0"/>
    <n v="93600"/>
    <x v="0"/>
    <x v="0"/>
    <x v="0"/>
    <n v="93600"/>
    <n v="0"/>
    <n v="93600"/>
    <x v="0"/>
    <x v="0"/>
    <x v="0"/>
    <x v="0"/>
    <x v="0"/>
  </r>
  <r>
    <x v="4"/>
    <x v="0"/>
    <x v="0"/>
    <x v="3"/>
    <x v="3"/>
    <x v="3"/>
    <x v="3"/>
    <n v="167"/>
    <s v="71590620"/>
    <s v="RINCON CARO ODILIO DE JESUS"/>
    <s v="20190822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1037265346"/>
    <s v="RUIZ MORALES JUAN GUILLERM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LEVANTAMIENTO DE Y DIBUJO DE REDES C.C. AVENTURA"/>
    <n v="18000"/>
    <n v="0"/>
    <n v="18000"/>
    <x v="0"/>
    <x v="0"/>
    <x v="0"/>
    <n v="18000"/>
    <n v="0"/>
    <n v="18000"/>
    <x v="0"/>
    <x v="0"/>
    <x v="0"/>
    <n v="18000"/>
    <n v="0"/>
    <n v="180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032471"/>
    <s v="ARDILA CORTES NATHA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42140339"/>
    <s v="LILI JOHANA RUIZ GRAJ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900576027"/>
    <s v="LOMA LIND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144142603"/>
    <s v="MINA PEREZ Y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30400"/>
    <n v="0"/>
    <n v="30400"/>
    <x v="0"/>
    <x v="0"/>
    <x v="0"/>
    <n v="30400"/>
    <n v="0"/>
    <n v="30400"/>
    <x v="0"/>
    <x v="0"/>
    <x v="0"/>
    <n v="30400"/>
    <n v="0"/>
    <n v="304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142334"/>
    <s v="PACHAMAMA HOTEL SP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25650"/>
    <n v="0"/>
    <n v="25650"/>
    <x v="0"/>
    <x v="0"/>
    <x v="0"/>
    <n v="25650"/>
    <n v="0"/>
    <n v="25650"/>
    <x v="0"/>
    <x v="0"/>
    <x v="0"/>
    <n v="25650"/>
    <n v="0"/>
    <n v="2565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238756"/>
    <s v="ROMAN PERDOMO MONICA JULI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1"/>
    <x v="0"/>
    <x v="0"/>
    <x v="0"/>
    <x v="0"/>
    <x v="2"/>
    <x v="2"/>
    <n v="19682"/>
    <s v="890102018"/>
    <s v="MUNICIPIO DE BARRANQUILLA"/>
    <s v="201902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RRECION DEC 2016 BARRAQUILLA"/>
    <n v="392000"/>
    <n v="0"/>
    <n v="392000"/>
    <x v="0"/>
    <x v="0"/>
    <x v="0"/>
    <n v="392000"/>
    <n v="0"/>
    <n v="392000"/>
    <x v="0"/>
    <x v="0"/>
    <x v="0"/>
    <n v="392000"/>
    <n v="0"/>
    <n v="392000"/>
    <x v="0"/>
    <x v="0"/>
    <x v="0"/>
    <x v="0"/>
    <x v="0"/>
  </r>
  <r>
    <x v="6"/>
    <x v="0"/>
    <x v="0"/>
    <x v="0"/>
    <x v="0"/>
    <x v="2"/>
    <x v="2"/>
    <n v="20251"/>
    <s v="890905211"/>
    <s v="MUNICIPIO DE MEDELLIN - SECRETARIA DE MOVILIDAD"/>
    <s v="20190531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 PAGO IND Y CIO MEDELLIN - ABRIL Y MAYO 2019"/>
    <n v="26828"/>
    <n v="0"/>
    <n v="26828"/>
    <x v="0"/>
    <x v="0"/>
    <x v="0"/>
    <n v="26828"/>
    <n v="0"/>
    <n v="26828"/>
    <x v="0"/>
    <x v="0"/>
    <x v="0"/>
    <n v="26828"/>
    <n v="0"/>
    <n v="26828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ON AE-229 PAGO SANCION EXTEMPORANEIDAD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NDUSTRIA Y COMERCIO MES DE MARZO REGIONAL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4"/>
    <x v="0"/>
    <x v="0"/>
    <x v="4"/>
    <x v="4"/>
    <x v="3"/>
    <x v="3"/>
    <n v="232"/>
    <s v="1098657994"/>
    <s v="HERNANDEZ ROJAS JOHN EDISON"/>
    <s v="20190816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MPUESTO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0"/>
    <x v="0"/>
    <x v="0"/>
    <x v="2"/>
    <x v="2"/>
    <x v="9"/>
    <x v="9"/>
    <n v="1446"/>
    <s v="860049609"/>
    <s v="MILSEN S.A.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ANUAL $679.874"/>
    <n v="679874"/>
    <n v="0"/>
    <n v="679874"/>
    <x v="0"/>
    <x v="0"/>
    <x v="0"/>
    <n v="679874"/>
    <n v="0"/>
    <n v="679874"/>
    <x v="0"/>
    <x v="0"/>
    <x v="0"/>
    <n v="679874"/>
    <n v="0"/>
    <n v="679874"/>
    <x v="0"/>
    <x v="0"/>
    <x v="0"/>
    <x v="0"/>
    <x v="0"/>
  </r>
  <r>
    <x v="0"/>
    <x v="0"/>
    <x v="0"/>
    <x v="5"/>
    <x v="5"/>
    <x v="1"/>
    <x v="1"/>
    <n v="45487"/>
    <s v="800047266"/>
    <s v="QUIMICA COLOMBIANA LTDA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7266"/>
    <s v="QUIMICA COLOMBIA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766"/>
    <n v="0"/>
    <n v="1766"/>
    <x v="0"/>
    <x v="0"/>
    <x v="0"/>
    <n v="1766"/>
    <n v="0"/>
    <n v="1766"/>
    <x v="0"/>
    <x v="0"/>
    <x v="0"/>
    <n v="1766"/>
    <n v="0"/>
    <n v="1766"/>
    <x v="0"/>
    <x v="0"/>
    <x v="0"/>
    <x v="0"/>
    <x v="0"/>
  </r>
  <r>
    <x v="0"/>
    <x v="0"/>
    <x v="0"/>
    <x v="5"/>
    <x v="5"/>
    <x v="9"/>
    <x v="9"/>
    <n v="1198"/>
    <s v="805012610"/>
    <s v="FINES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62.778 En factura."/>
    <n v="62778"/>
    <n v="0"/>
    <n v="62778"/>
    <x v="0"/>
    <x v="0"/>
    <x v="0"/>
    <n v="62778"/>
    <n v="0"/>
    <n v="62778"/>
    <x v="0"/>
    <x v="0"/>
    <x v="0"/>
    <n v="62778"/>
    <n v="0"/>
    <n v="62778"/>
    <x v="0"/>
    <x v="0"/>
    <x v="0"/>
    <x v="0"/>
    <x v="0"/>
  </r>
  <r>
    <x v="0"/>
    <x v="0"/>
    <x v="0"/>
    <x v="5"/>
    <x v="5"/>
    <x v="1"/>
    <x v="1"/>
    <n v="45499"/>
    <s v="805009741"/>
    <s v="COOMEVA MEDICINA PREPAGAD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2"/>
    <x v="2"/>
    <x v="9"/>
    <x v="9"/>
    <n v="1449"/>
    <s v="860032450"/>
    <s v="POLLO FIESTA LTD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32450"/>
    <s v="POLLO FIESTA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4.5% POR SEMESTRE ANTICIPADO."/>
    <n v="30632"/>
    <n v="0"/>
    <n v="30632"/>
    <x v="0"/>
    <x v="0"/>
    <x v="0"/>
    <n v="30632"/>
    <n v="0"/>
    <n v="30632"/>
    <x v="0"/>
    <x v="0"/>
    <x v="0"/>
    <n v="30632"/>
    <n v="0"/>
    <n v="30632"/>
    <x v="0"/>
    <x v="0"/>
    <x v="0"/>
    <x v="0"/>
    <x v="0"/>
  </r>
  <r>
    <x v="0"/>
    <x v="0"/>
    <x v="0"/>
    <x v="6"/>
    <x v="6"/>
    <x v="9"/>
    <x v="9"/>
    <n v="1106"/>
    <s v="830073145"/>
    <s v="ADMINISTRADORA DE HOTELES NUEVA GRANADA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73145"/>
    <s v="ADMINISTRADORA DE HOTELES NUEVA GRAN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4 DESCUENTO  DE $ 23.579 POR PAGO ANTICIPADO"/>
    <n v="23579"/>
    <n v="0"/>
    <n v="23579"/>
    <x v="0"/>
    <x v="0"/>
    <x v="0"/>
    <n v="23579"/>
    <n v="0"/>
    <n v="23579"/>
    <x v="0"/>
    <x v="0"/>
    <x v="0"/>
    <n v="23579"/>
    <n v="0"/>
    <n v="23579"/>
    <x v="0"/>
    <x v="0"/>
    <x v="0"/>
    <x v="0"/>
    <x v="0"/>
  </r>
  <r>
    <x v="0"/>
    <x v="0"/>
    <x v="0"/>
    <x v="3"/>
    <x v="3"/>
    <x v="9"/>
    <x v="9"/>
    <n v="1079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8 - DCTO 9% AÑO ANTICIPADO $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3"/>
    <x v="3"/>
    <x v="9"/>
    <x v="9"/>
    <n v="1080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450 DCTO 9% PAGO ANTICIPADO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1"/>
    <x v="1"/>
    <x v="1"/>
    <x v="1"/>
    <n v="23996"/>
    <s v="890102508"/>
    <s v="SALES INMOBILIARIA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642"/>
    <s v="800196652"/>
    <s v="INSTITUTO CARDIOVASCULAR Y DE ESTUDIOS ESPECIALE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96652"/>
    <s v="INSTITUTO CARDIOVASCULAR Y DE ESTUDIOS ESPECI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"/>
    <n v="228"/>
    <n v="0"/>
    <n v="228"/>
    <x v="0"/>
    <x v="0"/>
    <x v="0"/>
    <n v="228"/>
    <n v="0"/>
    <n v="228"/>
    <x v="0"/>
    <x v="0"/>
    <x v="0"/>
    <n v="228"/>
    <n v="0"/>
    <n v="228"/>
    <x v="0"/>
    <x v="0"/>
    <x v="0"/>
    <x v="0"/>
    <x v="0"/>
  </r>
  <r>
    <x v="0"/>
    <x v="0"/>
    <x v="0"/>
    <x v="5"/>
    <x v="5"/>
    <x v="1"/>
    <x v="1"/>
    <n v="45647"/>
    <s v="890901218"/>
    <s v="TIENDAS DE ROPA INTIMA S.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1218"/>
    <s v="TIENDAS DE ROPA INTIM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3"/>
    <x v="3"/>
    <x v="1"/>
    <x v="1"/>
    <n v="37092"/>
    <s v="890900943"/>
    <s v="COLOMBIANA DE COMERCIO S.A. Y/O ALKOSTO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943"/>
    <s v="COLOMBIANA DE COMERCIO S.A. Y/O ALKOSTO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200"/>
    <n v="1239"/>
    <n v="0"/>
    <n v="1239"/>
    <x v="0"/>
    <x v="0"/>
    <x v="0"/>
    <n v="1239"/>
    <n v="0"/>
    <n v="1239"/>
    <x v="0"/>
    <x v="0"/>
    <x v="0"/>
    <n v="1239"/>
    <n v="0"/>
    <n v="1239"/>
    <x v="0"/>
    <x v="0"/>
    <x v="0"/>
    <x v="0"/>
    <x v="0"/>
  </r>
  <r>
    <x v="1"/>
    <x v="0"/>
    <x v="0"/>
    <x v="5"/>
    <x v="5"/>
    <x v="1"/>
    <x v="1"/>
    <n v="45693"/>
    <s v="860046201"/>
    <s v="FORTOX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5"/>
    <x v="5"/>
    <x v="1"/>
    <x v="1"/>
    <n v="45694"/>
    <s v="860037900"/>
    <s v="CONSTRUCTORA  BOLIVAR  CALI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5"/>
    <x v="5"/>
    <x v="9"/>
    <x v="9"/>
    <n v="1226"/>
    <s v="890300513"/>
    <s v="CLINICA DE OCCIDENTE S.A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513"/>
    <s v="CLINICA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del 2.25 %trimestre anticipado.$13.570."/>
    <n v="13570"/>
    <n v="0"/>
    <n v="13570"/>
    <x v="0"/>
    <x v="0"/>
    <x v="0"/>
    <n v="13570"/>
    <n v="0"/>
    <n v="13570"/>
    <x v="0"/>
    <x v="0"/>
    <x v="0"/>
    <n v="13570"/>
    <n v="0"/>
    <n v="13570"/>
    <x v="0"/>
    <x v="0"/>
    <x v="0"/>
    <x v="0"/>
    <x v="0"/>
  </r>
  <r>
    <x v="1"/>
    <x v="0"/>
    <x v="0"/>
    <x v="2"/>
    <x v="2"/>
    <x v="9"/>
    <x v="9"/>
    <n v="1463"/>
    <s v="800076770"/>
    <s v="CORRIENTE ALTERNA LTDA"/>
    <s v="201902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76770"/>
    <s v="CORRIENTE ALTER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4.5 % POR PAGO DE SEMESTRE ANTICIPADO."/>
    <n v="49881"/>
    <n v="0"/>
    <n v="49881"/>
    <x v="0"/>
    <x v="0"/>
    <x v="0"/>
    <n v="49881"/>
    <n v="0"/>
    <n v="49881"/>
    <x v="0"/>
    <x v="0"/>
    <x v="0"/>
    <n v="49881"/>
    <n v="0"/>
    <n v="49881"/>
    <x v="0"/>
    <x v="0"/>
    <x v="0"/>
    <x v="0"/>
    <x v="0"/>
  </r>
  <r>
    <x v="1"/>
    <x v="0"/>
    <x v="0"/>
    <x v="5"/>
    <x v="5"/>
    <x v="1"/>
    <x v="1"/>
    <n v="45940"/>
    <s v="805009741"/>
    <s v="COOMEVA MEDICINA PREPAGADA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OMEV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5"/>
    <x v="5"/>
    <x v="1"/>
    <x v="1"/>
    <n v="45926"/>
    <s v="890304375"/>
    <s v="INDUGRAFICAS S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1"/>
    <x v="0"/>
    <x v="0"/>
    <x v="5"/>
    <x v="5"/>
    <x v="9"/>
    <x v="9"/>
    <n v="1235"/>
    <s v="890315430"/>
    <s v="AGRICOLA COLOMBIANA S.A.-AGRICOL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5430"/>
    <s v="AGRICOLA COLOMBIANA S.A.-AGRI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DESCUENTO $32.944, RETEIVA $20.865"/>
    <n v="32944"/>
    <n v="0"/>
    <n v="32944"/>
    <x v="0"/>
    <x v="0"/>
    <x v="0"/>
    <n v="32944"/>
    <n v="0"/>
    <n v="32944"/>
    <x v="0"/>
    <x v="0"/>
    <x v="0"/>
    <n v="32944"/>
    <n v="0"/>
    <n v="32944"/>
    <x v="0"/>
    <x v="0"/>
    <x v="0"/>
    <x v="0"/>
    <x v="0"/>
  </r>
  <r>
    <x v="0"/>
    <x v="0"/>
    <x v="0"/>
    <x v="3"/>
    <x v="3"/>
    <x v="1"/>
    <x v="1"/>
    <n v="37029"/>
    <s v="800032634"/>
    <s v="CENTRO COMERCIAL METRO CENTRO 1"/>
    <s v="201901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00032634"/>
    <s v="CENTRO COMERCIAL METRO CENTRO 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1"/>
    <n v="13120"/>
    <n v="0"/>
    <n v="13120"/>
    <x v="0"/>
    <x v="0"/>
    <x v="0"/>
    <n v="13120"/>
    <n v="0"/>
    <n v="13120"/>
    <x v="0"/>
    <x v="0"/>
    <x v="0"/>
    <n v="13120"/>
    <n v="0"/>
    <n v="13120"/>
    <x v="0"/>
    <x v="0"/>
    <x v="0"/>
    <x v="0"/>
    <x v="0"/>
  </r>
  <r>
    <x v="5"/>
    <x v="0"/>
    <x v="0"/>
    <x v="3"/>
    <x v="3"/>
    <x v="1"/>
    <x v="1"/>
    <n v="37258"/>
    <s v="811007125"/>
    <s v="RIO ASEO TOTAL"/>
    <s v="20190305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540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2"/>
    <x v="0"/>
    <x v="0"/>
    <x v="0"/>
    <x v="0"/>
    <x v="0"/>
    <x v="0"/>
    <n v="4316"/>
    <s v="900138858"/>
    <s v="BRECCIA SALUD S.A.S."/>
    <s v="20190619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900138858"/>
    <s v="BRECCIA SALUD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FUENTE"/>
    <n v="57233"/>
    <n v="0"/>
    <n v="57233"/>
    <x v="0"/>
    <x v="0"/>
    <x v="0"/>
    <n v="57233"/>
    <n v="0"/>
    <n v="57233"/>
    <x v="0"/>
    <x v="0"/>
    <x v="0"/>
    <n v="57233"/>
    <n v="0"/>
    <n v="57233"/>
    <x v="0"/>
    <x v="0"/>
    <x v="0"/>
    <x v="0"/>
    <x v="0"/>
  </r>
  <r>
    <x v="3"/>
    <x v="0"/>
    <x v="0"/>
    <x v="0"/>
    <x v="0"/>
    <x v="0"/>
    <x v="0"/>
    <n v="4342"/>
    <s v="900699086"/>
    <s v="CLINICA PALMA REAL S.A.S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3"/>
    <x v="0"/>
    <x v="0"/>
    <x v="0"/>
    <x v="0"/>
    <x v="2"/>
    <x v="2"/>
    <n v="20538"/>
    <s v="890905211"/>
    <s v="MUNICIPIO DE MEDELLIN - SECRETARIA DE MOVILIDAD"/>
    <s v="20190730"/>
    <x v="13"/>
    <x v="0"/>
    <x v="13"/>
    <x v="0"/>
    <x v="0"/>
    <x v="0"/>
    <x v="0"/>
    <x v="0"/>
    <x v="2"/>
    <x v="2"/>
    <x v="7"/>
    <x v="7"/>
    <x v="13"/>
    <x v="13"/>
    <x v="13"/>
    <x v="13"/>
    <x v="13"/>
    <x v="13"/>
    <x v="13"/>
    <x v="13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MPUESTOS CO 464 ( JUNIO/JULIO) 2019"/>
    <n v="26801"/>
    <n v="0"/>
    <n v="26801"/>
    <x v="0"/>
    <x v="0"/>
    <x v="0"/>
    <n v="26801"/>
    <n v="0"/>
    <n v="26801"/>
    <x v="0"/>
    <x v="0"/>
    <x v="0"/>
    <n v="26801"/>
    <n v="0"/>
    <n v="268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5"/>
    <x v="0"/>
    <x v="0"/>
    <x v="3"/>
    <x v="3"/>
    <x v="7"/>
    <x v="7"/>
    <n v="3485"/>
    <s v="890903407"/>
    <s v="SEGUROS GENERALES SURAMERICANA S.A"/>
    <s v="20190318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3"/>
    <x v="3"/>
    <x v="0"/>
    <x v="0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 - ESE HOSPITAL MENTAL DE ANTIOQUI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4"/>
    <s v="1143441764"/>
    <s v="RODRIGUEZ PADILLA GIOVANNI ENRIQUE"/>
    <s v="201903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520"/>
    <n v="-520"/>
    <x v="0"/>
    <x v="0"/>
    <x v="0"/>
    <n v="0"/>
    <n v="520"/>
    <n v="-520"/>
    <x v="0"/>
    <x v="0"/>
    <x v="0"/>
    <n v="0"/>
    <n v="520"/>
    <n v="-520"/>
    <x v="0"/>
    <x v="0"/>
    <x v="0"/>
    <x v="0"/>
    <x v="0"/>
  </r>
  <r>
    <x v="0"/>
    <x v="0"/>
    <x v="0"/>
    <x v="0"/>
    <x v="0"/>
    <x v="2"/>
    <x v="2"/>
    <n v="19555"/>
    <s v="830053800"/>
    <s v="TELMEX COLOMBIA SA"/>
    <s v="2019012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60"/>
    <s v="830122566"/>
    <s v="COLOMBIA TELECOMUNICACIONES S.A.-ESP"/>
    <s v="201901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S SERVICIOS PUBLICOS Y TEL VARIOS C.O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32"/>
    <s v="890399003"/>
    <s v="EMPRESAS MUNICIPALES DE CALI E.I.C.E.  E.S.P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SERVICIOS PUBLICOS DIR NAL Y CO CALI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28"/>
    <s v="890904996"/>
    <s v="EMPRESAS PUBLICAS DE MEDELLIN ESP"/>
    <s v="201903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SERVICIOS  CO 464-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2"/>
    <s v="72187626"/>
    <s v="ULLOA ORTEGA LUIS FERNANDO"/>
    <s v="2019031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68"/>
    <n v="-368"/>
    <x v="0"/>
    <x v="0"/>
    <x v="0"/>
    <n v="0"/>
    <n v="368"/>
    <n v="-368"/>
    <x v="0"/>
    <x v="0"/>
    <x v="0"/>
    <n v="0"/>
    <n v="368"/>
    <n v="-368"/>
    <x v="0"/>
    <x v="0"/>
    <x v="0"/>
    <x v="0"/>
    <x v="0"/>
  </r>
  <r>
    <x v="5"/>
    <x v="0"/>
    <x v="0"/>
    <x v="1"/>
    <x v="1"/>
    <x v="4"/>
    <x v="4"/>
    <n v="647"/>
    <s v="8763635"/>
    <s v="MOLINA PACHECO LUIS EDUARDO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"/>
    <n v="0"/>
    <n v="26"/>
    <x v="0"/>
    <x v="0"/>
    <x v="0"/>
    <n v="26"/>
    <n v="0"/>
    <n v="26"/>
    <x v="0"/>
    <x v="0"/>
    <x v="0"/>
    <n v="26"/>
    <n v="0"/>
    <n v="26"/>
    <x v="0"/>
    <x v="0"/>
    <x v="0"/>
    <x v="0"/>
    <x v="0"/>
  </r>
  <r>
    <x v="7"/>
    <x v="0"/>
    <x v="0"/>
    <x v="1"/>
    <x v="1"/>
    <x v="4"/>
    <x v="4"/>
    <n v="649"/>
    <s v="1143441764"/>
    <s v="RODRIGUEZ PADILLA GIOVANNI ENRIQUE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70"/>
    <n v="0"/>
    <n v="670"/>
    <x v="0"/>
    <x v="0"/>
    <x v="0"/>
    <n v="670"/>
    <n v="0"/>
    <n v="670"/>
    <x v="0"/>
    <x v="0"/>
    <x v="0"/>
    <n v="670"/>
    <n v="0"/>
    <n v="670"/>
    <x v="0"/>
    <x v="0"/>
    <x v="0"/>
    <x v="0"/>
    <x v="0"/>
  </r>
  <r>
    <x v="7"/>
    <x v="0"/>
    <x v="0"/>
    <x v="1"/>
    <x v="1"/>
    <x v="4"/>
    <x v="4"/>
    <n v="648"/>
    <s v="72187626"/>
    <s v="ULLOA ORTEGA LUIS FERNANDO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2187626"/>
    <s v="ULLOA ORTEGA LUIS FERNAN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914"/>
    <n v="-914"/>
    <x v="0"/>
    <x v="0"/>
    <x v="0"/>
    <n v="0"/>
    <n v="914"/>
    <n v="-914"/>
    <x v="0"/>
    <x v="0"/>
    <x v="0"/>
    <n v="0"/>
    <n v="914"/>
    <n v="-914"/>
    <x v="0"/>
    <x v="0"/>
    <x v="0"/>
    <x v="0"/>
    <x v="0"/>
  </r>
  <r>
    <x v="7"/>
    <x v="0"/>
    <x v="0"/>
    <x v="0"/>
    <x v="0"/>
    <x v="2"/>
    <x v="2"/>
    <n v="20056"/>
    <s v="890399003"/>
    <s v="EMPRESAS MUNICIPALES DE CALI E.I.C.E.  E.S.P."/>
    <s v="201904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146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ABRIL-2019."/>
    <n v="467.95"/>
    <n v="0"/>
    <n v="467.95"/>
    <x v="0"/>
    <x v="0"/>
    <x v="0"/>
    <n v="467.95"/>
    <n v="0"/>
    <n v="467.95"/>
    <x v="0"/>
    <x v="0"/>
    <x v="0"/>
    <n v="467.95"/>
    <n v="0"/>
    <n v="467.95"/>
    <x v="0"/>
    <x v="0"/>
    <x v="0"/>
    <x v="0"/>
    <x v="0"/>
  </r>
  <r>
    <x v="6"/>
    <x v="0"/>
    <x v="0"/>
    <x v="0"/>
    <x v="0"/>
    <x v="2"/>
    <x v="2"/>
    <n v="20153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VA IIBIMESTRE ABRIL-2019"/>
    <n v="152.61000000000001"/>
    <n v="0"/>
    <n v="152.61000000000001"/>
    <x v="0"/>
    <x v="0"/>
    <x v="0"/>
    <n v="152.61000000000001"/>
    <n v="0"/>
    <n v="152.61000000000001"/>
    <x v="0"/>
    <x v="0"/>
    <x v="0"/>
    <n v="152.61000000000001"/>
    <n v="0"/>
    <n v="152.61000000000001"/>
    <x v="0"/>
    <x v="0"/>
    <x v="0"/>
    <x v="0"/>
    <x v="0"/>
  </r>
  <r>
    <x v="6"/>
    <x v="0"/>
    <x v="0"/>
    <x v="1"/>
    <x v="1"/>
    <x v="4"/>
    <x v="4"/>
    <n v="653"/>
    <s v="72187626"/>
    <s v="ULLOA ORTEGA LUIS FERNANDO"/>
    <s v="2019050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774"/>
    <n v="-774"/>
    <x v="0"/>
    <x v="0"/>
    <x v="0"/>
    <n v="0"/>
    <n v="774"/>
    <n v="-774"/>
    <x v="0"/>
    <x v="0"/>
    <x v="0"/>
    <n v="0"/>
    <n v="774"/>
    <n v="-774"/>
    <x v="0"/>
    <x v="0"/>
    <x v="0"/>
    <x v="0"/>
    <x v="0"/>
  </r>
  <r>
    <x v="6"/>
    <x v="0"/>
    <x v="0"/>
    <x v="0"/>
    <x v="0"/>
    <x v="2"/>
    <x v="2"/>
    <n v="20223"/>
    <s v="830053800"/>
    <s v="TELMEX COLOMBIA SA"/>
    <s v="201905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- SERVICIO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42"/>
    <s v="860007660"/>
    <s v="HELM BANK S.A.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2"/>
    <n v="0"/>
    <n v="0.12"/>
    <x v="0"/>
    <x v="0"/>
    <x v="0"/>
    <n v="0.12"/>
    <n v="0"/>
    <n v="0.12"/>
    <x v="0"/>
    <x v="0"/>
    <x v="0"/>
    <n v="0.12"/>
    <n v="0"/>
    <n v="0.12"/>
    <x v="0"/>
    <x v="0"/>
    <x v="0"/>
    <x v="0"/>
    <x v="0"/>
  </r>
  <r>
    <x v="2"/>
    <x v="0"/>
    <x v="0"/>
    <x v="0"/>
    <x v="0"/>
    <x v="2"/>
    <x v="2"/>
    <n v="20346"/>
    <s v="800153993"/>
    <s v="COMUNICACIONES CELULAR S A  COMCEL S A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462 / INGENIERIA-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66"/>
    <s v="72136462"/>
    <s v="GARIZABALO MONTES RAFAEL ANGEL"/>
    <s v="201906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72136462"/>
    <s v="GARIZABALO MONTES RAFAEL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NOMINA MES ABRIL-2019"/>
    <n v="25038"/>
    <n v="0"/>
    <n v="25038"/>
    <x v="0"/>
    <x v="0"/>
    <x v="0"/>
    <n v="25038"/>
    <n v="0"/>
    <n v="25038"/>
    <x v="0"/>
    <x v="0"/>
    <x v="0"/>
    <n v="25038"/>
    <n v="0"/>
    <n v="25038"/>
    <x v="0"/>
    <x v="0"/>
    <x v="0"/>
    <x v="0"/>
    <x v="0"/>
  </r>
  <r>
    <x v="2"/>
    <x v="0"/>
    <x v="0"/>
    <x v="0"/>
    <x v="0"/>
    <x v="2"/>
    <x v="2"/>
    <n v="20379"/>
    <s v="890399003"/>
    <s v="EMPRESAS MUNICIPALES DE CALI E.I.C.E.  E.S.P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CO 460 Y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9"/>
    <s v="800153993"/>
    <s v="COMUNICACIONES CELULAR S A  COMCEL S A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SERVICIO CO 462 Y SERVICIO DIR NAL INGENIERIA Y 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47"/>
    <s v="830122566"/>
    <s v="COLOMBIA TELECOMUNICACIONES S.A.-ESP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CO 465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57"/>
    <s v="890399003"/>
    <s v="EMPRESAS MUNICIPALES DE CALI E.I.C.E.  E.S.P.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 Y CO 46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83"/>
    <s v="830114921"/>
    <s v="COLOMBIA MOVIL S.A. E S P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14921"/>
    <s v="COLOMBIA MOVIL S.A. E S 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LOCUTOR VIRTUAL CO 465"/>
    <n v="0"/>
    <n v="1"/>
    <n v="-1"/>
    <x v="0"/>
    <x v="0"/>
    <x v="0"/>
    <n v="0"/>
    <n v="1"/>
    <n v="-1"/>
    <x v="0"/>
    <x v="0"/>
    <x v="0"/>
    <n v="0"/>
    <n v="1"/>
    <n v="-1"/>
    <x v="0"/>
    <x v="0"/>
    <x v="0"/>
    <x v="0"/>
    <x v="0"/>
  </r>
  <r>
    <x v="1"/>
    <x v="0"/>
    <x v="0"/>
    <x v="0"/>
    <x v="0"/>
    <x v="2"/>
    <x v="2"/>
    <n v="19765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LEASING"/>
    <n v="299"/>
    <n v="0"/>
    <n v="299"/>
    <x v="0"/>
    <x v="0"/>
    <x v="0"/>
    <n v="299"/>
    <n v="0"/>
    <n v="299"/>
    <x v="0"/>
    <x v="0"/>
    <x v="0"/>
    <n v="299"/>
    <n v="0"/>
    <n v="299"/>
    <x v="0"/>
    <x v="0"/>
    <x v="0"/>
    <x v="0"/>
    <x v="0"/>
  </r>
  <r>
    <x v="5"/>
    <x v="0"/>
    <x v="0"/>
    <x v="0"/>
    <x v="0"/>
    <x v="2"/>
    <x v="2"/>
    <n v="19906"/>
    <s v="890201210"/>
    <s v="EMPRESA DE TELECOMUNICACIONES DE BUCARAMANGA S.A.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1210"/>
    <s v="EMPRESA DE TELECOMUNICACIONES DE BUCARAMANG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EFONICO CO 46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917"/>
    <s v="890399003"/>
    <s v="EMPRESAS MUNICIPALES DE CALI E.I.C.E.  E.S.P.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DE FACTURAS DE SERVICIOS DIR NAL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0"/>
    <x v="0"/>
    <x v="2"/>
    <x v="2"/>
    <n v="20266"/>
    <s v="830122566"/>
    <s v="COLOMBIA TELECOMUNICACIONES S.A.-ESP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MOVISTAR - LARGA DISTANCIA DIR NAL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26521"/>
    <n v="0"/>
    <n v="26521"/>
    <x v="0"/>
    <x v="0"/>
    <x v="0"/>
    <n v="26521"/>
    <n v="0"/>
    <n v="26521"/>
    <x v="0"/>
    <x v="0"/>
    <x v="0"/>
    <n v="26521"/>
    <n v="0"/>
    <n v="2652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64"/>
    <n v="0"/>
    <n v="1164"/>
    <x v="0"/>
    <x v="0"/>
    <x v="0"/>
    <n v="1164"/>
    <n v="0"/>
    <n v="1164"/>
    <x v="0"/>
    <x v="0"/>
    <x v="0"/>
    <n v="1164"/>
    <n v="0"/>
    <n v="11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3650"/>
    <n v="0"/>
    <n v="3650"/>
    <x v="0"/>
    <x v="0"/>
    <x v="0"/>
    <n v="3650"/>
    <n v="0"/>
    <n v="3650"/>
    <x v="0"/>
    <x v="0"/>
    <x v="0"/>
    <n v="3650"/>
    <n v="0"/>
    <n v="365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18220"/>
    <n v="0"/>
    <n v="118220"/>
    <x v="0"/>
    <x v="0"/>
    <x v="0"/>
    <n v="118220"/>
    <n v="0"/>
    <n v="118220"/>
    <x v="0"/>
    <x v="0"/>
    <x v="0"/>
    <n v="118220"/>
    <n v="0"/>
    <n v="118220"/>
    <x v="0"/>
    <x v="0"/>
    <x v="0"/>
    <x v="0"/>
    <x v="0"/>
  </r>
  <r>
    <x v="0"/>
    <x v="0"/>
    <x v="0"/>
    <x v="5"/>
    <x v="5"/>
    <x v="1"/>
    <x v="1"/>
    <n v="45417"/>
    <s v="860037900"/>
    <s v="CONSTRUCTORA  BOLIVAR  CALI S.A"/>
    <s v="201901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5549"/>
    <n v="0"/>
    <n v="5549"/>
    <x v="0"/>
    <x v="0"/>
    <x v="0"/>
    <n v="5549"/>
    <n v="0"/>
    <n v="5549"/>
    <x v="0"/>
    <x v="0"/>
    <x v="0"/>
    <n v="5549"/>
    <n v="0"/>
    <n v="5549"/>
    <x v="0"/>
    <x v="0"/>
    <x v="0"/>
    <x v="0"/>
    <x v="0"/>
  </r>
  <r>
    <x v="0"/>
    <x v="0"/>
    <x v="0"/>
    <x v="6"/>
    <x v="6"/>
    <x v="9"/>
    <x v="9"/>
    <n v="1100"/>
    <s v="800021913"/>
    <s v="G.GRAJALES AUTOSERVICIO S.A.S"/>
    <s v="201901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9 DESCUIENTO POR PAGO ANUAL ANTICIPADO DEL 9 % POR VALOR DE $ 108.180"/>
    <n v="108180"/>
    <n v="0"/>
    <n v="108180"/>
    <x v="0"/>
    <x v="0"/>
    <x v="0"/>
    <n v="108180"/>
    <n v="0"/>
    <n v="108180"/>
    <x v="0"/>
    <x v="0"/>
    <x v="0"/>
    <n v="108180"/>
    <n v="0"/>
    <n v="108180"/>
    <x v="0"/>
    <x v="0"/>
    <x v="0"/>
    <x v="0"/>
    <x v="0"/>
  </r>
  <r>
    <x v="0"/>
    <x v="0"/>
    <x v="0"/>
    <x v="5"/>
    <x v="5"/>
    <x v="1"/>
    <x v="1"/>
    <n v="45476"/>
    <s v="800054863"/>
    <s v="HEMISFERIO TOURS Y CIA LTD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588"/>
    <n v="0"/>
    <n v="9588"/>
    <x v="0"/>
    <x v="0"/>
    <x v="0"/>
    <n v="9588"/>
    <n v="0"/>
    <n v="9588"/>
    <x v="0"/>
    <x v="0"/>
    <x v="0"/>
    <n v="9588"/>
    <n v="0"/>
    <n v="9588"/>
    <x v="0"/>
    <x v="0"/>
    <x v="0"/>
    <x v="0"/>
    <x v="0"/>
  </r>
  <r>
    <x v="0"/>
    <x v="0"/>
    <x v="0"/>
    <x v="4"/>
    <x v="4"/>
    <x v="1"/>
    <x v="1"/>
    <n v="20063"/>
    <s v="800086042"/>
    <s v="INACAR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3879"/>
    <n v="6712"/>
    <n v="0"/>
    <n v="6712"/>
    <x v="0"/>
    <x v="0"/>
    <x v="0"/>
    <n v="6712"/>
    <n v="0"/>
    <n v="6712"/>
    <x v="0"/>
    <x v="0"/>
    <x v="0"/>
    <n v="6712"/>
    <n v="0"/>
    <n v="6712"/>
    <x v="0"/>
    <x v="0"/>
    <x v="0"/>
    <x v="0"/>
    <x v="0"/>
  </r>
  <r>
    <x v="0"/>
    <x v="0"/>
    <x v="0"/>
    <x v="1"/>
    <x v="1"/>
    <x v="1"/>
    <x v="1"/>
    <n v="23889"/>
    <s v="900205377"/>
    <s v="COMERCIALIZADORA AGROHIERROS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205377"/>
    <s v="COMERCIALIZADORA AGROHIERRO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5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431"/>
    <s v="890300012"/>
    <s v="COLPOZOS 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0"/>
    <x v="0"/>
    <x v="0"/>
    <x v="5"/>
    <x v="5"/>
    <x v="1"/>
    <x v="1"/>
    <n v="45434"/>
    <s v="817001528"/>
    <s v="PAVCO DE OCCIDENTE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0"/>
    <x v="0"/>
    <x v="0"/>
    <x v="5"/>
    <x v="5"/>
    <x v="1"/>
    <x v="1"/>
    <n v="45439"/>
    <s v="860046201"/>
    <s v="FORTOX S.A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5"/>
    <x v="5"/>
    <x v="9"/>
    <x v="9"/>
    <n v="1197"/>
    <s v="830510909"/>
    <s v="RIVERCOL S.A.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SEMESTRE ANTICIPADO DESCUENTO 4.5 % $68.589"/>
    <n v="68589"/>
    <n v="0"/>
    <n v="68589"/>
    <x v="0"/>
    <x v="0"/>
    <x v="0"/>
    <n v="68589"/>
    <n v="0"/>
    <n v="68589"/>
    <x v="0"/>
    <x v="0"/>
    <x v="0"/>
    <n v="68589"/>
    <n v="0"/>
    <n v="68589"/>
    <x v="0"/>
    <x v="0"/>
    <x v="0"/>
    <x v="0"/>
    <x v="0"/>
  </r>
  <r>
    <x v="0"/>
    <x v="0"/>
    <x v="0"/>
    <x v="1"/>
    <x v="1"/>
    <x v="1"/>
    <x v="1"/>
    <n v="23919"/>
    <s v="802016130"/>
    <s v="CENTRO COMERCIAL BUENAVIST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5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0"/>
    <x v="0"/>
    <x v="0"/>
    <x v="1"/>
    <x v="1"/>
    <x v="1"/>
    <x v="1"/>
    <n v="23921"/>
    <s v="806012958"/>
    <s v="IPS SALUD DEL CARIBE S.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79 - FVA-354892 - FVA-354897 - FVA-35490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0"/>
    <x v="0"/>
    <x v="0"/>
    <x v="4"/>
    <x v="4"/>
    <x v="1"/>
    <x v="1"/>
    <n v="20111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2"/>
    <n v="1301"/>
    <n v="0"/>
    <n v="1301"/>
    <x v="0"/>
    <x v="0"/>
    <x v="0"/>
    <n v="1301"/>
    <n v="0"/>
    <n v="1301"/>
    <x v="0"/>
    <x v="0"/>
    <x v="0"/>
    <n v="1301"/>
    <n v="0"/>
    <n v="1301"/>
    <x v="0"/>
    <x v="0"/>
    <x v="0"/>
    <x v="0"/>
    <x v="0"/>
  </r>
  <r>
    <x v="0"/>
    <x v="0"/>
    <x v="0"/>
    <x v="4"/>
    <x v="4"/>
    <x v="1"/>
    <x v="1"/>
    <n v="20112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5"/>
    <n v="2082"/>
    <n v="0"/>
    <n v="2082"/>
    <x v="0"/>
    <x v="0"/>
    <x v="0"/>
    <n v="2082"/>
    <n v="0"/>
    <n v="2082"/>
    <x v="0"/>
    <x v="0"/>
    <x v="0"/>
    <n v="2082"/>
    <n v="0"/>
    <n v="2082"/>
    <x v="0"/>
    <x v="0"/>
    <x v="0"/>
    <x v="0"/>
    <x v="0"/>
  </r>
  <r>
    <x v="0"/>
    <x v="0"/>
    <x v="0"/>
    <x v="4"/>
    <x v="4"/>
    <x v="1"/>
    <x v="1"/>
    <n v="20113"/>
    <s v="899999068"/>
    <s v="ECOPETROL S.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9999068"/>
    <s v="ECOPETR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470"/>
    <n v="26716"/>
    <n v="0"/>
    <n v="26716"/>
    <x v="0"/>
    <x v="0"/>
    <x v="0"/>
    <n v="26716"/>
    <n v="0"/>
    <n v="26716"/>
    <x v="0"/>
    <x v="0"/>
    <x v="0"/>
    <n v="26716"/>
    <n v="0"/>
    <n v="26716"/>
    <x v="0"/>
    <x v="0"/>
    <x v="0"/>
    <x v="0"/>
    <x v="0"/>
  </r>
  <r>
    <x v="0"/>
    <x v="0"/>
    <x v="0"/>
    <x v="5"/>
    <x v="5"/>
    <x v="1"/>
    <x v="1"/>
    <n v="45522"/>
    <s v="900203566"/>
    <s v="ABASTECEMOS  DE OCCIDENTE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0"/>
    <x v="0"/>
    <x v="0"/>
    <x v="6"/>
    <x v="6"/>
    <x v="9"/>
    <x v="9"/>
    <n v="1107"/>
    <s v="900729995"/>
    <s v="HOTELES DEL OTUN SAS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729995"/>
    <s v="HOTELES DEL OTUN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36-565-570 DESCUENTO DEL 9% POR PAGO ANTICIPADO"/>
    <n v="337883"/>
    <n v="0"/>
    <n v="337883"/>
    <x v="0"/>
    <x v="0"/>
    <x v="0"/>
    <n v="337883"/>
    <n v="0"/>
    <n v="337883"/>
    <x v="0"/>
    <x v="0"/>
    <x v="0"/>
    <n v="337883"/>
    <n v="0"/>
    <n v="337883"/>
    <x v="0"/>
    <x v="0"/>
    <x v="0"/>
    <x v="0"/>
    <x v="0"/>
  </r>
  <r>
    <x v="0"/>
    <x v="0"/>
    <x v="0"/>
    <x v="1"/>
    <x v="1"/>
    <x v="1"/>
    <x v="1"/>
    <n v="23992"/>
    <s v="32757237"/>
    <s v="MEDINA OLIVEROS FARATH DIVA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472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0"/>
    <x v="0"/>
    <x v="0"/>
    <x v="4"/>
    <x v="4"/>
    <x v="1"/>
    <x v="1"/>
    <n v="20144"/>
    <s v="890201881"/>
    <s v="AVIDESA MAC POLLO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881"/>
    <s v="AVIDESA MAC POLL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0"/>
    <n v="1790"/>
    <n v="0"/>
    <n v="1790"/>
    <x v="0"/>
    <x v="0"/>
    <x v="0"/>
    <n v="1790"/>
    <n v="0"/>
    <n v="1790"/>
    <x v="0"/>
    <x v="0"/>
    <x v="0"/>
    <n v="1790"/>
    <n v="0"/>
    <n v="1790"/>
    <x v="0"/>
    <x v="0"/>
    <x v="0"/>
    <x v="0"/>
    <x v="0"/>
  </r>
  <r>
    <x v="0"/>
    <x v="0"/>
    <x v="0"/>
    <x v="4"/>
    <x v="4"/>
    <x v="1"/>
    <x v="1"/>
    <n v="20148"/>
    <s v="890208890"/>
    <s v="ALDIA S.A.S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8890"/>
    <s v="ALD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2"/>
    <n v="6525"/>
    <n v="0"/>
    <n v="6525"/>
    <x v="0"/>
    <x v="0"/>
    <x v="0"/>
    <n v="6525"/>
    <n v="0"/>
    <n v="6525"/>
    <x v="0"/>
    <x v="0"/>
    <x v="0"/>
    <n v="6525"/>
    <n v="0"/>
    <n v="6525"/>
    <x v="0"/>
    <x v="0"/>
    <x v="0"/>
    <x v="0"/>
    <x v="0"/>
  </r>
  <r>
    <x v="0"/>
    <x v="0"/>
    <x v="0"/>
    <x v="1"/>
    <x v="1"/>
    <x v="1"/>
    <x v="1"/>
    <n v="24005"/>
    <s v="802016306"/>
    <s v="EXPOCONSTRUCCION 43 Y CIA LTD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66 - FVA-356530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0"/>
    <x v="0"/>
    <x v="0"/>
    <x v="1"/>
    <x v="1"/>
    <x v="1"/>
    <x v="1"/>
    <n v="24006"/>
    <s v="901062361"/>
    <s v="INVERSIONES MARCRI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A FVA-356565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0"/>
    <x v="0"/>
    <x v="0"/>
    <x v="5"/>
    <x v="5"/>
    <x v="1"/>
    <x v="1"/>
    <n v="45634"/>
    <s v="890942766"/>
    <s v="CONSTRUCTORA MONSERRATE DE COLOMB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42766"/>
    <s v="CONSTRUCTORA MONSERRATE DE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3830"/>
    <n v="0"/>
    <n v="3830"/>
    <x v="0"/>
    <x v="0"/>
    <x v="0"/>
    <n v="3830"/>
    <n v="0"/>
    <n v="3830"/>
    <x v="0"/>
    <x v="0"/>
    <x v="0"/>
    <n v="3830"/>
    <n v="0"/>
    <n v="3830"/>
    <x v="0"/>
    <x v="0"/>
    <x v="0"/>
    <x v="0"/>
    <x v="0"/>
  </r>
  <r>
    <x v="0"/>
    <x v="0"/>
    <x v="0"/>
    <x v="5"/>
    <x v="5"/>
    <x v="1"/>
    <x v="1"/>
    <n v="45638"/>
    <s v="890900842"/>
    <s v="C.C. F. COMFENALCO ANTIOQUI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842"/>
    <s v="C.C. F. COMFENALCO ANTIOQU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 SE APLICAA FACTUAR ESTE VALOR EN LA CUENTA."/>
    <n v="350"/>
    <n v="0"/>
    <n v="350"/>
    <x v="0"/>
    <x v="0"/>
    <x v="0"/>
    <n v="350"/>
    <n v="0"/>
    <n v="350"/>
    <x v="0"/>
    <x v="0"/>
    <x v="0"/>
    <n v="350"/>
    <n v="0"/>
    <n v="350"/>
    <x v="0"/>
    <x v="0"/>
    <x v="0"/>
    <x v="0"/>
    <x v="0"/>
  </r>
  <r>
    <x v="0"/>
    <x v="0"/>
    <x v="0"/>
    <x v="4"/>
    <x v="4"/>
    <x v="9"/>
    <x v="9"/>
    <n v="221"/>
    <s v="5670719"/>
    <s v="BAYONA SERRANO ANTONIO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5670719"/>
    <s v="BAYONA SERRANO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0, DESCUENTO DEL 9% POR PAGO ANUAL ANTICIPADO, VALOR DSTO DE $200.582"/>
    <n v="200582"/>
    <n v="0"/>
    <n v="200582"/>
    <x v="0"/>
    <x v="0"/>
    <x v="0"/>
    <n v="200582"/>
    <n v="0"/>
    <n v="200582"/>
    <x v="0"/>
    <x v="0"/>
    <x v="0"/>
    <n v="200582"/>
    <n v="0"/>
    <n v="200582"/>
    <x v="0"/>
    <x v="0"/>
    <x v="0"/>
    <x v="0"/>
    <x v="0"/>
  </r>
  <r>
    <x v="0"/>
    <x v="0"/>
    <x v="0"/>
    <x v="5"/>
    <x v="5"/>
    <x v="1"/>
    <x v="1"/>
    <n v="45618"/>
    <s v="900825179"/>
    <s v="ELIZABETH TRULLAS  C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0"/>
    <x v="0"/>
    <x v="0"/>
    <x v="5"/>
    <x v="5"/>
    <x v="1"/>
    <x v="1"/>
    <n v="45619"/>
    <s v="890318490"/>
    <s v="FERRETERIA TUBERIAS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0"/>
    <x v="0"/>
    <x v="0"/>
    <x v="5"/>
    <x v="5"/>
    <x v="1"/>
    <x v="1"/>
    <n v="45620"/>
    <s v="900569801"/>
    <s v="MARGARITA PEÑA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0"/>
    <x v="0"/>
    <x v="0"/>
    <x v="5"/>
    <x v="5"/>
    <x v="1"/>
    <x v="1"/>
    <n v="45621"/>
    <s v="890311006"/>
    <s v="FONDO DE EMPLEADOS DE LAS EMP.MPALES DE CALI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VOLUCION RETENCION MAL REALIZADA."/>
    <n v="250"/>
    <n v="0"/>
    <n v="250"/>
    <x v="0"/>
    <x v="0"/>
    <x v="0"/>
    <n v="250"/>
    <n v="0"/>
    <n v="250"/>
    <x v="0"/>
    <x v="0"/>
    <x v="0"/>
    <n v="250"/>
    <n v="0"/>
    <n v="250"/>
    <x v="0"/>
    <x v="0"/>
    <x v="0"/>
    <x v="0"/>
    <x v="0"/>
  </r>
  <r>
    <x v="0"/>
    <x v="0"/>
    <x v="0"/>
    <x v="5"/>
    <x v="5"/>
    <x v="1"/>
    <x v="1"/>
    <n v="45623"/>
    <s v="900192072"/>
    <s v="SEOUL MEDICINA ESTETICA INTEGRAL Y SPA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92072"/>
    <s v="SEOUL MEDICINA ESTETICA INTEGRAL Y SP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"/>
    <n v="0"/>
    <n v="10591"/>
    <x v="0"/>
    <x v="0"/>
    <x v="0"/>
    <n v="10591"/>
    <n v="0"/>
    <n v="10591"/>
    <x v="0"/>
    <x v="0"/>
    <x v="0"/>
    <n v="10591"/>
    <n v="0"/>
    <n v="10591"/>
    <x v="0"/>
    <x v="0"/>
    <x v="0"/>
    <x v="0"/>
    <x v="0"/>
  </r>
  <r>
    <x v="1"/>
    <x v="0"/>
    <x v="0"/>
    <x v="5"/>
    <x v="5"/>
    <x v="1"/>
    <x v="1"/>
    <n v="45705"/>
    <s v="805002583"/>
    <s v="FARMACIA DROGUERIA SAN JORGE LTDA"/>
    <s v="201902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2583"/>
    <s v="FARMACIA DROGUERIA SAN JORGE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3"/>
    <x v="3"/>
    <x v="1"/>
    <x v="1"/>
    <n v="37129"/>
    <s v="900041914"/>
    <s v="AVON COLOMBIA S.A.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41914"/>
    <s v="AVON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2323"/>
    <n v="399"/>
    <n v="0"/>
    <n v="399"/>
    <x v="0"/>
    <x v="0"/>
    <x v="0"/>
    <n v="399"/>
    <n v="0"/>
    <n v="399"/>
    <x v="0"/>
    <x v="0"/>
    <x v="0"/>
    <n v="399"/>
    <n v="0"/>
    <n v="399"/>
    <x v="0"/>
    <x v="0"/>
    <x v="0"/>
    <x v="0"/>
    <x v="0"/>
  </r>
  <r>
    <x v="1"/>
    <x v="0"/>
    <x v="0"/>
    <x v="6"/>
    <x v="6"/>
    <x v="9"/>
    <x v="9"/>
    <n v="1112"/>
    <s v="900434532"/>
    <s v="SPECIALIZED COLOMBIA S.A.S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434532"/>
    <s v="SPECIALIZED COLOMB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574 DESCUENTO DEL 9 % POR PAGO ANUAL ANTICIPADO POR VALOR DE 1.851.528 Y RETE IVA DEL 15% POR VALOR DE $ 586.317, Y FAC: 355708 DESCUENTO  9 % POR PAGO ANUAL ANTICIPADO DE $ 105.863 Y RETE IVA $80.573"/>
    <n v="1957391"/>
    <n v="0"/>
    <n v="1957391"/>
    <x v="0"/>
    <x v="0"/>
    <x v="0"/>
    <n v="1957391"/>
    <n v="0"/>
    <n v="1957391"/>
    <x v="0"/>
    <x v="0"/>
    <x v="0"/>
    <n v="1957391"/>
    <n v="0"/>
    <n v="1957391"/>
    <x v="0"/>
    <x v="0"/>
    <x v="0"/>
    <x v="0"/>
    <x v="0"/>
  </r>
  <r>
    <x v="1"/>
    <x v="0"/>
    <x v="0"/>
    <x v="5"/>
    <x v="5"/>
    <x v="1"/>
    <x v="1"/>
    <n v="45895"/>
    <s v="805006389"/>
    <s v="HOSPITAL EN CASA S.A.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6389"/>
    <s v="HOSPITAL EN CA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46479,348191,349921. BANCOOMEVA"/>
    <n v="3142"/>
    <n v="0"/>
    <n v="3142"/>
    <x v="0"/>
    <x v="0"/>
    <x v="0"/>
    <n v="3142"/>
    <n v="0"/>
    <n v="3142"/>
    <x v="0"/>
    <x v="0"/>
    <x v="0"/>
    <n v="3142"/>
    <n v="0"/>
    <n v="3142"/>
    <x v="0"/>
    <x v="0"/>
    <x v="0"/>
    <x v="0"/>
    <x v="0"/>
  </r>
  <r>
    <x v="1"/>
    <x v="0"/>
    <x v="0"/>
    <x v="2"/>
    <x v="2"/>
    <x v="9"/>
    <x v="9"/>
    <n v="1467"/>
    <s v="830111257"/>
    <s v="GRUPO EMPRESARIAL EN LINEA S.A."/>
    <s v="201902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111257"/>
    <s v="GRUPO EMPRESARIAL EN LIN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521241"/>
    <n v="0"/>
    <n v="521241"/>
    <x v="0"/>
    <x v="0"/>
    <x v="0"/>
    <n v="521241"/>
    <n v="0"/>
    <n v="521241"/>
    <x v="0"/>
    <x v="0"/>
    <x v="0"/>
    <n v="521241"/>
    <n v="0"/>
    <n v="521241"/>
    <x v="0"/>
    <x v="0"/>
    <x v="0"/>
    <x v="0"/>
    <x v="0"/>
  </r>
  <r>
    <x v="1"/>
    <x v="0"/>
    <x v="0"/>
    <x v="2"/>
    <x v="2"/>
    <x v="9"/>
    <x v="9"/>
    <n v="1470"/>
    <s v="800130907"/>
    <s v="SALUD TOTAL E.P.S-S S.A.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30907"/>
    <s v="SALUD TOTAL E.P.S-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CONCEPTO DE PRONTO PAGO 9% $1.799.872 Y USO PLATAFORMA COMPRANET $50.000"/>
    <n v="1799872"/>
    <n v="0"/>
    <n v="1799872"/>
    <x v="0"/>
    <x v="0"/>
    <x v="0"/>
    <n v="1799872"/>
    <n v="0"/>
    <n v="1799872"/>
    <x v="0"/>
    <x v="0"/>
    <x v="0"/>
    <n v="1799872"/>
    <n v="0"/>
    <n v="1799872"/>
    <x v="0"/>
    <x v="0"/>
    <x v="0"/>
    <x v="0"/>
    <x v="0"/>
  </r>
  <r>
    <x v="1"/>
    <x v="0"/>
    <x v="0"/>
    <x v="2"/>
    <x v="2"/>
    <x v="9"/>
    <x v="9"/>
    <n v="1472"/>
    <s v="860510431"/>
    <s v="ALVARO VELEZ Y CIA S.A.S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087 Y RTE ICA $4.960"/>
    <n v="8087"/>
    <n v="0"/>
    <n v="8087"/>
    <x v="0"/>
    <x v="0"/>
    <x v="0"/>
    <n v="8087"/>
    <n v="0"/>
    <n v="8087"/>
    <x v="0"/>
    <x v="0"/>
    <x v="0"/>
    <n v="8087"/>
    <n v="0"/>
    <n v="8087"/>
    <x v="0"/>
    <x v="0"/>
    <x v="0"/>
    <x v="0"/>
    <x v="0"/>
  </r>
  <r>
    <x v="1"/>
    <x v="0"/>
    <x v="0"/>
    <x v="1"/>
    <x v="1"/>
    <x v="1"/>
    <x v="1"/>
    <n v="24079"/>
    <s v="806012958"/>
    <s v="IPS SALUD DEL CARIBE S.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639 - FVA-356652 - FVA-356658 - FVA-35666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1"/>
    <x v="0"/>
    <x v="0"/>
    <x v="0"/>
    <x v="0"/>
    <x v="0"/>
    <x v="0"/>
    <n v="4278"/>
    <s v="900863024"/>
    <s v="SUPERMERCADO PUNTO &amp; FAM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863024"/>
    <s v="SUPERMERCADO PUNTO &amp; FAM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79"/>
    <s v="900112301"/>
    <s v="SIGMART INGENIERI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12765"/>
    <s v="COLOMBIAN PARADISE FLOWER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836"/>
    <n v="0"/>
    <n v="1836"/>
    <x v="0"/>
    <x v="0"/>
    <x v="0"/>
    <n v="1836"/>
    <n v="0"/>
    <n v="1836"/>
    <x v="0"/>
    <x v="0"/>
    <x v="0"/>
    <n v="1836"/>
    <n v="0"/>
    <n v="1836"/>
    <x v="0"/>
    <x v="0"/>
    <x v="0"/>
    <x v="0"/>
    <x v="0"/>
  </r>
  <r>
    <x v="1"/>
    <x v="0"/>
    <x v="0"/>
    <x v="5"/>
    <x v="5"/>
    <x v="1"/>
    <x v="1"/>
    <n v="45911"/>
    <s v="14606678"/>
    <s v="COLLAZOS ARROYO HAROLD ANDRE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4606678"/>
    <s v="COLLAZOS ARROYO HAROLD AND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0"/>
    <n v="0"/>
    <n v="100"/>
    <x v="0"/>
    <x v="0"/>
    <x v="0"/>
    <n v="100"/>
    <n v="0"/>
    <n v="100"/>
    <x v="0"/>
    <x v="0"/>
    <x v="0"/>
    <n v="100"/>
    <n v="0"/>
    <n v="100"/>
    <x v="0"/>
    <x v="0"/>
    <x v="0"/>
    <x v="0"/>
    <x v="0"/>
  </r>
  <r>
    <x v="1"/>
    <x v="0"/>
    <x v="0"/>
    <x v="5"/>
    <x v="5"/>
    <x v="1"/>
    <x v="1"/>
    <n v="45914"/>
    <s v="800069469"/>
    <s v="ARTEMISA S.A.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69469"/>
    <s v="ARTEMIS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81"/>
    <s v="900338137"/>
    <s v="INSTITUTO DE BELLEZA STELLA DURAN RESTREPO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5"/>
    <s v="INSTITUTO DE BELLEZA STELLA DURAN VENE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7697"/>
    <n v="0"/>
    <n v="7697"/>
    <x v="0"/>
    <x v="0"/>
    <x v="0"/>
    <n v="7697"/>
    <n v="0"/>
    <n v="7697"/>
    <x v="0"/>
    <x v="0"/>
    <x v="0"/>
    <n v="7697"/>
    <n v="0"/>
    <n v="7697"/>
    <x v="0"/>
    <x v="0"/>
    <x v="0"/>
    <x v="0"/>
    <x v="0"/>
  </r>
  <r>
    <x v="5"/>
    <x v="0"/>
    <x v="0"/>
    <x v="0"/>
    <x v="0"/>
    <x v="0"/>
    <x v="0"/>
    <n v="4283"/>
    <s v="805029384"/>
    <s v="BUENAVISTA CONSTRUCTORA Y PROMOTORA S.A.S"/>
    <s v="20190307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NCION APLICADA DE MAS EN PAGO AL CLIENTE COMO PROVEEDOR"/>
    <n v="38402"/>
    <n v="0"/>
    <n v="38402"/>
    <x v="0"/>
    <x v="0"/>
    <x v="0"/>
    <n v="38402"/>
    <n v="0"/>
    <n v="38402"/>
    <x v="0"/>
    <x v="0"/>
    <x v="0"/>
    <n v="38402"/>
    <n v="0"/>
    <n v="38402"/>
    <x v="0"/>
    <x v="0"/>
    <x v="0"/>
    <x v="0"/>
    <x v="0"/>
  </r>
  <r>
    <x v="3"/>
    <x v="0"/>
    <x v="0"/>
    <x v="0"/>
    <x v="0"/>
    <x v="0"/>
    <x v="0"/>
    <n v="4338"/>
    <s v="830017656"/>
    <s v="LAGOS DE MALIBU LTDA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1130654183"/>
    <s v="CUENCA ALVAEREZ ALVA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SALDOS GASTOS FINANCIEROS"/>
    <n v="72414"/>
    <n v="0"/>
    <n v="72414"/>
    <x v="0"/>
    <x v="0"/>
    <x v="0"/>
    <n v="72414"/>
    <n v="0"/>
    <n v="72414"/>
    <x v="0"/>
    <x v="0"/>
    <x v="0"/>
    <n v="72414"/>
    <n v="0"/>
    <n v="72414"/>
    <x v="0"/>
    <x v="0"/>
    <x v="0"/>
    <x v="0"/>
    <x v="0"/>
  </r>
  <r>
    <x v="7"/>
    <x v="0"/>
    <x v="0"/>
    <x v="0"/>
    <x v="0"/>
    <x v="2"/>
    <x v="2"/>
    <n v="19997"/>
    <s v="890106291"/>
    <s v="ALCALDIA DE SOLEDAD"/>
    <s v="201904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2"/>
    <x v="2"/>
    <x v="0"/>
    <x v="0"/>
    <x v="0"/>
    <x v="0"/>
    <s v="890106291"/>
    <s v="ALCALDIA DE SOLE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SOLEDAD ATLANTICO"/>
    <n v="524000"/>
    <n v="0"/>
    <n v="524000"/>
    <x v="0"/>
    <x v="0"/>
    <x v="0"/>
    <n v="524000"/>
    <n v="0"/>
    <n v="524000"/>
    <x v="0"/>
    <x v="0"/>
    <x v="0"/>
    <n v="524000"/>
    <n v="0"/>
    <n v="524000"/>
    <x v="0"/>
    <x v="0"/>
    <x v="0"/>
    <x v="0"/>
    <x v="0"/>
  </r>
  <r>
    <x v="0"/>
    <x v="0"/>
    <x v="0"/>
    <x v="3"/>
    <x v="3"/>
    <x v="1"/>
    <x v="1"/>
    <n v="36985"/>
    <s v="811040443"/>
    <s v="B Y B CONSTRUCTORES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49472"/>
    <n v="1209"/>
    <n v="0"/>
    <n v="1209"/>
    <x v="0"/>
    <x v="0"/>
    <x v="0"/>
    <n v="1209"/>
    <n v="0"/>
    <n v="1209"/>
    <x v="0"/>
    <x v="0"/>
    <x v="0"/>
    <n v="1209"/>
    <n v="0"/>
    <n v="1209"/>
    <x v="0"/>
    <x v="0"/>
    <x v="0"/>
    <x v="0"/>
    <x v="0"/>
  </r>
  <r>
    <x v="0"/>
    <x v="0"/>
    <x v="0"/>
    <x v="3"/>
    <x v="3"/>
    <x v="1"/>
    <x v="1"/>
    <n v="36988"/>
    <s v="811027681"/>
    <s v="URBANIZA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7681"/>
    <s v="URBANIZ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0658"/>
    <n v="7624"/>
    <n v="0"/>
    <n v="7624"/>
    <x v="0"/>
    <x v="0"/>
    <x v="0"/>
    <n v="7624"/>
    <n v="0"/>
    <n v="7624"/>
    <x v="0"/>
    <x v="0"/>
    <x v="0"/>
    <n v="7624"/>
    <n v="0"/>
    <n v="7624"/>
    <x v="0"/>
    <x v="0"/>
    <x v="0"/>
    <x v="0"/>
    <x v="0"/>
  </r>
  <r>
    <x v="0"/>
    <x v="0"/>
    <x v="0"/>
    <x v="0"/>
    <x v="0"/>
    <x v="0"/>
    <x v="0"/>
    <n v="4267"/>
    <s v="900017447"/>
    <s v="FALABELLA DE COLOMBIA S A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93117"/>
    <s v="ARQUITECTURA Y CONCRET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1098"/>
    <n v="0"/>
    <n v="11098"/>
    <x v="0"/>
    <x v="0"/>
    <x v="0"/>
    <n v="11098"/>
    <n v="0"/>
    <n v="11098"/>
    <x v="0"/>
    <x v="0"/>
    <x v="0"/>
    <n v="11098"/>
    <n v="0"/>
    <n v="11098"/>
    <x v="0"/>
    <x v="0"/>
    <x v="0"/>
    <x v="0"/>
    <x v="0"/>
  </r>
  <r>
    <x v="0"/>
    <x v="0"/>
    <x v="0"/>
    <x v="5"/>
    <x v="5"/>
    <x v="1"/>
    <x v="1"/>
    <n v="45652"/>
    <s v="830037843"/>
    <s v="WINNER GROUP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30037843"/>
    <s v="WINNER GROUP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1"/>
    <x v="0"/>
    <x v="0"/>
    <x v="5"/>
    <x v="5"/>
    <x v="9"/>
    <x v="9"/>
    <n v="1230"/>
    <s v="800074047"/>
    <s v="REPUESTOS CALI S.A.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9% AÑO ANTICIPADO, DESC EN FACTURA $174.280,OK"/>
    <n v="174280"/>
    <n v="0"/>
    <n v="174280"/>
    <x v="0"/>
    <x v="0"/>
    <x v="0"/>
    <n v="174280"/>
    <n v="0"/>
    <n v="174280"/>
    <x v="0"/>
    <x v="0"/>
    <x v="0"/>
    <n v="174280"/>
    <n v="0"/>
    <n v="174280"/>
    <x v="0"/>
    <x v="0"/>
    <x v="0"/>
    <x v="0"/>
    <x v="0"/>
  </r>
  <r>
    <x v="1"/>
    <x v="0"/>
    <x v="0"/>
    <x v="5"/>
    <x v="5"/>
    <x v="9"/>
    <x v="9"/>
    <n v="1232"/>
    <s v="890308111"/>
    <s v="EL MOLINO-EDUARDO MOLINARI PALACIN &amp; CIA S.EN.C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 9% EN FACTURA OK, $130.634"/>
    <n v="130634"/>
    <n v="0"/>
    <n v="130634"/>
    <x v="0"/>
    <x v="0"/>
    <x v="0"/>
    <n v="130634"/>
    <n v="0"/>
    <n v="130634"/>
    <x v="0"/>
    <x v="0"/>
    <x v="0"/>
    <n v="130634"/>
    <n v="0"/>
    <n v="130634"/>
    <x v="0"/>
    <x v="0"/>
    <x v="0"/>
    <x v="0"/>
    <x v="0"/>
  </r>
  <r>
    <x v="3"/>
    <x v="0"/>
    <x v="0"/>
    <x v="6"/>
    <x v="6"/>
    <x v="9"/>
    <x v="9"/>
    <n v="1157"/>
    <s v="900947448"/>
    <s v="CFCA INGENIERIA S.A.S"/>
    <s v="201907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6"/>
    <x v="6"/>
    <x v="0"/>
    <x v="0"/>
    <x v="0"/>
    <x v="0"/>
    <s v="900947448"/>
    <s v="CFCA INGENIER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42 CLIENTE PAGO $116.109 DEMAS POR IVA QUE NO SE DESCONTO"/>
    <n v="0"/>
    <n v="116109"/>
    <n v="-116109"/>
    <x v="0"/>
    <x v="0"/>
    <x v="0"/>
    <n v="0"/>
    <n v="116109"/>
    <n v="-116109"/>
    <x v="0"/>
    <x v="0"/>
    <x v="0"/>
    <n v="0"/>
    <n v="116109"/>
    <n v="-1161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8038.07"/>
    <n v="0"/>
    <n v="8038.0700000000006"/>
    <x v="0"/>
    <x v="0"/>
    <x v="0"/>
    <n v="8038.07"/>
    <n v="0"/>
    <n v="8038.0700000000006"/>
    <x v="0"/>
    <x v="0"/>
    <x v="0"/>
    <n v="8038.07"/>
    <n v="0"/>
    <n v="8038.07000000000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21323.19"/>
    <n v="0"/>
    <n v="21323.19"/>
    <x v="0"/>
    <x v="0"/>
    <x v="0"/>
    <n v="21323.19"/>
    <n v="0"/>
    <n v="21323.19"/>
    <x v="0"/>
    <x v="0"/>
    <x v="0"/>
    <n v="21323.19"/>
    <n v="0"/>
    <n v="21323.1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254.46"/>
    <n v="0"/>
    <n v="19254.46"/>
    <x v="0"/>
    <x v="0"/>
    <x v="0"/>
    <n v="19254.46"/>
    <n v="0"/>
    <n v="19254.46"/>
    <x v="0"/>
    <x v="0"/>
    <x v="0"/>
    <n v="19254.46"/>
    <n v="0"/>
    <n v="19254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128.12"/>
    <n v="0"/>
    <n v="19128.12"/>
    <x v="0"/>
    <x v="0"/>
    <x v="0"/>
    <n v="19128.12"/>
    <n v="0"/>
    <n v="19128.12"/>
    <x v="0"/>
    <x v="0"/>
    <x v="0"/>
    <n v="19128.12"/>
    <n v="0"/>
    <n v="19128.1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5633.97"/>
    <n v="0"/>
    <n v="15633.970000000001"/>
    <x v="0"/>
    <x v="0"/>
    <x v="0"/>
    <n v="15633.97"/>
    <n v="0"/>
    <n v="15633.970000000001"/>
    <x v="0"/>
    <x v="0"/>
    <x v="0"/>
    <n v="15633.97"/>
    <n v="0"/>
    <n v="15633.97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0064.459999999999"/>
    <n v="0"/>
    <n v="10064.460000000001"/>
    <x v="0"/>
    <x v="0"/>
    <x v="0"/>
    <n v="10064.459999999999"/>
    <n v="0"/>
    <n v="10064.460000000001"/>
    <x v="0"/>
    <x v="0"/>
    <x v="0"/>
    <n v="10064.459999999999"/>
    <n v="0"/>
    <n v="10064.460000000001"/>
    <x v="0"/>
    <x v="0"/>
    <x v="0"/>
    <x v="0"/>
    <x v="0"/>
  </r>
  <r>
    <x v="6"/>
    <x v="0"/>
    <x v="0"/>
    <x v="3"/>
    <x v="3"/>
    <x v="3"/>
    <x v="3"/>
    <n v="162"/>
    <s v="1128280824"/>
    <s v="OSORIO SANCHEZ WILSON DARIO"/>
    <s v="201905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8578076"/>
    <s v="VELEZ VARGAS ELBER EL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RANSPORTE DESINSTALACIÓN CLIENTE MAXIMO"/>
    <n v="3500"/>
    <n v="0"/>
    <n v="3500"/>
    <x v="0"/>
    <x v="0"/>
    <x v="0"/>
    <n v="3500"/>
    <n v="0"/>
    <n v="3500"/>
    <x v="0"/>
    <x v="0"/>
    <x v="0"/>
    <n v="3500"/>
    <n v="0"/>
    <n v="3500"/>
    <x v="0"/>
    <x v="0"/>
    <x v="0"/>
    <x v="0"/>
    <x v="0"/>
  </r>
  <r>
    <x v="2"/>
    <x v="0"/>
    <x v="0"/>
    <x v="0"/>
    <x v="0"/>
    <x v="3"/>
    <x v="3"/>
    <n v="347"/>
    <s v="16632990"/>
    <s v="MUNERA ANGUS JUAN GUILLERMO"/>
    <s v="20190605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00376423"/>
    <s v="RESTAURANTE TORTEL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LMUERZO DE TRABAJO ABOGADO LABORAL -MARCO CARRASQUILLA, ANA MARIA VALLEJO Y JUAN GUILLERMO MUNERA"/>
    <n v="6524"/>
    <n v="0"/>
    <n v="6524"/>
    <x v="0"/>
    <x v="0"/>
    <x v="0"/>
    <n v="6524"/>
    <n v="0"/>
    <n v="6524"/>
    <x v="0"/>
    <x v="0"/>
    <x v="0"/>
    <n v="6524"/>
    <n v="0"/>
    <n v="6524"/>
    <x v="0"/>
    <x v="0"/>
    <x v="0"/>
    <x v="0"/>
    <x v="0"/>
  </r>
  <r>
    <x v="0"/>
    <x v="0"/>
    <x v="0"/>
    <x v="4"/>
    <x v="4"/>
    <x v="1"/>
    <x v="1"/>
    <n v="20154"/>
    <s v="890211796"/>
    <s v="CENTRO COMERCIAL CANAVERAL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11796"/>
    <s v="CENTRO COMERCIAL CANAVER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8"/>
    <n v="1736"/>
    <n v="0"/>
    <n v="1736"/>
    <x v="0"/>
    <x v="0"/>
    <x v="0"/>
    <n v="1736"/>
    <n v="0"/>
    <n v="1736"/>
    <x v="0"/>
    <x v="0"/>
    <x v="0"/>
    <n v="1736"/>
    <n v="0"/>
    <n v="1736"/>
    <x v="0"/>
    <x v="0"/>
    <x v="0"/>
    <x v="0"/>
    <x v="0"/>
  </r>
  <r>
    <x v="1"/>
    <x v="0"/>
    <x v="0"/>
    <x v="5"/>
    <x v="5"/>
    <x v="1"/>
    <x v="1"/>
    <n v="45733"/>
    <s v="890300012"/>
    <s v="COLPOZOS 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1"/>
    <x v="0"/>
    <x v="0"/>
    <x v="5"/>
    <x v="5"/>
    <x v="1"/>
    <x v="1"/>
    <n v="45735"/>
    <s v="817001528"/>
    <s v="PAVCO DE OCCIDENTE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1"/>
    <x v="0"/>
    <x v="0"/>
    <x v="1"/>
    <x v="1"/>
    <x v="1"/>
    <x v="1"/>
    <n v="24091"/>
    <s v="892115006"/>
    <s v="CAJA DE COMP. FAMILIAR DE LA GUAJIR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30"/>
    <n v="3644"/>
    <n v="0"/>
    <n v="3644"/>
    <x v="0"/>
    <x v="0"/>
    <x v="0"/>
    <n v="3644"/>
    <n v="0"/>
    <n v="3644"/>
    <x v="0"/>
    <x v="0"/>
    <x v="0"/>
    <n v="3644"/>
    <n v="0"/>
    <n v="3644"/>
    <x v="0"/>
    <x v="0"/>
    <x v="0"/>
    <x v="0"/>
    <x v="0"/>
  </r>
  <r>
    <x v="0"/>
    <x v="0"/>
    <x v="0"/>
    <x v="3"/>
    <x v="3"/>
    <x v="1"/>
    <x v="1"/>
    <n v="36993"/>
    <s v="811007125"/>
    <s v="RIO ASEO TOTAL"/>
    <s v="20190110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0580_x000d__x000a_RETIENE ESTAMPILLAS $8.862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7"/>
    <x v="0"/>
    <x v="0"/>
    <x v="0"/>
    <x v="0"/>
    <x v="2"/>
    <x v="2"/>
    <n v="20039"/>
    <s v="900092385"/>
    <s v="EPM TELECOMUNICACIONES S.A.  E.S.P."/>
    <s v="201904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OS PUBLICOS VARIOS C.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213"/>
    <s v="890201222"/>
    <s v="MUNICIPIO DE BUCARAMANGA"/>
    <s v="20190529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7"/>
    <x v="7"/>
    <x v="0"/>
    <x v="0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EXTEMPORANEIDAD IMPUESTO INDUSTRIA Y COMERCIO BUCARAMANGA"/>
    <n v="342000"/>
    <n v="0"/>
    <n v="342000"/>
    <x v="0"/>
    <x v="0"/>
    <x v="0"/>
    <n v="342000"/>
    <n v="0"/>
    <n v="342000"/>
    <x v="0"/>
    <x v="0"/>
    <x v="0"/>
    <n v="342000"/>
    <n v="0"/>
    <n v="342000"/>
    <x v="0"/>
    <x v="0"/>
    <x v="0"/>
    <x v="0"/>
    <x v="0"/>
  </r>
  <r>
    <x v="0"/>
    <x v="0"/>
    <x v="0"/>
    <x v="5"/>
    <x v="5"/>
    <x v="1"/>
    <x v="1"/>
    <n v="45393"/>
    <s v="800048954"/>
    <s v="CLINICA VERSALLES S.A."/>
    <s v="201901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748"/>
    <n v="0"/>
    <n v="12748"/>
    <x v="0"/>
    <x v="0"/>
    <x v="0"/>
    <n v="12748"/>
    <n v="0"/>
    <n v="12748"/>
    <x v="0"/>
    <x v="0"/>
    <x v="0"/>
    <n v="12748"/>
    <n v="0"/>
    <n v="12748"/>
    <x v="0"/>
    <x v="0"/>
    <x v="0"/>
    <x v="0"/>
    <x v="0"/>
  </r>
  <r>
    <x v="0"/>
    <x v="0"/>
    <x v="0"/>
    <x v="1"/>
    <x v="1"/>
    <x v="1"/>
    <x v="1"/>
    <n v="23888"/>
    <s v="890107487"/>
    <s v="SUPERTIENDAS Y DROGUERIAS OLIMPICA S.A."/>
    <s v="201901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0"/>
    <x v="0"/>
    <x v="0"/>
    <x v="2"/>
    <x v="2"/>
    <x v="9"/>
    <x v="9"/>
    <n v="1454"/>
    <s v="800212060"/>
    <s v="PARQUE COMERCIAL LA COLINA 138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9% PAGO ANUAL $135.751"/>
    <n v="135751"/>
    <n v="0"/>
    <n v="135751"/>
    <x v="0"/>
    <x v="0"/>
    <x v="0"/>
    <n v="135751"/>
    <n v="0"/>
    <n v="135751"/>
    <x v="0"/>
    <x v="0"/>
    <x v="0"/>
    <n v="135751"/>
    <n v="0"/>
    <n v="135751"/>
    <x v="0"/>
    <x v="0"/>
    <x v="0"/>
    <x v="0"/>
    <x v="0"/>
  </r>
  <r>
    <x v="1"/>
    <x v="0"/>
    <x v="0"/>
    <x v="5"/>
    <x v="5"/>
    <x v="1"/>
    <x v="1"/>
    <n v="45792"/>
    <s v="800048954"/>
    <s v="CLINICA VERSALLES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500"/>
    <n v="0"/>
    <n v="6500"/>
    <x v="0"/>
    <x v="0"/>
    <x v="0"/>
    <n v="6500"/>
    <n v="0"/>
    <n v="6500"/>
    <x v="0"/>
    <x v="0"/>
    <x v="0"/>
    <n v="6500"/>
    <n v="0"/>
    <n v="6500"/>
    <x v="0"/>
    <x v="0"/>
    <x v="0"/>
    <x v="0"/>
    <x v="0"/>
  </r>
  <r>
    <x v="1"/>
    <x v="0"/>
    <x v="0"/>
    <x v="1"/>
    <x v="1"/>
    <x v="1"/>
    <x v="1"/>
    <n v="24058"/>
    <s v="890102508"/>
    <s v="SALES INMOBILIARIA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8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1"/>
    <x v="1"/>
    <x v="9"/>
    <x v="9"/>
    <n v="363"/>
    <s v="860007627"/>
    <s v="COMPAÑIA DE JESU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60007627"/>
    <s v="COMPAÑIA DE JESU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6, SE APLICA EL DESCUENTO FINANCIERO DEL 9% POR PAGO DE AÑO ANTICIPADO. APLICA RETENCION DE ICA POR VALOR DE $13.816"/>
    <n v="155432"/>
    <n v="0"/>
    <n v="155432"/>
    <x v="0"/>
    <x v="0"/>
    <x v="0"/>
    <n v="155432"/>
    <n v="0"/>
    <n v="155432"/>
    <x v="0"/>
    <x v="0"/>
    <x v="0"/>
    <n v="155432"/>
    <n v="0"/>
    <n v="155432"/>
    <x v="0"/>
    <x v="0"/>
    <x v="0"/>
    <x v="0"/>
    <x v="0"/>
  </r>
  <r>
    <x v="1"/>
    <x v="0"/>
    <x v="0"/>
    <x v="3"/>
    <x v="3"/>
    <x v="9"/>
    <x v="9"/>
    <n v="1088"/>
    <s v="890929647"/>
    <s v="QUIMICOS Y PLASTICOS INDUSTRIALES S.A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9647"/>
    <s v="QUIMICOS Y PLASTICOS INDUSTRIA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79 CANCELA CON DCTO DEL 9% POR PRONTO PAGO $112.938"/>
    <n v="112938"/>
    <n v="0"/>
    <n v="112938"/>
    <x v="0"/>
    <x v="0"/>
    <x v="0"/>
    <n v="112938"/>
    <n v="0"/>
    <n v="112938"/>
    <x v="0"/>
    <x v="0"/>
    <x v="0"/>
    <n v="112938"/>
    <n v="0"/>
    <n v="112938"/>
    <x v="0"/>
    <x v="0"/>
    <x v="0"/>
    <x v="0"/>
    <x v="0"/>
  </r>
  <r>
    <x v="1"/>
    <x v="0"/>
    <x v="0"/>
    <x v="3"/>
    <x v="3"/>
    <x v="1"/>
    <x v="1"/>
    <n v="37154"/>
    <s v="811046900"/>
    <s v="CENTRO CARDIOVASCULAR COLOMBIANO - CLINICA SANTA M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6900"/>
    <s v="CENTRO CARDIOVASCULAR COLOMBIANO - CLINICA SANTA M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"/>
    <n v="2629"/>
    <n v="0"/>
    <n v="2629"/>
    <x v="0"/>
    <x v="0"/>
    <x v="0"/>
    <n v="2629"/>
    <n v="0"/>
    <n v="2629"/>
    <x v="0"/>
    <x v="0"/>
    <x v="0"/>
    <n v="2629"/>
    <n v="0"/>
    <n v="262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75574.59"/>
    <n v="0"/>
    <n v="175574.59"/>
    <x v="0"/>
    <x v="0"/>
    <x v="0"/>
    <n v="175574.59"/>
    <n v="0"/>
    <n v="175574.59"/>
    <x v="0"/>
    <x v="0"/>
    <x v="0"/>
    <n v="175574.59"/>
    <n v="0"/>
    <n v="175574.5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81.98"/>
    <n v="0"/>
    <n v="381.98"/>
    <x v="0"/>
    <x v="0"/>
    <x v="0"/>
    <n v="381.98"/>
    <n v="0"/>
    <n v="381.98"/>
    <x v="0"/>
    <x v="0"/>
    <x v="0"/>
    <n v="381.98"/>
    <n v="0"/>
    <n v="381.98"/>
    <x v="0"/>
    <x v="0"/>
    <x v="0"/>
    <x v="0"/>
    <x v="0"/>
  </r>
  <r>
    <x v="0"/>
    <x v="0"/>
    <x v="0"/>
    <x v="6"/>
    <x v="6"/>
    <x v="9"/>
    <x v="9"/>
    <n v="1102"/>
    <s v="810003155"/>
    <s v="CENTRO DE NEGOCIOS SIGLO XXI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10003155"/>
    <s v="CENTRO DE NEGOCIOS SIGLO XX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55688 DESCUENTO DEL 9% POR PAGO ANUAL ANTICIPADO DE $82.808"/>
    <n v="82808"/>
    <n v="0"/>
    <n v="82808"/>
    <x v="0"/>
    <x v="0"/>
    <x v="0"/>
    <n v="82808"/>
    <n v="0"/>
    <n v="82808"/>
    <x v="0"/>
    <x v="0"/>
    <x v="0"/>
    <n v="82808"/>
    <n v="0"/>
    <n v="82808"/>
    <x v="0"/>
    <x v="0"/>
    <x v="0"/>
    <x v="0"/>
    <x v="0"/>
  </r>
  <r>
    <x v="0"/>
    <x v="0"/>
    <x v="0"/>
    <x v="5"/>
    <x v="5"/>
    <x v="1"/>
    <x v="1"/>
    <n v="45504"/>
    <s v="1509246"/>
    <s v="MORALES SANTACRUZ JESUS ANTONIO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0"/>
    <x v="0"/>
    <x v="0"/>
    <x v="5"/>
    <x v="5"/>
    <x v="1"/>
    <x v="1"/>
    <n v="45505"/>
    <s v="650187917"/>
    <s v="FREI  HEINRICH ERNEST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0"/>
    <x v="0"/>
    <x v="0"/>
    <x v="1"/>
    <x v="1"/>
    <x v="1"/>
    <x v="1"/>
    <n v="23937"/>
    <s v="892115006"/>
    <s v="CAJA DE COMP. FAMILIAR DE LA GUAJIR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0880  - FV5-651"/>
    <n v="3653"/>
    <n v="0"/>
    <n v="3653"/>
    <x v="0"/>
    <x v="0"/>
    <x v="0"/>
    <n v="3653"/>
    <n v="0"/>
    <n v="3653"/>
    <x v="0"/>
    <x v="0"/>
    <x v="0"/>
    <n v="3653"/>
    <n v="0"/>
    <n v="3653"/>
    <x v="0"/>
    <x v="0"/>
    <x v="0"/>
    <x v="0"/>
    <x v="0"/>
  </r>
  <r>
    <x v="0"/>
    <x v="0"/>
    <x v="0"/>
    <x v="1"/>
    <x v="1"/>
    <x v="1"/>
    <x v="1"/>
    <n v="23941"/>
    <s v="900061516"/>
    <s v="MUEBLES JAMAR S.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697 - FV5-716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0"/>
    <x v="0"/>
    <x v="0"/>
    <x v="3"/>
    <x v="3"/>
    <x v="9"/>
    <x v="9"/>
    <n v="1078"/>
    <s v="811015694"/>
    <s v="INVERSIONES QUINTERO GARCIA LIMITADA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5002 DESCUENTO COMERCIAL AÑO ANTICIPADO"/>
    <n v="139329"/>
    <n v="0"/>
    <n v="139329"/>
    <x v="0"/>
    <x v="0"/>
    <x v="0"/>
    <n v="139329"/>
    <n v="0"/>
    <n v="139329"/>
    <x v="0"/>
    <x v="0"/>
    <x v="0"/>
    <n v="139329"/>
    <n v="0"/>
    <n v="139329"/>
    <x v="0"/>
    <x v="0"/>
    <x v="0"/>
    <x v="0"/>
    <x v="0"/>
  </r>
  <r>
    <x v="0"/>
    <x v="0"/>
    <x v="0"/>
    <x v="3"/>
    <x v="3"/>
    <x v="1"/>
    <x v="1"/>
    <n v="37060"/>
    <s v="900059238"/>
    <s v="MAKRO SUPERMAYORISTA S.A.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9238"/>
    <s v="MAKRO SUPERMAYORIST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FV4- 980 - SOPORTE ENVIADO POR DAYRO ECHEVERRIA"/>
    <n v="59"/>
    <n v="0"/>
    <n v="59"/>
    <x v="0"/>
    <x v="0"/>
    <x v="0"/>
    <n v="59"/>
    <n v="0"/>
    <n v="59"/>
    <x v="0"/>
    <x v="0"/>
    <x v="0"/>
    <n v="59"/>
    <n v="0"/>
    <n v="59"/>
    <x v="0"/>
    <x v="0"/>
    <x v="0"/>
    <x v="0"/>
    <x v="0"/>
  </r>
  <r>
    <x v="0"/>
    <x v="0"/>
    <x v="0"/>
    <x v="5"/>
    <x v="5"/>
    <x v="1"/>
    <x v="1"/>
    <n v="45555"/>
    <s v="900081559"/>
    <s v="REDITOS EMPRESARIALES S.A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81559"/>
    <s v="REDITOS EMPRESA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87"/>
    <n v="0"/>
    <n v="2187"/>
    <x v="0"/>
    <x v="0"/>
    <x v="0"/>
    <n v="2187"/>
    <n v="0"/>
    <n v="2187"/>
    <x v="0"/>
    <x v="0"/>
    <x v="0"/>
    <n v="2187"/>
    <n v="0"/>
    <n v="2187"/>
    <x v="0"/>
    <x v="0"/>
    <x v="0"/>
    <x v="0"/>
    <x v="0"/>
  </r>
  <r>
    <x v="0"/>
    <x v="0"/>
    <x v="0"/>
    <x v="5"/>
    <x v="5"/>
    <x v="1"/>
    <x v="1"/>
    <n v="45558"/>
    <s v="811003486"/>
    <s v="QUIPUX SAS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 355031, CO MEDELLIN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0"/>
    <x v="0"/>
    <x v="0"/>
    <x v="5"/>
    <x v="5"/>
    <x v="9"/>
    <x v="9"/>
    <n v="1202"/>
    <s v="805024070"/>
    <s v="MGI VIA CONSULTORIA S.A.S.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4070"/>
    <s v="MGI VIA CONSULTOR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AÑO ANTICIPADO, 9% EN FACTURA $104.993"/>
    <n v="104993"/>
    <n v="0"/>
    <n v="104993"/>
    <x v="0"/>
    <x v="0"/>
    <x v="0"/>
    <n v="104993"/>
    <n v="0"/>
    <n v="104993"/>
    <x v="0"/>
    <x v="0"/>
    <x v="0"/>
    <n v="104993"/>
    <n v="0"/>
    <n v="104993"/>
    <x v="0"/>
    <x v="0"/>
    <x v="0"/>
    <x v="0"/>
    <x v="0"/>
  </r>
  <r>
    <x v="0"/>
    <x v="0"/>
    <x v="0"/>
    <x v="5"/>
    <x v="5"/>
    <x v="1"/>
    <x v="1"/>
    <n v="45591"/>
    <s v="811021363"/>
    <s v="UNIPLES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1363"/>
    <s v="UNIP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9"/>
    <x v="9"/>
    <n v="1205"/>
    <s v="811028725"/>
    <s v="DISTRIMEDICAL S.A.S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DESCUENTO DEL 4.5% EN FACTURA SEMESTRE ANTICIPADO$58.514"/>
    <n v="58514"/>
    <n v="0"/>
    <n v="58514"/>
    <x v="0"/>
    <x v="0"/>
    <x v="0"/>
    <n v="58514"/>
    <n v="0"/>
    <n v="58514"/>
    <x v="0"/>
    <x v="0"/>
    <x v="0"/>
    <n v="58514"/>
    <n v="0"/>
    <n v="58514"/>
    <x v="0"/>
    <x v="0"/>
    <x v="0"/>
    <x v="0"/>
    <x v="0"/>
  </r>
  <r>
    <x v="0"/>
    <x v="0"/>
    <x v="0"/>
    <x v="5"/>
    <x v="5"/>
    <x v="1"/>
    <x v="1"/>
    <n v="45599"/>
    <s v="900535544"/>
    <s v="PREMIER INVESMENT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35544"/>
    <s v="PREMIER INVESMENT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ULTIMA CUOTA ACUERDO ANTERIOR."/>
    <n v="2824"/>
    <n v="0"/>
    <n v="2824"/>
    <x v="0"/>
    <x v="0"/>
    <x v="0"/>
    <n v="2824"/>
    <n v="0"/>
    <n v="2824"/>
    <x v="0"/>
    <x v="0"/>
    <x v="0"/>
    <n v="2824"/>
    <n v="0"/>
    <n v="2824"/>
    <x v="0"/>
    <x v="0"/>
    <x v="0"/>
    <x v="0"/>
    <x v="0"/>
  </r>
  <r>
    <x v="1"/>
    <x v="0"/>
    <x v="0"/>
    <x v="3"/>
    <x v="3"/>
    <x v="9"/>
    <x v="9"/>
    <n v="1082"/>
    <s v="890923354"/>
    <s v="CENTRO CCIAL CAMINO REAL"/>
    <s v="201902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3354"/>
    <s v="CENTRO CCIAL CAMINO RE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938, SE APLICA PRONTO PAGO DE $ 1.575.005 EL CLIENTE PAGA ANUAL CON UN DCTO DEL 9%"/>
    <n v="1575005"/>
    <n v="0"/>
    <n v="1575005"/>
    <x v="0"/>
    <x v="0"/>
    <x v="0"/>
    <n v="1575005"/>
    <n v="0"/>
    <n v="1575005"/>
    <x v="0"/>
    <x v="0"/>
    <x v="0"/>
    <n v="1575005"/>
    <n v="0"/>
    <n v="1575005"/>
    <x v="0"/>
    <x v="0"/>
    <x v="0"/>
    <x v="0"/>
    <x v="0"/>
  </r>
  <r>
    <x v="1"/>
    <x v="0"/>
    <x v="0"/>
    <x v="3"/>
    <x v="3"/>
    <x v="1"/>
    <x v="1"/>
    <n v="37116"/>
    <s v="811013715"/>
    <s v="LINEA ADHESIVA S.A"/>
    <s v="201902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005 SE REALIZA DCTO POR PRONTO PAGO DE $ 51.008"/>
    <n v="51008"/>
    <n v="0"/>
    <n v="51008"/>
    <x v="0"/>
    <x v="0"/>
    <x v="0"/>
    <n v="51008"/>
    <n v="0"/>
    <n v="51008"/>
    <x v="0"/>
    <x v="0"/>
    <x v="0"/>
    <n v="51008"/>
    <n v="0"/>
    <n v="51008"/>
    <x v="0"/>
    <x v="0"/>
    <x v="0"/>
    <x v="0"/>
    <x v="0"/>
  </r>
  <r>
    <x v="7"/>
    <x v="0"/>
    <x v="0"/>
    <x v="3"/>
    <x v="3"/>
    <x v="9"/>
    <x v="9"/>
    <n v="1117"/>
    <s v="890906347"/>
    <s v="E.S.E HOSP MANUEL URIBE ANGEL"/>
    <s v="20190412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90906347"/>
    <s v="E.S.E HOSP MANUEL URIBE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970-354587-354586_x000d__x000a_RETEIVA $ 49.561_x000d__x000a_"/>
    <n v="4999"/>
    <n v="0"/>
    <n v="4999"/>
    <x v="0"/>
    <x v="0"/>
    <x v="0"/>
    <n v="4999"/>
    <n v="0"/>
    <n v="4999"/>
    <x v="0"/>
    <x v="0"/>
    <x v="0"/>
    <n v="4999"/>
    <n v="0"/>
    <n v="4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1"/>
    <x v="0"/>
    <x v="0"/>
    <x v="2"/>
    <x v="2"/>
    <x v="9"/>
    <x v="9"/>
    <n v="1482"/>
    <s v="860002964"/>
    <s v="BANCO DE BOGOTA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RET/ICA $ 8.218 Y $ 92.872 POR PAGO ANTICIPADO"/>
    <n v="92872"/>
    <n v="0"/>
    <n v="92872"/>
    <x v="0"/>
    <x v="0"/>
    <x v="0"/>
    <n v="92872"/>
    <n v="0"/>
    <n v="92872"/>
    <x v="0"/>
    <x v="0"/>
    <x v="0"/>
    <n v="92872"/>
    <n v="0"/>
    <n v="92872"/>
    <x v="0"/>
    <x v="0"/>
    <x v="0"/>
    <x v="0"/>
    <x v="0"/>
  </r>
  <r>
    <x v="1"/>
    <x v="0"/>
    <x v="0"/>
    <x v="5"/>
    <x v="5"/>
    <x v="1"/>
    <x v="1"/>
    <n v="45999"/>
    <s v="650187917"/>
    <s v="FREI  HEINRICH ERNEST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5"/>
    <x v="0"/>
    <x v="0"/>
    <x v="3"/>
    <x v="3"/>
    <x v="1"/>
    <x v="1"/>
    <n v="37269"/>
    <s v="860048371"/>
    <s v="PROTEICOL S.A.S"/>
    <s v="201903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8371"/>
    <s v="PROTEICO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S # 355946-355947"/>
    <n v="13417"/>
    <n v="0"/>
    <n v="13417"/>
    <x v="0"/>
    <x v="0"/>
    <x v="0"/>
    <n v="13417"/>
    <n v="0"/>
    <n v="13417"/>
    <x v="0"/>
    <x v="0"/>
    <x v="0"/>
    <n v="13417"/>
    <n v="0"/>
    <n v="13417"/>
    <x v="0"/>
    <x v="0"/>
    <x v="0"/>
    <x v="0"/>
    <x v="0"/>
  </r>
  <r>
    <x v="5"/>
    <x v="0"/>
    <x v="0"/>
    <x v="0"/>
    <x v="0"/>
    <x v="0"/>
    <x v="0"/>
    <n v="4285"/>
    <s v="891410922"/>
    <s v="CENTRO COMERCIAL ALCIDES AREVALO (PEREIR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0922"/>
    <s v="CENTRO COMERCIAL ALCIDES AREVALO (PEREI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5"/>
    <x v="5"/>
    <x v="1"/>
    <x v="1"/>
    <n v="46117"/>
    <s v="805009741"/>
    <s v="COOMEVA MEDICINA PREPAGAD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357167,357131,356898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1"/>
    <x v="1"/>
    <n v="24230"/>
    <s v="802016130"/>
    <s v="CENTRO COMERCIAL BUENAVIST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78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5"/>
    <x v="0"/>
    <x v="0"/>
    <x v="1"/>
    <x v="1"/>
    <x v="1"/>
    <x v="1"/>
    <n v="24231"/>
    <s v="806012958"/>
    <s v="IPS SALUD DEL CARIBE S.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527 - FVA-357540 - FVA-357545 - FVA-357550 - FV6-1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5"/>
    <x v="0"/>
    <x v="0"/>
    <x v="5"/>
    <x v="5"/>
    <x v="1"/>
    <x v="1"/>
    <n v="46236"/>
    <s v="900569801"/>
    <s v="MARGARITA PEÑA S.A.S.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5"/>
    <x v="0"/>
    <x v="0"/>
    <x v="5"/>
    <x v="5"/>
    <x v="1"/>
    <x v="1"/>
    <n v="46237"/>
    <s v="1509246"/>
    <s v="MORALES SANTACRUZ JESUS ANTONIO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5"/>
    <x v="0"/>
    <x v="0"/>
    <x v="5"/>
    <x v="5"/>
    <x v="1"/>
    <x v="1"/>
    <n v="46260"/>
    <s v="34318168"/>
    <s v="ERAZO TORRES ZULMA VIVIAN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4318168"/>
    <s v="ERAZO TORRES ZULMA VIVIA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00"/>
    <n v="0"/>
    <n v="500"/>
    <x v="0"/>
    <x v="0"/>
    <x v="0"/>
    <n v="500"/>
    <n v="0"/>
    <n v="500"/>
    <x v="0"/>
    <x v="0"/>
    <x v="0"/>
    <n v="500"/>
    <n v="0"/>
    <n v="500"/>
    <x v="0"/>
    <x v="0"/>
    <x v="0"/>
    <x v="0"/>
    <x v="0"/>
  </r>
  <r>
    <x v="5"/>
    <x v="0"/>
    <x v="0"/>
    <x v="5"/>
    <x v="5"/>
    <x v="9"/>
    <x v="9"/>
    <n v="1258"/>
    <s v="830011670"/>
    <s v="COPSERVIR LTD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011670"/>
    <s v="COPSERVIR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463.970"/>
    <n v="463970"/>
    <n v="0"/>
    <n v="463970"/>
    <x v="0"/>
    <x v="0"/>
    <x v="0"/>
    <n v="463970"/>
    <n v="0"/>
    <n v="463970"/>
    <x v="0"/>
    <x v="0"/>
    <x v="0"/>
    <n v="463970"/>
    <n v="0"/>
    <n v="463970"/>
    <x v="0"/>
    <x v="0"/>
    <x v="0"/>
    <x v="0"/>
    <x v="0"/>
  </r>
  <r>
    <x v="5"/>
    <x v="0"/>
    <x v="0"/>
    <x v="1"/>
    <x v="1"/>
    <x v="1"/>
    <x v="1"/>
    <n v="24278"/>
    <s v="901062361"/>
    <s v="INVERSIONES MARCRI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283"/>
    <s v="900699086"/>
    <s v="CLINICA PALMA REAL S.A.S"/>
    <s v="2019040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7"/>
    <x v="0"/>
    <x v="0"/>
    <x v="5"/>
    <x v="5"/>
    <x v="1"/>
    <x v="1"/>
    <n v="46311"/>
    <s v="860037900"/>
    <s v="CONSTRUCTORA  BOLIVAR  CALI S.A"/>
    <s v="201904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71,472,473,475,476,865."/>
    <n v="2717"/>
    <n v="0"/>
    <n v="2717"/>
    <x v="0"/>
    <x v="0"/>
    <x v="0"/>
    <n v="2717"/>
    <n v="0"/>
    <n v="2717"/>
    <x v="0"/>
    <x v="0"/>
    <x v="0"/>
    <n v="2717"/>
    <n v="0"/>
    <n v="2717"/>
    <x v="0"/>
    <x v="0"/>
    <x v="0"/>
    <x v="0"/>
    <x v="0"/>
  </r>
  <r>
    <x v="7"/>
    <x v="0"/>
    <x v="0"/>
    <x v="2"/>
    <x v="2"/>
    <x v="9"/>
    <x v="9"/>
    <n v="1525"/>
    <s v="860025639"/>
    <s v="MITSUBISHI ELECTRIC DE COLOMBIA LIMITA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5639"/>
    <s v="MITSUBISHI ELECTRIC DE COLOMB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DE AÑO ANTICIPADO APLICA EL %9."/>
    <n v="300705"/>
    <n v="0"/>
    <n v="300705"/>
    <x v="0"/>
    <x v="0"/>
    <x v="0"/>
    <n v="300705"/>
    <n v="0"/>
    <n v="300705"/>
    <x v="0"/>
    <x v="0"/>
    <x v="0"/>
    <n v="300705"/>
    <n v="0"/>
    <n v="300705"/>
    <x v="0"/>
    <x v="0"/>
    <x v="0"/>
    <x v="0"/>
    <x v="0"/>
  </r>
  <r>
    <x v="7"/>
    <x v="0"/>
    <x v="0"/>
    <x v="1"/>
    <x v="1"/>
    <x v="1"/>
    <x v="1"/>
    <n v="24404"/>
    <s v="901062361"/>
    <s v="INVERSIONES MARCRI S.A.S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8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528"/>
    <s v="900569801"/>
    <s v="MARGARITA PEÑA S.A.S.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6"/>
    <x v="0"/>
    <x v="0"/>
    <x v="1"/>
    <x v="1"/>
    <x v="1"/>
    <x v="1"/>
    <n v="24466"/>
    <s v="890102508"/>
    <s v="SALES INMOBILIARI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2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667"/>
    <s v="800048954"/>
    <s v="CLINICA VERSALLES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6"/>
    <x v="0"/>
    <x v="0"/>
    <x v="5"/>
    <x v="5"/>
    <x v="9"/>
    <x v="9"/>
    <n v="1293"/>
    <s v="805011901"/>
    <s v="LASKIN S.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PAGO AÑO ANTICIPADO %9, $244.218"/>
    <n v="244218"/>
    <n v="0"/>
    <n v="244218"/>
    <x v="0"/>
    <x v="0"/>
    <x v="0"/>
    <n v="244218"/>
    <n v="0"/>
    <n v="244218"/>
    <x v="0"/>
    <x v="0"/>
    <x v="0"/>
    <n v="244218"/>
    <n v="0"/>
    <n v="244218"/>
    <x v="0"/>
    <x v="0"/>
    <x v="0"/>
    <x v="0"/>
    <x v="0"/>
  </r>
  <r>
    <x v="6"/>
    <x v="0"/>
    <x v="0"/>
    <x v="5"/>
    <x v="5"/>
    <x v="1"/>
    <x v="1"/>
    <n v="46712"/>
    <s v="890304375"/>
    <s v="INDUGRAFICAS S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6"/>
    <x v="0"/>
    <x v="0"/>
    <x v="1"/>
    <x v="1"/>
    <x v="1"/>
    <x v="1"/>
    <n v="24488"/>
    <s v="1140900157"/>
    <s v="BOZON ALBA VALENTINA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9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6"/>
    <x v="0"/>
    <x v="0"/>
    <x v="3"/>
    <x v="3"/>
    <x v="1"/>
    <x v="1"/>
    <n v="37749"/>
    <s v="900163527"/>
    <s v="CENTRO COMERCIAL SAN NICOLAS PROPIEDAD HORIZONTAL"/>
    <s v="201905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572_x000d__x000a_SE LE OTORGA DCTO COMERCIAL POR PRONTO PAGO  DE $ 71.111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6"/>
    <x v="0"/>
    <x v="0"/>
    <x v="5"/>
    <x v="5"/>
    <x v="1"/>
    <x v="1"/>
    <n v="46741"/>
    <s v="900424306"/>
    <s v="SEGO ENTERPRISE SOLUTIONS SAS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424306"/>
    <s v="SEGO ENTERPRISE SOLUTION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6"/>
    <x v="0"/>
    <x v="0"/>
    <x v="5"/>
    <x v="5"/>
    <x v="1"/>
    <x v="1"/>
    <n v="46742"/>
    <s v="890311006"/>
    <s v="FONDO DE EMPLEADOS DE LAS EMP.MPALES DE CALI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6"/>
    <x v="0"/>
    <x v="0"/>
    <x v="5"/>
    <x v="5"/>
    <x v="9"/>
    <x v="9"/>
    <n v="1296"/>
    <s v="31945039"/>
    <s v="VILLAREAL MORALES ONEIDA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45039"/>
    <s v="VILLAREAL MORALES ONEI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6"/>
    <x v="0"/>
    <x v="0"/>
    <x v="1"/>
    <x v="1"/>
    <x v="1"/>
    <x v="1"/>
    <n v="24502"/>
    <s v="802016306"/>
    <s v="EXPOCONSTRUCCION 43 Y CIA LTDA"/>
    <s v="201905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2"/>
    <n v="35"/>
    <n v="0"/>
    <n v="35"/>
    <x v="0"/>
    <x v="0"/>
    <x v="0"/>
    <n v="35"/>
    <n v="0"/>
    <n v="35"/>
    <x v="0"/>
    <x v="0"/>
    <x v="0"/>
    <n v="35"/>
    <n v="0"/>
    <n v="35"/>
    <x v="0"/>
    <x v="0"/>
    <x v="0"/>
    <x v="0"/>
    <x v="0"/>
  </r>
  <r>
    <x v="6"/>
    <x v="0"/>
    <x v="0"/>
    <x v="5"/>
    <x v="5"/>
    <x v="1"/>
    <x v="1"/>
    <n v="46800"/>
    <s v="860046201"/>
    <s v="FORTOX S.A"/>
    <s v="201905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5"/>
    <x v="5"/>
    <x v="1"/>
    <x v="1"/>
    <n v="46803"/>
    <s v="900825179"/>
    <s v="ELIZABETH TRULLAS  CIA S.A.S"/>
    <s v="201905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6"/>
    <x v="0"/>
    <x v="0"/>
    <x v="5"/>
    <x v="5"/>
    <x v="1"/>
    <x v="1"/>
    <n v="46826"/>
    <s v="900569801"/>
    <s v="MARGARITA PEÑA S.A.S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6849"/>
    <s v="900077291"/>
    <s v="INVERSIONES BENAVIDES SOLARTE SCS"/>
    <s v="201906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6876"/>
    <s v="890304375"/>
    <s v="INDUGRAFICAS SA.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2"/>
    <x v="0"/>
    <x v="0"/>
    <x v="5"/>
    <x v="5"/>
    <x v="1"/>
    <x v="1"/>
    <n v="46904"/>
    <s v="890318490"/>
    <s v="FERRETERIA TUBERIAS S.A.S.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2"/>
    <x v="0"/>
    <x v="0"/>
    <x v="5"/>
    <x v="5"/>
    <x v="1"/>
    <x v="1"/>
    <n v="46905"/>
    <s v="42087065"/>
    <s v="RUEDA OCAMPO CLAUDIA PATRICIA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2"/>
    <x v="0"/>
    <x v="0"/>
    <x v="2"/>
    <x v="2"/>
    <x v="9"/>
    <x v="9"/>
    <n v="1574"/>
    <s v="860020058"/>
    <s v="DISTRIBUIDORA TOYOTA S.A.S.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0058"/>
    <s v="DISTRIBUIDORA TOYOT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MESTRE 4.5% $61.668"/>
    <n v="61668"/>
    <n v="0"/>
    <n v="61668"/>
    <x v="0"/>
    <x v="0"/>
    <x v="0"/>
    <n v="61668"/>
    <n v="0"/>
    <n v="61668"/>
    <x v="0"/>
    <x v="0"/>
    <x v="0"/>
    <n v="61668"/>
    <n v="0"/>
    <n v="61668"/>
    <x v="0"/>
    <x v="0"/>
    <x v="0"/>
    <x v="0"/>
    <x v="0"/>
  </r>
  <r>
    <x v="2"/>
    <x v="0"/>
    <x v="0"/>
    <x v="5"/>
    <x v="5"/>
    <x v="9"/>
    <x v="9"/>
    <n v="1306"/>
    <s v="800096895"/>
    <s v="GRUPO CARDIOLOGICO DE OCCIDENTE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96895"/>
    <s v="GRUPO CARDIOLOGICO DE OCCIDENT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en factura ok., $146.243"/>
    <n v="146243"/>
    <n v="0"/>
    <n v="146243"/>
    <x v="0"/>
    <x v="0"/>
    <x v="0"/>
    <n v="146243"/>
    <n v="0"/>
    <n v="146243"/>
    <x v="0"/>
    <x v="0"/>
    <x v="0"/>
    <n v="146243"/>
    <n v="0"/>
    <n v="146243"/>
    <x v="0"/>
    <x v="0"/>
    <x v="0"/>
    <x v="0"/>
    <x v="0"/>
  </r>
  <r>
    <x v="2"/>
    <x v="0"/>
    <x v="0"/>
    <x v="5"/>
    <x v="5"/>
    <x v="9"/>
    <x v="9"/>
    <n v="1310"/>
    <s v="830510909"/>
    <s v="RIVERCOL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 ANTICIPADO 4.5 % $61.244"/>
    <n v="61244"/>
    <n v="0"/>
    <n v="61244"/>
    <x v="0"/>
    <x v="0"/>
    <x v="0"/>
    <n v="61244"/>
    <n v="0"/>
    <n v="61244"/>
    <x v="0"/>
    <x v="0"/>
    <x v="0"/>
    <n v="61244"/>
    <n v="0"/>
    <n v="61244"/>
    <x v="0"/>
    <x v="0"/>
    <x v="0"/>
    <x v="0"/>
    <x v="0"/>
  </r>
  <r>
    <x v="2"/>
    <x v="0"/>
    <x v="0"/>
    <x v="5"/>
    <x v="5"/>
    <x v="9"/>
    <x v="9"/>
    <n v="1311"/>
    <s v="890303797"/>
    <s v="UNIVERSIDAD SANTIAGO DE CALI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3797"/>
    <s v="UNIVERSIDAD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, 9% OK, $291.585"/>
    <n v="291585"/>
    <n v="0"/>
    <n v="291585"/>
    <x v="0"/>
    <x v="0"/>
    <x v="0"/>
    <n v="291585"/>
    <n v="0"/>
    <n v="291585"/>
    <x v="0"/>
    <x v="0"/>
    <x v="0"/>
    <n v="291585"/>
    <n v="0"/>
    <n v="291585"/>
    <x v="0"/>
    <x v="0"/>
    <x v="0"/>
    <x v="0"/>
    <x v="0"/>
  </r>
  <r>
    <x v="2"/>
    <x v="0"/>
    <x v="0"/>
    <x v="5"/>
    <x v="5"/>
    <x v="9"/>
    <x v="9"/>
    <n v="1312"/>
    <s v="805007342"/>
    <s v="FONDO DE GARANTIAS S.A. CONFE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7342"/>
    <s v="FONDO DE GARANTIAS S.A. CONF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$395.216"/>
    <n v="395216"/>
    <n v="0"/>
    <n v="395216"/>
    <x v="0"/>
    <x v="0"/>
    <x v="0"/>
    <n v="395216"/>
    <n v="0"/>
    <n v="395216"/>
    <x v="0"/>
    <x v="0"/>
    <x v="0"/>
    <n v="395216"/>
    <n v="0"/>
    <n v="395216"/>
    <x v="0"/>
    <x v="0"/>
    <x v="0"/>
    <x v="0"/>
    <x v="0"/>
  </r>
  <r>
    <x v="2"/>
    <x v="0"/>
    <x v="0"/>
    <x v="5"/>
    <x v="5"/>
    <x v="1"/>
    <x v="1"/>
    <n v="46930"/>
    <s v="817001528"/>
    <s v="PAVCO DE OCCIDENTE SA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2"/>
    <x v="0"/>
    <x v="0"/>
    <x v="5"/>
    <x v="5"/>
    <x v="9"/>
    <x v="9"/>
    <n v="1309"/>
    <s v="805012610"/>
    <s v="FINESA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ESCUENTO %9  OK,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0"/>
    <x v="0"/>
    <x v="0"/>
    <x v="0"/>
    <x v="0"/>
    <x v="2"/>
    <x v="2"/>
    <n v="19431"/>
    <s v="860007660"/>
    <s v="HELM BANK S.A."/>
    <s v="201901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K 4225 -"/>
    <n v="274281.71999999997"/>
    <n v="0"/>
    <n v="274281.72000000003"/>
    <x v="0"/>
    <x v="0"/>
    <x v="0"/>
    <n v="274281.71999999997"/>
    <n v="0"/>
    <n v="274281.72000000003"/>
    <x v="0"/>
    <x v="0"/>
    <x v="0"/>
    <n v="274281.71999999997"/>
    <n v="0"/>
    <n v="274281.72000000003"/>
    <x v="0"/>
    <x v="0"/>
    <x v="0"/>
    <x v="0"/>
    <x v="0"/>
  </r>
  <r>
    <x v="0"/>
    <x v="0"/>
    <x v="0"/>
    <x v="0"/>
    <x v="0"/>
    <x v="2"/>
    <x v="2"/>
    <n v="19611"/>
    <s v="860002964"/>
    <s v="BANCO DE BOGOT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246057"/>
    <n v="0"/>
    <n v="246057"/>
    <x v="0"/>
    <x v="0"/>
    <x v="0"/>
    <n v="246057"/>
    <n v="0"/>
    <n v="246057"/>
    <x v="0"/>
    <x v="0"/>
    <x v="0"/>
    <n v="246057"/>
    <n v="0"/>
    <n v="246057"/>
    <x v="0"/>
    <x v="0"/>
    <x v="0"/>
    <x v="0"/>
    <x v="0"/>
  </r>
  <r>
    <x v="0"/>
    <x v="0"/>
    <x v="0"/>
    <x v="0"/>
    <x v="0"/>
    <x v="2"/>
    <x v="2"/>
    <n v="19612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- ENERO 2019"/>
    <n v="26796.03"/>
    <n v="0"/>
    <n v="26796.03"/>
    <x v="0"/>
    <x v="0"/>
    <x v="0"/>
    <n v="26796.03"/>
    <n v="0"/>
    <n v="26796.03"/>
    <x v="0"/>
    <x v="0"/>
    <x v="0"/>
    <n v="26796.03"/>
    <n v="0"/>
    <n v="26796.03"/>
    <x v="0"/>
    <x v="0"/>
    <x v="0"/>
    <x v="0"/>
    <x v="0"/>
  </r>
  <r>
    <x v="0"/>
    <x v="0"/>
    <x v="0"/>
    <x v="0"/>
    <x v="0"/>
    <x v="2"/>
    <x v="2"/>
    <n v="19633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18426"/>
    <n v="0"/>
    <n v="18426"/>
    <x v="0"/>
    <x v="0"/>
    <x v="0"/>
    <n v="18426"/>
    <n v="0"/>
    <n v="18426"/>
    <x v="0"/>
    <x v="0"/>
    <x v="0"/>
    <n v="18426"/>
    <n v="0"/>
    <n v="18426"/>
    <x v="0"/>
    <x v="0"/>
    <x v="0"/>
    <x v="0"/>
    <x v="0"/>
  </r>
  <r>
    <x v="0"/>
    <x v="0"/>
    <x v="0"/>
    <x v="0"/>
    <x v="0"/>
    <x v="2"/>
    <x v="2"/>
    <n v="19635"/>
    <s v="900406150"/>
    <s v="BANCO COOMEV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9"/>
    <n v="116232.29"/>
    <n v="0"/>
    <n v="116232.29000000001"/>
    <x v="0"/>
    <x v="0"/>
    <x v="0"/>
    <n v="116232.29"/>
    <n v="0"/>
    <n v="116232.29000000001"/>
    <x v="0"/>
    <x v="0"/>
    <x v="0"/>
    <n v="116232.29"/>
    <n v="0"/>
    <n v="116232.29000000001"/>
    <x v="0"/>
    <x v="0"/>
    <x v="0"/>
    <x v="0"/>
    <x v="0"/>
  </r>
  <r>
    <x v="0"/>
    <x v="0"/>
    <x v="0"/>
    <x v="0"/>
    <x v="0"/>
    <x v="2"/>
    <x v="2"/>
    <n v="19620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OCCIDENTE"/>
    <n v="261000"/>
    <n v="0"/>
    <n v="261000"/>
    <x v="0"/>
    <x v="0"/>
    <x v="0"/>
    <n v="261000"/>
    <n v="0"/>
    <n v="261000"/>
    <x v="0"/>
    <x v="0"/>
    <x v="0"/>
    <n v="261000"/>
    <n v="0"/>
    <n v="261000"/>
    <x v="0"/>
    <x v="0"/>
    <x v="0"/>
    <x v="0"/>
    <x v="0"/>
  </r>
  <r>
    <x v="0"/>
    <x v="0"/>
    <x v="0"/>
    <x v="0"/>
    <x v="0"/>
    <x v="2"/>
    <x v="2"/>
    <n v="19572"/>
    <s v="890311940"/>
    <s v="TURISMO MARVAN SA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NCOLOMBIA"/>
    <n v="3993.14"/>
    <n v="0"/>
    <n v="3993.14"/>
    <x v="0"/>
    <x v="0"/>
    <x v="0"/>
    <n v="3993.14"/>
    <n v="0"/>
    <n v="3993.14"/>
    <x v="0"/>
    <x v="0"/>
    <x v="0"/>
    <n v="3993.14"/>
    <n v="0"/>
    <n v="3993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5"/>
    <x v="5"/>
    <x v="1"/>
    <x v="1"/>
    <n v="45947"/>
    <s v="800004599"/>
    <s v="COMERCIALIZADORA MARDEN LTD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04599"/>
    <s v="COMERCIALIZADORA MARDEN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1"/>
    <x v="0"/>
    <x v="0"/>
    <x v="5"/>
    <x v="5"/>
    <x v="9"/>
    <x v="9"/>
    <n v="1236"/>
    <s v="800024390"/>
    <s v="DIME CLINICA NEUROCARDIOVASCULAR S.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24390"/>
    <s v="DIME CLINICA NEUROCARDIOVASCUL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243.540"/>
    <n v="243540"/>
    <n v="0"/>
    <n v="243540"/>
    <x v="0"/>
    <x v="0"/>
    <x v="0"/>
    <n v="243540"/>
    <n v="0"/>
    <n v="243540"/>
    <x v="0"/>
    <x v="0"/>
    <x v="0"/>
    <n v="243540"/>
    <n v="0"/>
    <n v="243540"/>
    <x v="0"/>
    <x v="0"/>
    <x v="0"/>
    <x v="0"/>
    <x v="0"/>
  </r>
  <r>
    <x v="1"/>
    <x v="0"/>
    <x v="0"/>
    <x v="1"/>
    <x v="1"/>
    <x v="1"/>
    <x v="1"/>
    <n v="24128"/>
    <s v="32757237"/>
    <s v="MEDINA OLIVEROS FARATH DIV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25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1"/>
    <x v="0"/>
    <x v="0"/>
    <x v="1"/>
    <x v="1"/>
    <x v="1"/>
    <x v="1"/>
    <n v="24134"/>
    <s v="802010909"/>
    <s v="INVERSIONES WONGFOEN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2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1"/>
    <x v="1"/>
    <x v="1"/>
    <x v="1"/>
    <n v="24137"/>
    <s v="802016130"/>
    <s v="CENTRO COMERCIAL BUENAVISTA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1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1"/>
    <x v="0"/>
    <x v="0"/>
    <x v="5"/>
    <x v="5"/>
    <x v="1"/>
    <x v="1"/>
    <n v="45963"/>
    <s v="900569801"/>
    <s v="MARGARITA PEÑA S.A.S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341"/>
    <n v="0"/>
    <n v="4341"/>
    <x v="0"/>
    <x v="0"/>
    <x v="0"/>
    <n v="4341"/>
    <n v="0"/>
    <n v="4341"/>
    <x v="0"/>
    <x v="0"/>
    <x v="0"/>
    <n v="4341"/>
    <n v="0"/>
    <n v="4341"/>
    <x v="0"/>
    <x v="0"/>
    <x v="0"/>
    <x v="0"/>
    <x v="0"/>
  </r>
  <r>
    <x v="1"/>
    <x v="0"/>
    <x v="0"/>
    <x v="5"/>
    <x v="5"/>
    <x v="1"/>
    <x v="1"/>
    <n v="45964"/>
    <s v="900825179"/>
    <s v="ELIZABETH TRULLAS  CIA S.A.S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1"/>
    <x v="0"/>
    <x v="0"/>
    <x v="5"/>
    <x v="5"/>
    <x v="1"/>
    <x v="1"/>
    <n v="45974"/>
    <s v="1509246"/>
    <s v="MORALES SANTACRUZ JESUS ANTONIO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1"/>
    <x v="0"/>
    <x v="0"/>
    <x v="5"/>
    <x v="5"/>
    <x v="1"/>
    <x v="1"/>
    <n v="45975"/>
    <s v="890318490"/>
    <s v="FERRETERIA TUBERIAS S.A.S.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1"/>
    <x v="1"/>
    <n v="46046"/>
    <s v="890304375"/>
    <s v="INDUGRAFICAS SA.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5"/>
    <x v="0"/>
    <x v="0"/>
    <x v="0"/>
    <x v="0"/>
    <x v="0"/>
    <x v="0"/>
    <n v="4286"/>
    <s v="890915992"/>
    <s v="INUBERCO"/>
    <s v="201903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5992"/>
    <s v="INUBERC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DEJADO DE APLICAR SOBRE FACTURA DEL AÑO 2018"/>
    <n v="21398"/>
    <n v="0"/>
    <n v="21398"/>
    <x v="0"/>
    <x v="0"/>
    <x v="0"/>
    <n v="21398"/>
    <n v="0"/>
    <n v="21398"/>
    <x v="0"/>
    <x v="0"/>
    <x v="0"/>
    <n v="21398"/>
    <n v="0"/>
    <n v="21398"/>
    <x v="0"/>
    <x v="0"/>
    <x v="0"/>
    <x v="0"/>
    <x v="0"/>
  </r>
  <r>
    <x v="5"/>
    <x v="0"/>
    <x v="0"/>
    <x v="1"/>
    <x v="1"/>
    <x v="1"/>
    <x v="1"/>
    <n v="24173"/>
    <s v="901062361"/>
    <s v="INVERSIONES MARCRI S.A.S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9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1167"/>
    <s v="CENTRO DE DISEÑO PORTOB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10956"/>
    <n v="0"/>
    <n v="10956"/>
    <x v="0"/>
    <x v="0"/>
    <x v="0"/>
    <n v="10956"/>
    <n v="0"/>
    <n v="10956"/>
    <x v="0"/>
    <x v="0"/>
    <x v="0"/>
    <n v="10956"/>
    <n v="0"/>
    <n v="10956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10268"/>
    <s v="AJOVE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360"/>
    <n v="0"/>
    <n v="360"/>
    <x v="0"/>
    <x v="0"/>
    <x v="0"/>
    <n v="360"/>
    <n v="0"/>
    <n v="360"/>
    <x v="0"/>
    <x v="0"/>
    <x v="0"/>
    <n v="360"/>
    <n v="0"/>
    <n v="360"/>
    <x v="0"/>
    <x v="0"/>
    <x v="0"/>
    <x v="0"/>
    <x v="0"/>
  </r>
  <r>
    <x v="5"/>
    <x v="0"/>
    <x v="0"/>
    <x v="5"/>
    <x v="5"/>
    <x v="1"/>
    <x v="1"/>
    <n v="46077"/>
    <s v="800054863"/>
    <s v="HEMISFERIO TOURS Y CIA LTD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450"/>
    <n v="0"/>
    <n v="4450"/>
    <x v="0"/>
    <x v="0"/>
    <x v="0"/>
    <n v="4450"/>
    <n v="0"/>
    <n v="4450"/>
    <x v="0"/>
    <x v="0"/>
    <x v="0"/>
    <n v="4450"/>
    <n v="0"/>
    <n v="4450"/>
    <x v="0"/>
    <x v="0"/>
    <x v="0"/>
    <x v="0"/>
    <x v="0"/>
  </r>
  <r>
    <x v="5"/>
    <x v="0"/>
    <x v="0"/>
    <x v="1"/>
    <x v="1"/>
    <x v="1"/>
    <x v="1"/>
    <n v="24181"/>
    <s v="900061516"/>
    <s v="MUEBLES JAMAR S.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3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5"/>
    <x v="5"/>
    <x v="9"/>
    <x v="9"/>
    <n v="1246"/>
    <s v="900393834"/>
    <s v="INVERSIONES OB S.A.S"/>
    <s v="201903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93834"/>
    <s v="INVERSIONES OB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$ 29.700"/>
    <n v="29700"/>
    <n v="0"/>
    <n v="29700"/>
    <x v="0"/>
    <x v="0"/>
    <x v="0"/>
    <n v="29700"/>
    <n v="0"/>
    <n v="29700"/>
    <x v="0"/>
    <x v="0"/>
    <x v="0"/>
    <n v="29700"/>
    <n v="0"/>
    <n v="29700"/>
    <x v="0"/>
    <x v="0"/>
    <x v="0"/>
    <x v="0"/>
    <x v="0"/>
  </r>
  <r>
    <x v="5"/>
    <x v="0"/>
    <x v="0"/>
    <x v="1"/>
    <x v="1"/>
    <x v="1"/>
    <x v="1"/>
    <n v="24193"/>
    <s v="890102508"/>
    <s v="SALES INMOBILIARI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1"/>
    <x v="1"/>
    <n v="2381"/>
    <s v="98533053"/>
    <s v="PUETAMAN GUERRERO JAN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8533053"/>
    <s v="PUETAMAN GUERRERO J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918"/>
    <n v="0"/>
    <n v="5918"/>
    <x v="0"/>
    <x v="0"/>
    <x v="0"/>
    <n v="5918"/>
    <n v="0"/>
    <n v="5918"/>
    <x v="0"/>
    <x v="0"/>
    <x v="0"/>
    <n v="5918"/>
    <n v="0"/>
    <n v="5918"/>
    <x v="0"/>
    <x v="0"/>
    <x v="0"/>
    <x v="0"/>
    <x v="0"/>
  </r>
  <r>
    <x v="5"/>
    <x v="0"/>
    <x v="0"/>
    <x v="6"/>
    <x v="6"/>
    <x v="9"/>
    <x v="9"/>
    <n v="1123"/>
    <s v="830053812"/>
    <s v="ALIANZA FIDUCIARIA S.A. FIDEICOMISO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53812"/>
    <s v="ALIANZA FIDUCIARIA S.A. FIDEICOMIS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353624-353625 DESCUENTO DEL 4.5 POR PAGO SEMESTRE ANTICIPADO"/>
    <n v="56858"/>
    <n v="0"/>
    <n v="56858"/>
    <x v="0"/>
    <x v="0"/>
    <x v="0"/>
    <n v="56858"/>
    <n v="0"/>
    <n v="56858"/>
    <x v="0"/>
    <x v="0"/>
    <x v="0"/>
    <n v="56858"/>
    <n v="0"/>
    <n v="56858"/>
    <x v="0"/>
    <x v="0"/>
    <x v="0"/>
    <x v="0"/>
    <x v="0"/>
  </r>
  <r>
    <x v="5"/>
    <x v="0"/>
    <x v="0"/>
    <x v="5"/>
    <x v="5"/>
    <x v="1"/>
    <x v="1"/>
    <n v="46175"/>
    <s v="900825179"/>
    <s v="ELIZABETH TRULLAS  CIA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5"/>
    <x v="0"/>
    <x v="0"/>
    <x v="5"/>
    <x v="5"/>
    <x v="1"/>
    <x v="1"/>
    <n v="46176"/>
    <s v="890318490"/>
    <s v="FERRETERIA TUBERIAS S.A.S.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9"/>
    <x v="9"/>
    <n v="1255"/>
    <s v="890304049"/>
    <s v="ARQUIDIOCESIS DE CALI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 9% $494.922"/>
    <n v="494922"/>
    <n v="0"/>
    <n v="494922"/>
    <x v="0"/>
    <x v="0"/>
    <x v="0"/>
    <n v="494922"/>
    <n v="0"/>
    <n v="494922"/>
    <x v="0"/>
    <x v="0"/>
    <x v="0"/>
    <n v="494922"/>
    <n v="0"/>
    <n v="494922"/>
    <x v="0"/>
    <x v="0"/>
    <x v="0"/>
    <x v="0"/>
    <x v="0"/>
  </r>
  <r>
    <x v="5"/>
    <x v="0"/>
    <x v="0"/>
    <x v="0"/>
    <x v="0"/>
    <x v="1"/>
    <x v="1"/>
    <n v="2386"/>
    <s v="900294946"/>
    <s v="BC COMERCIALIZADORA S.A.S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94946"/>
    <s v="BC COMERCIALIZAD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164461"/>
    <n v="0"/>
    <n v="164461"/>
    <x v="0"/>
    <x v="0"/>
    <x v="0"/>
    <n v="164461"/>
    <n v="0"/>
    <n v="164461"/>
    <x v="0"/>
    <x v="0"/>
    <x v="0"/>
    <n v="164461"/>
    <n v="0"/>
    <n v="164461"/>
    <x v="0"/>
    <x v="0"/>
    <x v="0"/>
    <x v="0"/>
    <x v="0"/>
  </r>
  <r>
    <x v="5"/>
    <x v="0"/>
    <x v="0"/>
    <x v="2"/>
    <x v="2"/>
    <x v="9"/>
    <x v="9"/>
    <n v="1506"/>
    <s v="860003113"/>
    <s v="SANITARIAS E HIDRAULICAS S.A.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3113"/>
    <s v="SANITARIAS E HIDRAULICA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por semestre anticipado aplica el 4.5 %"/>
    <n v="42720"/>
    <n v="0"/>
    <n v="42720"/>
    <x v="0"/>
    <x v="0"/>
    <x v="0"/>
    <n v="42720"/>
    <n v="0"/>
    <n v="42720"/>
    <x v="0"/>
    <x v="0"/>
    <x v="0"/>
    <n v="42720"/>
    <n v="0"/>
    <n v="42720"/>
    <x v="0"/>
    <x v="0"/>
    <x v="0"/>
    <x v="0"/>
    <x v="0"/>
  </r>
  <r>
    <x v="5"/>
    <x v="0"/>
    <x v="0"/>
    <x v="5"/>
    <x v="5"/>
    <x v="1"/>
    <x v="1"/>
    <n v="46225"/>
    <s v="31993745"/>
    <s v="RENGIFO MONTEALEGRE MARIA DEL PILAR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93745"/>
    <s v="RENGIFO MONTEALEGRE MARIA DEL PILA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7"/>
    <x v="0"/>
    <x v="0"/>
    <x v="0"/>
    <x v="0"/>
    <x v="0"/>
    <x v="0"/>
    <n v="4290"/>
    <s v="901046241"/>
    <s v="DECO SHOP S.A.S"/>
    <s v="2019040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046241"/>
    <s v="DECO SHOP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PAGO VOLUNTARIO CARTERA EN ABOGADO"/>
    <n v="224481"/>
    <n v="0"/>
    <n v="224481"/>
    <x v="0"/>
    <x v="0"/>
    <x v="0"/>
    <n v="224481"/>
    <n v="0"/>
    <n v="224481"/>
    <x v="0"/>
    <x v="0"/>
    <x v="0"/>
    <n v="224481"/>
    <n v="0"/>
    <n v="224481"/>
    <x v="0"/>
    <x v="0"/>
    <x v="0"/>
    <x v="0"/>
    <x v="0"/>
  </r>
  <r>
    <x v="7"/>
    <x v="0"/>
    <x v="0"/>
    <x v="1"/>
    <x v="1"/>
    <x v="1"/>
    <x v="1"/>
    <n v="24279"/>
    <s v="890107487"/>
    <s v="SUPERTIENDAS Y DROGUERIAS OLIMPICA S.A."/>
    <s v="201904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2502"/>
    <n v="0"/>
    <n v="2502"/>
    <x v="0"/>
    <x v="0"/>
    <x v="0"/>
    <n v="2502"/>
    <n v="0"/>
    <n v="2502"/>
    <x v="0"/>
    <x v="0"/>
    <x v="0"/>
    <n v="2502"/>
    <n v="0"/>
    <n v="2502"/>
    <x v="0"/>
    <x v="0"/>
    <x v="0"/>
    <x v="0"/>
    <x v="0"/>
  </r>
  <r>
    <x v="7"/>
    <x v="0"/>
    <x v="0"/>
    <x v="1"/>
    <x v="1"/>
    <x v="1"/>
    <x v="1"/>
    <n v="24303"/>
    <s v="32757237"/>
    <s v="MEDINA OLIVEROS FARATH DIV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87"/>
    <n v="7"/>
    <n v="0"/>
    <n v="7"/>
    <x v="0"/>
    <x v="0"/>
    <x v="0"/>
    <n v="7"/>
    <n v="0"/>
    <n v="7"/>
    <x v="0"/>
    <x v="0"/>
    <x v="0"/>
    <n v="7"/>
    <n v="0"/>
    <n v="7"/>
    <x v="0"/>
    <x v="0"/>
    <x v="0"/>
    <x v="0"/>
    <x v="0"/>
  </r>
  <r>
    <x v="7"/>
    <x v="0"/>
    <x v="0"/>
    <x v="1"/>
    <x v="1"/>
    <x v="1"/>
    <x v="1"/>
    <n v="24304"/>
    <s v="802016306"/>
    <s v="EXPOCONSTRUCCION 43 Y CIA LTD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12 - FVA-360002"/>
    <n v="17"/>
    <n v="0"/>
    <n v="17"/>
    <x v="0"/>
    <x v="0"/>
    <x v="0"/>
    <n v="17"/>
    <n v="0"/>
    <n v="17"/>
    <x v="0"/>
    <x v="0"/>
    <x v="0"/>
    <n v="17"/>
    <n v="0"/>
    <n v="17"/>
    <x v="0"/>
    <x v="0"/>
    <x v="0"/>
    <x v="0"/>
    <x v="0"/>
  </r>
  <r>
    <x v="7"/>
    <x v="0"/>
    <x v="0"/>
    <x v="1"/>
    <x v="1"/>
    <x v="1"/>
    <x v="1"/>
    <n v="24307"/>
    <s v="890102508"/>
    <s v="SALES INMOBILIARIA S.A.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485"/>
    <s v="811040443"/>
    <s v="B Y B CONSTRUCTORES S.A."/>
    <s v="201904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614"/>
    <n v="1258"/>
    <n v="0"/>
    <n v="1258"/>
    <x v="0"/>
    <x v="0"/>
    <x v="0"/>
    <n v="1258"/>
    <n v="0"/>
    <n v="1258"/>
    <x v="0"/>
    <x v="0"/>
    <x v="0"/>
    <n v="1258"/>
    <n v="0"/>
    <n v="1258"/>
    <x v="0"/>
    <x v="0"/>
    <x v="0"/>
    <x v="0"/>
    <x v="0"/>
  </r>
  <r>
    <x v="6"/>
    <x v="0"/>
    <x v="0"/>
    <x v="6"/>
    <x v="6"/>
    <x v="9"/>
    <x v="9"/>
    <n v="1135"/>
    <s v="25016809"/>
    <s v="MARTINEZ HURTADO NUBIA"/>
    <s v="201905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25016809"/>
    <s v="MARTINEZ HURTADO NU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 #358839 DESCUENTO  POR PAGO SEMESTRAL  POR VALOR DE $17.250"/>
    <n v="17250"/>
    <n v="0"/>
    <n v="17250"/>
    <x v="0"/>
    <x v="0"/>
    <x v="0"/>
    <n v="17250"/>
    <n v="0"/>
    <n v="17250"/>
    <x v="0"/>
    <x v="0"/>
    <x v="0"/>
    <n v="17250"/>
    <n v="0"/>
    <n v="17250"/>
    <x v="0"/>
    <x v="0"/>
    <x v="0"/>
    <x v="0"/>
    <x v="0"/>
  </r>
  <r>
    <x v="7"/>
    <x v="0"/>
    <x v="0"/>
    <x v="1"/>
    <x v="1"/>
    <x v="1"/>
    <x v="1"/>
    <n v="24322"/>
    <s v="802016130"/>
    <s v="CENTRO COMERCIAL BUENAVIST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7"/>
    <x v="0"/>
    <x v="0"/>
    <x v="1"/>
    <x v="1"/>
    <x v="1"/>
    <x v="1"/>
    <n v="24326"/>
    <s v="900061516"/>
    <s v="MUEBLES JAMAR S.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44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1"/>
    <x v="1"/>
    <x v="1"/>
    <x v="1"/>
    <n v="24318"/>
    <s v="802010909"/>
    <s v="INVERSIONES WONGFOEN S.A.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1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7"/>
    <x v="0"/>
    <x v="0"/>
    <x v="1"/>
    <x v="1"/>
    <x v="1"/>
    <x v="1"/>
    <n v="24340"/>
    <s v="806012958"/>
    <s v="IPS SALUD DEL CARIBE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9917 - FVA-359930 - FVA-359935 - FVA-359940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7"/>
    <x v="0"/>
    <x v="0"/>
    <x v="5"/>
    <x v="5"/>
    <x v="1"/>
    <x v="1"/>
    <n v="46378"/>
    <s v="805017506"/>
    <s v="CUTI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7506"/>
    <s v="CUTI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5"/>
    <x v="5"/>
    <x v="1"/>
    <x v="1"/>
    <n v="46380"/>
    <s v="800048954"/>
    <s v="CLINICA VERSALLE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7"/>
    <x v="0"/>
    <x v="0"/>
    <x v="5"/>
    <x v="5"/>
    <x v="1"/>
    <x v="1"/>
    <n v="46399"/>
    <s v="1509246"/>
    <s v="MORALES SANTACRUZ JESUS ANTONIO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7"/>
    <x v="0"/>
    <x v="0"/>
    <x v="5"/>
    <x v="5"/>
    <x v="1"/>
    <x v="1"/>
    <n v="46402"/>
    <s v="800054863"/>
    <s v="HEMISFERIO TOURS Y CIA LT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987"/>
    <n v="0"/>
    <n v="10987"/>
    <x v="0"/>
    <x v="0"/>
    <x v="0"/>
    <n v="10987"/>
    <n v="0"/>
    <n v="10987"/>
    <x v="0"/>
    <x v="0"/>
    <x v="0"/>
    <n v="10987"/>
    <n v="0"/>
    <n v="10987"/>
    <x v="0"/>
    <x v="0"/>
    <x v="0"/>
    <x v="0"/>
    <x v="0"/>
  </r>
  <r>
    <x v="7"/>
    <x v="0"/>
    <x v="0"/>
    <x v="5"/>
    <x v="5"/>
    <x v="1"/>
    <x v="1"/>
    <n v="46407"/>
    <s v="805009741"/>
    <s v="COOMEVA MEDICINA PREPAGADA S.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766,479,722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579"/>
    <s v="800203877"/>
    <s v="INSTITUTO GASTROCLINICO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203877"/>
    <s v="INSTITUTO GASTROCLINI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24_x000d__x000a_SE APLICA DCTO POR PRONTO PAGO POR $41.478"/>
    <n v="41478"/>
    <n v="0"/>
    <n v="41478"/>
    <x v="0"/>
    <x v="0"/>
    <x v="0"/>
    <n v="41478"/>
    <n v="0"/>
    <n v="41478"/>
    <x v="0"/>
    <x v="0"/>
    <x v="0"/>
    <n v="41478"/>
    <n v="0"/>
    <n v="41478"/>
    <x v="0"/>
    <x v="0"/>
    <x v="0"/>
    <x v="0"/>
    <x v="0"/>
  </r>
  <r>
    <x v="7"/>
    <x v="0"/>
    <x v="0"/>
    <x v="5"/>
    <x v="5"/>
    <x v="1"/>
    <x v="1"/>
    <n v="46480"/>
    <s v="900203566"/>
    <s v="ABASTECEMOS  DE OCCIDENTE S.A."/>
    <s v="201904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7"/>
    <x v="0"/>
    <x v="0"/>
    <x v="5"/>
    <x v="5"/>
    <x v="9"/>
    <x v="9"/>
    <n v="1276"/>
    <s v="890304049"/>
    <s v="ARQUIDIOCESIS DE CALI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PAGO AÑO ANTICIPADO, 9% OK, $214.590"/>
    <n v="214590"/>
    <n v="0"/>
    <n v="214590"/>
    <x v="0"/>
    <x v="0"/>
    <x v="0"/>
    <n v="214590"/>
    <n v="0"/>
    <n v="214590"/>
    <x v="0"/>
    <x v="0"/>
    <x v="0"/>
    <n v="214590"/>
    <n v="0"/>
    <n v="214590"/>
    <x v="0"/>
    <x v="0"/>
    <x v="0"/>
    <x v="0"/>
    <x v="0"/>
  </r>
  <r>
    <x v="7"/>
    <x v="0"/>
    <x v="0"/>
    <x v="5"/>
    <x v="5"/>
    <x v="1"/>
    <x v="1"/>
    <n v="46526"/>
    <s v="31933117"/>
    <s v="ARANGO ARBELAEZ MARIA  AUDOLIBIA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33117"/>
    <s v="ARANGO ARBELAEZ MARIA  AUDOLI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6"/>
    <x v="6"/>
    <x v="9"/>
    <x v="9"/>
    <n v="1136"/>
    <s v="890802036"/>
    <s v="HOSPITAL SAN MARCOS CHINCHIN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2036"/>
    <s v="HOSPITAL SAN MARCOS CHINCH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10.360594. DESCUENTO POR ESTAMPILLAS $45.300"/>
    <n v="45300"/>
    <n v="0"/>
    <n v="45300"/>
    <x v="0"/>
    <x v="0"/>
    <x v="0"/>
    <n v="45300"/>
    <n v="0"/>
    <n v="45300"/>
    <x v="0"/>
    <x v="0"/>
    <x v="0"/>
    <n v="45300"/>
    <n v="0"/>
    <n v="45300"/>
    <x v="0"/>
    <x v="0"/>
    <x v="0"/>
    <x v="0"/>
    <x v="0"/>
  </r>
  <r>
    <x v="7"/>
    <x v="0"/>
    <x v="0"/>
    <x v="4"/>
    <x v="4"/>
    <x v="9"/>
    <x v="9"/>
    <n v="232"/>
    <s v="890201280"/>
    <s v="COOPERATIVA DE AHORRO Y CREDITO DE PROFESORE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280"/>
    <s v="COOPERATIVA DE AHORRO Y CREDITO DE PROFESO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0788, FACTURACION ANUAL DE TODOS LOS PUNTOS DE VENTA, EL CLIENTE SE TOMA EL DESCUENTO DEL 9%, VALOR REAL DE LA FACT 26.371.156"/>
    <n v="1994452"/>
    <n v="0"/>
    <n v="1994452"/>
    <x v="0"/>
    <x v="0"/>
    <x v="0"/>
    <n v="1994452"/>
    <n v="0"/>
    <n v="1994452"/>
    <x v="0"/>
    <x v="0"/>
    <x v="0"/>
    <n v="1994452"/>
    <n v="0"/>
    <n v="1994452"/>
    <x v="0"/>
    <x v="0"/>
    <x v="0"/>
    <x v="0"/>
    <x v="0"/>
  </r>
  <r>
    <x v="6"/>
    <x v="0"/>
    <x v="0"/>
    <x v="2"/>
    <x v="2"/>
    <x v="9"/>
    <x v="9"/>
    <n v="1537"/>
    <s v="800058267"/>
    <s v="CENTRO METROPOLITANO PROPIEDAD HORIZONTAL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58267"/>
    <s v="CENTRO METROPOLITANO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DESCUNETO DEL 9 % POR PAGO DE AÑO ANTICIPADO.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6"/>
    <x v="0"/>
    <x v="0"/>
    <x v="1"/>
    <x v="1"/>
    <x v="1"/>
    <x v="1"/>
    <n v="24425"/>
    <s v="32757237"/>
    <s v="MEDINA OLIVEROS FARATH DIVA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370 - FVA-359959"/>
    <n v="9"/>
    <n v="0"/>
    <n v="9"/>
    <x v="0"/>
    <x v="0"/>
    <x v="0"/>
    <n v="9"/>
    <n v="0"/>
    <n v="9"/>
    <x v="0"/>
    <x v="0"/>
    <x v="0"/>
    <n v="9"/>
    <n v="0"/>
    <n v="9"/>
    <x v="0"/>
    <x v="0"/>
    <x v="0"/>
    <x v="0"/>
    <x v="0"/>
  </r>
  <r>
    <x v="6"/>
    <x v="0"/>
    <x v="0"/>
    <x v="2"/>
    <x v="2"/>
    <x v="9"/>
    <x v="9"/>
    <n v="1540"/>
    <s v="900215071"/>
    <s v="BANCO DE LAS MICROFINANZAS - BANCAMIA S.A."/>
    <s v="201905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5071"/>
    <s v="BANCO DE LAS MICROFINANZAS - BANCAM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 Y RTE/ICA $ 34.692"/>
    <n v="214812"/>
    <n v="0"/>
    <n v="214812"/>
    <x v="0"/>
    <x v="0"/>
    <x v="0"/>
    <n v="214812"/>
    <n v="0"/>
    <n v="214812"/>
    <x v="0"/>
    <x v="0"/>
    <x v="0"/>
    <n v="214812"/>
    <n v="0"/>
    <n v="214812"/>
    <x v="0"/>
    <x v="0"/>
    <x v="0"/>
    <x v="0"/>
    <x v="0"/>
  </r>
  <r>
    <x v="6"/>
    <x v="0"/>
    <x v="0"/>
    <x v="5"/>
    <x v="5"/>
    <x v="1"/>
    <x v="1"/>
    <n v="46573"/>
    <s v="817001528"/>
    <s v="PAVCO DE OCCIDENTE SAS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6"/>
    <x v="0"/>
    <x v="0"/>
    <x v="5"/>
    <x v="5"/>
    <x v="1"/>
    <x v="1"/>
    <n v="46613"/>
    <s v="890305224"/>
    <s v="CORPORACION CLUB CAMPESTRE FARALLONES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5224"/>
    <s v="CORPORACION CLUB CAMPESTRE FARALLON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"/>
    <n v="0"/>
    <n v="24"/>
    <x v="0"/>
    <x v="0"/>
    <x v="0"/>
    <n v="24"/>
    <n v="0"/>
    <n v="24"/>
    <x v="0"/>
    <x v="0"/>
    <x v="0"/>
    <n v="24"/>
    <n v="0"/>
    <n v="24"/>
    <x v="0"/>
    <x v="0"/>
    <x v="0"/>
    <x v="0"/>
    <x v="0"/>
  </r>
  <r>
    <x v="6"/>
    <x v="0"/>
    <x v="0"/>
    <x v="1"/>
    <x v="1"/>
    <x v="1"/>
    <x v="1"/>
    <n v="24452"/>
    <s v="802019287"/>
    <s v="ERICH HELLER &amp; CIA EN COMANDITA SIMPLE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9287"/>
    <s v="ERICH HELLER &amp; CIA EN COMANDITA SIMPL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1"/>
    <n v="3114"/>
    <n v="0"/>
    <n v="3114"/>
    <x v="0"/>
    <x v="0"/>
    <x v="0"/>
    <n v="3114"/>
    <n v="0"/>
    <n v="3114"/>
    <x v="0"/>
    <x v="0"/>
    <x v="0"/>
    <n v="3114"/>
    <n v="0"/>
    <n v="3114"/>
    <x v="0"/>
    <x v="0"/>
    <x v="0"/>
    <x v="0"/>
    <x v="0"/>
  </r>
  <r>
    <x v="6"/>
    <x v="0"/>
    <x v="0"/>
    <x v="3"/>
    <x v="3"/>
    <x v="1"/>
    <x v="1"/>
    <n v="37692"/>
    <s v="811015694"/>
    <s v="INVERSIONES QUINTERO GARCIA LIMITADA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1_x000d__x000a_SE APLICA DCTO COMERCIAL DEL 4.5%"/>
    <n v="84899"/>
    <n v="0"/>
    <n v="84899"/>
    <x v="0"/>
    <x v="0"/>
    <x v="0"/>
    <n v="84899"/>
    <n v="0"/>
    <n v="84899"/>
    <x v="0"/>
    <x v="0"/>
    <x v="0"/>
    <n v="84899"/>
    <n v="0"/>
    <n v="84899"/>
    <x v="0"/>
    <x v="0"/>
    <x v="0"/>
    <x v="0"/>
    <x v="0"/>
  </r>
  <r>
    <x v="6"/>
    <x v="0"/>
    <x v="0"/>
    <x v="5"/>
    <x v="5"/>
    <x v="1"/>
    <x v="1"/>
    <n v="46641"/>
    <s v="1509246"/>
    <s v="MORALES SANTACRUZ JESUS ANTONIO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23"/>
    <n v="0"/>
    <n v="2123"/>
    <x v="0"/>
    <x v="0"/>
    <x v="0"/>
    <n v="2123"/>
    <n v="0"/>
    <n v="2123"/>
    <x v="0"/>
    <x v="0"/>
    <x v="0"/>
    <n v="2123"/>
    <n v="0"/>
    <n v="2123"/>
    <x v="0"/>
    <x v="0"/>
    <x v="0"/>
    <x v="0"/>
    <x v="0"/>
  </r>
  <r>
    <x v="6"/>
    <x v="0"/>
    <x v="0"/>
    <x v="5"/>
    <x v="5"/>
    <x v="1"/>
    <x v="1"/>
    <n v="46642"/>
    <s v="890318490"/>
    <s v="FERRETERIA TUBERIAS S.A.S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6"/>
    <x v="0"/>
    <x v="0"/>
    <x v="5"/>
    <x v="5"/>
    <x v="1"/>
    <x v="1"/>
    <n v="46643"/>
    <s v="42087065"/>
    <s v="RUEDA OCAMPO CLAUDIA PATRICIA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6"/>
    <x v="0"/>
    <x v="0"/>
    <x v="1"/>
    <x v="1"/>
    <x v="1"/>
    <x v="1"/>
    <n v="24470"/>
    <s v="890107487"/>
    <s v="SUPERTIENDAS Y DROGUERIAS OLIMPIC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ENVIADA POR EL CLIENTE"/>
    <n v="23"/>
    <n v="0"/>
    <n v="23"/>
    <x v="0"/>
    <x v="0"/>
    <x v="0"/>
    <n v="23"/>
    <n v="0"/>
    <n v="23"/>
    <x v="0"/>
    <x v="0"/>
    <x v="0"/>
    <n v="23"/>
    <n v="0"/>
    <n v="23"/>
    <x v="0"/>
    <x v="0"/>
    <x v="0"/>
    <x v="0"/>
    <x v="0"/>
  </r>
  <r>
    <x v="6"/>
    <x v="0"/>
    <x v="0"/>
    <x v="2"/>
    <x v="2"/>
    <x v="9"/>
    <x v="9"/>
    <n v="1546"/>
    <s v="860049609"/>
    <s v="MILSEN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175.635"/>
    <n v="175635"/>
    <n v="0"/>
    <n v="175635"/>
    <x v="0"/>
    <x v="0"/>
    <x v="0"/>
    <n v="175635"/>
    <n v="0"/>
    <n v="175635"/>
    <x v="0"/>
    <x v="0"/>
    <x v="0"/>
    <n v="175635"/>
    <n v="0"/>
    <n v="175635"/>
    <x v="0"/>
    <x v="0"/>
    <x v="0"/>
    <x v="0"/>
    <x v="0"/>
  </r>
  <r>
    <x v="6"/>
    <x v="0"/>
    <x v="0"/>
    <x v="2"/>
    <x v="2"/>
    <x v="9"/>
    <x v="9"/>
    <n v="1547"/>
    <s v="860510431"/>
    <s v="ALVARO VELEZ Y CIA S.A.S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RONTO PAGO TRIMESTRAL 2.25% $8.34,  RTE ICA $5.118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6"/>
    <x v="0"/>
    <x v="0"/>
    <x v="2"/>
    <x v="2"/>
    <x v="9"/>
    <x v="9"/>
    <n v="1548"/>
    <s v="860000189"/>
    <s v="CARCO S.A."/>
    <s v="201905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0189"/>
    <s v="CAR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NO APLICA EL DESCUENTO Y ESTA SOLICITANDO EL REINTEGRO."/>
    <n v="150050"/>
    <n v="0"/>
    <n v="150050"/>
    <x v="0"/>
    <x v="0"/>
    <x v="0"/>
    <n v="150050"/>
    <n v="0"/>
    <n v="150050"/>
    <x v="0"/>
    <x v="0"/>
    <x v="0"/>
    <n v="150050"/>
    <n v="0"/>
    <n v="150050"/>
    <x v="0"/>
    <x v="0"/>
    <x v="0"/>
    <x v="0"/>
    <x v="0"/>
  </r>
  <r>
    <x v="6"/>
    <x v="0"/>
    <x v="0"/>
    <x v="0"/>
    <x v="0"/>
    <x v="1"/>
    <x v="1"/>
    <n v="2393"/>
    <s v="43185725"/>
    <s v="SALAZAR ARISTIZABAL SULAY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43185725"/>
    <s v="SALAZAR ARISTIZABAL SULA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1898"/>
    <n v="0"/>
    <n v="1898"/>
    <x v="0"/>
    <x v="0"/>
    <x v="0"/>
    <n v="1898"/>
    <n v="0"/>
    <n v="1898"/>
    <x v="0"/>
    <x v="0"/>
    <x v="0"/>
    <n v="1898"/>
    <n v="0"/>
    <n v="1898"/>
    <x v="0"/>
    <x v="0"/>
    <x v="0"/>
    <x v="0"/>
    <x v="0"/>
  </r>
  <r>
    <x v="6"/>
    <x v="0"/>
    <x v="0"/>
    <x v="6"/>
    <x v="6"/>
    <x v="9"/>
    <x v="9"/>
    <n v="1138"/>
    <s v="800178245"/>
    <s v="COOPERATIVA  DE PROMOCION SOCIAL COOPSOCIAL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178245"/>
    <s v="COOPERATIVA  DE PROMOCION SOCIAL COOPSOCI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38 DESCUENTO POR VALOR DE $109.242 POR PAGO ANUAL ANTICIPADO"/>
    <n v="109242"/>
    <n v="0"/>
    <n v="109242"/>
    <x v="0"/>
    <x v="0"/>
    <x v="0"/>
    <n v="109242"/>
    <n v="0"/>
    <n v="109242"/>
    <x v="0"/>
    <x v="0"/>
    <x v="0"/>
    <n v="109242"/>
    <n v="0"/>
    <n v="109242"/>
    <x v="0"/>
    <x v="0"/>
    <x v="0"/>
    <x v="0"/>
    <x v="0"/>
  </r>
  <r>
    <x v="6"/>
    <x v="0"/>
    <x v="0"/>
    <x v="5"/>
    <x v="5"/>
    <x v="1"/>
    <x v="1"/>
    <n v="46787"/>
    <s v="805009741"/>
    <s v="COOMEVA MEDICINA PREPAGADA S.A."/>
    <s v="201905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828"/>
    <s v="650187917"/>
    <s v="FREI  HEINRICH ERNEST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2"/>
    <x v="0"/>
    <x v="0"/>
    <x v="1"/>
    <x v="1"/>
    <x v="1"/>
    <x v="1"/>
    <n v="24577"/>
    <s v="900061516"/>
    <s v="MUEBLES JAMAR S.A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72 - FV5-773 - FV5-774 - FV5-77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5"/>
    <x v="5"/>
    <x v="1"/>
    <x v="1"/>
    <n v="46885"/>
    <s v="1130643632"/>
    <s v="ZAPATA VILLARIAGA KATERIN"/>
    <s v="201906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54"/>
    <n v="0"/>
    <n v="254"/>
    <x v="0"/>
    <x v="0"/>
    <x v="0"/>
    <n v="254"/>
    <n v="0"/>
    <n v="254"/>
    <x v="0"/>
    <x v="0"/>
    <x v="0"/>
    <n v="254"/>
    <n v="0"/>
    <n v="254"/>
    <x v="0"/>
    <x v="0"/>
    <x v="0"/>
    <x v="0"/>
    <x v="0"/>
  </r>
  <r>
    <x v="0"/>
    <x v="0"/>
    <x v="0"/>
    <x v="0"/>
    <x v="0"/>
    <x v="2"/>
    <x v="2"/>
    <n v="19417"/>
    <s v="860035827"/>
    <s v="BANCO AV VILLAS"/>
    <s v="201901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50833"/>
    <n v="0"/>
    <n v="850833"/>
    <x v="0"/>
    <x v="0"/>
    <x v="0"/>
    <n v="850833"/>
    <n v="0"/>
    <n v="850833"/>
    <x v="0"/>
    <x v="0"/>
    <x v="0"/>
    <n v="850833"/>
    <n v="0"/>
    <n v="850833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3"/>
    <x v="3"/>
    <x v="1"/>
    <x v="1"/>
    <n v="37253"/>
    <s v="811003486"/>
    <s v="QUIPUX SAS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7680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5"/>
    <x v="0"/>
    <x v="0"/>
    <x v="1"/>
    <x v="1"/>
    <x v="1"/>
    <x v="1"/>
    <n v="24269"/>
    <s v="900494780"/>
    <s v="DISEÑARTE S.D.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494780"/>
    <s v="DISEÑARTE S.D.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04"/>
    <n v="6"/>
    <n v="0"/>
    <n v="6"/>
    <x v="0"/>
    <x v="0"/>
    <x v="0"/>
    <n v="6"/>
    <n v="0"/>
    <n v="6"/>
    <x v="0"/>
    <x v="0"/>
    <x v="0"/>
    <n v="6"/>
    <n v="0"/>
    <n v="6"/>
    <x v="0"/>
    <x v="0"/>
    <x v="0"/>
    <x v="0"/>
    <x v="0"/>
  </r>
  <r>
    <x v="6"/>
    <x v="0"/>
    <x v="0"/>
    <x v="4"/>
    <x v="4"/>
    <x v="9"/>
    <x v="9"/>
    <n v="235"/>
    <s v="800086042"/>
    <s v="INACAR S.A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2132, DESCTO POR RETE FTE, 22.508, RETE IVA 16.037 Y RETE ICA 5.436"/>
    <n v="5436"/>
    <n v="0"/>
    <n v="5436"/>
    <x v="0"/>
    <x v="0"/>
    <x v="0"/>
    <n v="5436"/>
    <n v="0"/>
    <n v="5436"/>
    <x v="0"/>
    <x v="0"/>
    <x v="0"/>
    <n v="5436"/>
    <n v="0"/>
    <n v="5436"/>
    <x v="0"/>
    <x v="0"/>
    <x v="0"/>
    <x v="0"/>
    <x v="0"/>
  </r>
  <r>
    <x v="1"/>
    <x v="0"/>
    <x v="0"/>
    <x v="4"/>
    <x v="4"/>
    <x v="1"/>
    <x v="1"/>
    <n v="20298"/>
    <s v="804001890"/>
    <s v="UNIVERSIDAD DE SANTANDER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01890"/>
    <s v="UNIVERSIDAD DE SANTANDE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7341-357342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6"/>
    <x v="6"/>
    <x v="9"/>
    <x v="9"/>
    <n v="1116"/>
    <s v="891900539"/>
    <s v="CAMARA DE COMERCIO DE CARTAGO"/>
    <s v="201903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900539"/>
    <s v="CAMARA DE COMERCIO DE CARTAG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597 DESCUENTO DEL 9 %POR PAGO ANUAL ANTICIPADO  $1899.840"/>
    <n v="1899840"/>
    <n v="0"/>
    <n v="1899840"/>
    <x v="0"/>
    <x v="0"/>
    <x v="0"/>
    <n v="1899840"/>
    <n v="0"/>
    <n v="1899840"/>
    <x v="0"/>
    <x v="0"/>
    <x v="0"/>
    <n v="1899840"/>
    <n v="0"/>
    <n v="1899840"/>
    <x v="0"/>
    <x v="0"/>
    <x v="0"/>
    <x v="0"/>
    <x v="0"/>
  </r>
  <r>
    <x v="5"/>
    <x v="0"/>
    <x v="0"/>
    <x v="1"/>
    <x v="1"/>
    <x v="1"/>
    <x v="1"/>
    <n v="24156"/>
    <s v="900054062"/>
    <s v="EDIFICIO MEGA CENTRO COMERCIAL Y DE SERVICIOS BUENAVISTA SANTA MART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4062"/>
    <s v="EDIFICIO MEGA CENTRO COMERCIAL Y DE SERVICIOS BUENAVISTA SANTA MAR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90"/>
    <n v="30"/>
    <n v="0"/>
    <n v="30"/>
    <x v="0"/>
    <x v="0"/>
    <x v="0"/>
    <n v="30"/>
    <n v="0"/>
    <n v="30"/>
    <x v="0"/>
    <x v="0"/>
    <x v="0"/>
    <n v="30"/>
    <n v="0"/>
    <n v="30"/>
    <x v="0"/>
    <x v="0"/>
    <x v="0"/>
    <x v="0"/>
    <x v="0"/>
  </r>
  <r>
    <x v="5"/>
    <x v="0"/>
    <x v="0"/>
    <x v="6"/>
    <x v="6"/>
    <x v="9"/>
    <x v="9"/>
    <n v="1121"/>
    <s v="891411381"/>
    <s v="LAB.CLINICO PATOLOGICO LOPEZ CORREA S.A.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1381"/>
    <s v="LAB.CLINICO PATOLOGICO LOPEZ CORR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358838 DESCUENTO DEL 9 % POR  PAGO ANTICIPADO  POR VALOR DE 139.114"/>
    <n v="139114"/>
    <n v="0"/>
    <n v="139114"/>
    <x v="0"/>
    <x v="0"/>
    <x v="0"/>
    <n v="139114"/>
    <n v="0"/>
    <n v="139114"/>
    <x v="0"/>
    <x v="0"/>
    <x v="0"/>
    <n v="139114"/>
    <n v="0"/>
    <n v="139114"/>
    <x v="0"/>
    <x v="0"/>
    <x v="0"/>
    <x v="0"/>
    <x v="0"/>
  </r>
  <r>
    <x v="5"/>
    <x v="0"/>
    <x v="0"/>
    <x v="6"/>
    <x v="6"/>
    <x v="9"/>
    <x v="9"/>
    <n v="1120"/>
    <s v="800021913"/>
    <s v="G.GRAJALES AUTOSERVICIO S.A.S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8828 DESCUENTO DE 9% POR PAGO ANTICIPADO DE $ 105.532"/>
    <n v="105532"/>
    <n v="0"/>
    <n v="105532"/>
    <x v="0"/>
    <x v="0"/>
    <x v="0"/>
    <n v="105532"/>
    <n v="0"/>
    <n v="105532"/>
    <x v="0"/>
    <x v="0"/>
    <x v="0"/>
    <n v="105532"/>
    <n v="0"/>
    <n v="105532"/>
    <x v="0"/>
    <x v="0"/>
    <x v="0"/>
    <x v="0"/>
    <x v="0"/>
  </r>
  <r>
    <x v="5"/>
    <x v="0"/>
    <x v="0"/>
    <x v="3"/>
    <x v="3"/>
    <x v="1"/>
    <x v="1"/>
    <n v="37408"/>
    <s v="800017259"/>
    <s v="PASAJE COMERCIAL EL BOULEVARD DE JUNIN P-H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9706 DCTO PRONT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7"/>
    <x v="0"/>
    <x v="0"/>
    <x v="5"/>
    <x v="5"/>
    <x v="1"/>
    <x v="1"/>
    <n v="46374"/>
    <s v="860046201"/>
    <s v="FORTOX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932.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7"/>
    <x v="0"/>
    <x v="0"/>
    <x v="3"/>
    <x v="3"/>
    <x v="1"/>
    <x v="1"/>
    <n v="37543"/>
    <s v="800010866"/>
    <s v="EXPERTOS SEGURIDAD LTD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0866"/>
    <s v="EXPERTOS SEGURIDAD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719"/>
    <n v="10419"/>
    <n v="0"/>
    <n v="10419"/>
    <x v="0"/>
    <x v="0"/>
    <x v="0"/>
    <n v="10419"/>
    <n v="0"/>
    <n v="10419"/>
    <x v="0"/>
    <x v="0"/>
    <x v="0"/>
    <n v="10419"/>
    <n v="0"/>
    <n v="10419"/>
    <x v="0"/>
    <x v="0"/>
    <x v="0"/>
    <x v="0"/>
    <x v="0"/>
  </r>
  <r>
    <x v="7"/>
    <x v="0"/>
    <x v="0"/>
    <x v="3"/>
    <x v="3"/>
    <x v="1"/>
    <x v="1"/>
    <n v="37589"/>
    <s v="811013715"/>
    <s v="LINEA ADHESIVA S.A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4_x000d__x000a_APLICA DCTO PRONTO PAGO DEL 2.25%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6"/>
    <x v="0"/>
    <x v="0"/>
    <x v="1"/>
    <x v="1"/>
    <x v="1"/>
    <x v="1"/>
    <n v="24445"/>
    <s v="806012958"/>
    <s v="IPS SALUD DEL CARIBE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64 - FVA-360977 - FVA-360983 - FVA-360987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6"/>
    <x v="0"/>
    <x v="0"/>
    <x v="1"/>
    <x v="1"/>
    <x v="1"/>
    <x v="1"/>
    <n v="24450"/>
    <s v="900061516"/>
    <s v="MUEBLES JAMAR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5"/>
    <x v="5"/>
    <x v="1"/>
    <x v="1"/>
    <n v="46817"/>
    <s v="1130643632"/>
    <s v="ZAPATA VILLARIAGA KATERIN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"/>
    <n v="0"/>
    <n v="54"/>
    <x v="0"/>
    <x v="0"/>
    <x v="0"/>
    <n v="54"/>
    <n v="0"/>
    <n v="54"/>
    <x v="0"/>
    <x v="0"/>
    <x v="0"/>
    <n v="54"/>
    <n v="0"/>
    <n v="54"/>
    <x v="0"/>
    <x v="0"/>
    <x v="0"/>
    <x v="0"/>
    <x v="0"/>
  </r>
  <r>
    <x v="2"/>
    <x v="0"/>
    <x v="0"/>
    <x v="5"/>
    <x v="5"/>
    <x v="9"/>
    <x v="9"/>
    <n v="1308"/>
    <s v="800074047"/>
    <s v="REPUESTOS CALI S.A.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9% $155.520 OK."/>
    <n v="155520"/>
    <n v="0"/>
    <n v="155520"/>
    <x v="0"/>
    <x v="0"/>
    <x v="0"/>
    <n v="155520"/>
    <n v="0"/>
    <n v="155520"/>
    <x v="0"/>
    <x v="0"/>
    <x v="0"/>
    <n v="155520"/>
    <n v="0"/>
    <n v="155520"/>
    <x v="0"/>
    <x v="0"/>
    <x v="0"/>
    <x v="0"/>
    <x v="0"/>
  </r>
  <r>
    <x v="2"/>
    <x v="0"/>
    <x v="0"/>
    <x v="3"/>
    <x v="3"/>
    <x v="9"/>
    <x v="9"/>
    <n v="1157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3_x000d__x000a_DCTO ANUAL ANTICIPADO 9%"/>
    <n v="186853"/>
    <n v="0"/>
    <n v="186853"/>
    <x v="0"/>
    <x v="0"/>
    <x v="0"/>
    <n v="186853"/>
    <n v="0"/>
    <n v="186853"/>
    <x v="0"/>
    <x v="0"/>
    <x v="0"/>
    <n v="186853"/>
    <n v="0"/>
    <n v="186853"/>
    <x v="0"/>
    <x v="0"/>
    <x v="0"/>
    <x v="0"/>
    <x v="0"/>
  </r>
  <r>
    <x v="2"/>
    <x v="0"/>
    <x v="0"/>
    <x v="3"/>
    <x v="3"/>
    <x v="9"/>
    <x v="9"/>
    <n v="1158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2_x000d__x000a_DCTO CCIAL ANUAL ANTICIPADO 9%"/>
    <n v="104507"/>
    <n v="0"/>
    <n v="104507"/>
    <x v="0"/>
    <x v="0"/>
    <x v="0"/>
    <n v="104507"/>
    <n v="0"/>
    <n v="104507"/>
    <x v="0"/>
    <x v="0"/>
    <x v="0"/>
    <n v="104507"/>
    <n v="0"/>
    <n v="104507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8378"/>
    <n v="0"/>
    <n v="318378"/>
    <x v="0"/>
    <x v="0"/>
    <x v="0"/>
    <n v="318378"/>
    <n v="0"/>
    <n v="318378"/>
    <x v="0"/>
    <x v="0"/>
    <x v="0"/>
    <n v="318378"/>
    <n v="0"/>
    <n v="318378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2295"/>
    <n v="0"/>
    <n v="52295"/>
    <x v="0"/>
    <x v="0"/>
    <x v="0"/>
    <n v="52295"/>
    <n v="0"/>
    <n v="52295"/>
    <x v="0"/>
    <x v="0"/>
    <x v="0"/>
    <n v="52295"/>
    <n v="0"/>
    <n v="5229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Dispersion Nomina"/>
    <n v="1963.15"/>
    <n v="0"/>
    <n v="1963.15"/>
    <x v="0"/>
    <x v="0"/>
    <x v="0"/>
    <n v="1963.15"/>
    <n v="0"/>
    <n v="1963.15"/>
    <x v="0"/>
    <x v="0"/>
    <x v="0"/>
    <n v="1963.15"/>
    <n v="0"/>
    <n v="1963.1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436"/>
    <n v="0"/>
    <n v="3436"/>
    <x v="0"/>
    <x v="0"/>
    <x v="0"/>
    <n v="3436"/>
    <n v="0"/>
    <n v="3436"/>
    <x v="0"/>
    <x v="0"/>
    <x v="0"/>
    <n v="3436"/>
    <n v="0"/>
    <n v="3436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2"/>
    <x v="2"/>
    <n v="19574"/>
    <s v="440100003729"/>
    <s v="TOTALCHOICE HOSTING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100003729"/>
    <s v="TOTALCHOICE HOSTING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OAGO DE TARJETA DE CREDITO 2581"/>
    <n v="47229.36"/>
    <n v="0"/>
    <n v="47229.36"/>
    <x v="0"/>
    <x v="0"/>
    <x v="0"/>
    <n v="47229.36"/>
    <n v="0"/>
    <n v="47229.36"/>
    <x v="0"/>
    <x v="0"/>
    <x v="0"/>
    <n v="47229.36"/>
    <n v="0"/>
    <n v="47229.36"/>
    <x v="0"/>
    <x v="0"/>
    <x v="0"/>
    <x v="0"/>
    <x v="0"/>
  </r>
  <r>
    <x v="0"/>
    <x v="0"/>
    <x v="0"/>
    <x v="0"/>
    <x v="0"/>
    <x v="2"/>
    <x v="2"/>
    <n v="19575"/>
    <s v="890916575"/>
    <s v="DISTRIBUIDORA DE VINOS Y LICORES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16575"/>
    <s v="DISTRIBUIDORA DE VINOS Y LIC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3015  BANCOLOMBIA"/>
    <n v="17019.810000000001"/>
    <n v="0"/>
    <n v="17019.810000000001"/>
    <x v="0"/>
    <x v="0"/>
    <x v="0"/>
    <n v="17019.810000000001"/>
    <n v="0"/>
    <n v="17019.810000000001"/>
    <x v="0"/>
    <x v="0"/>
    <x v="0"/>
    <n v="17019.810000000001"/>
    <n v="0"/>
    <n v="17019.81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3732.32"/>
    <n v="0"/>
    <n v="13732.32"/>
    <x v="0"/>
    <x v="0"/>
    <x v="0"/>
    <n v="13732.32"/>
    <n v="0"/>
    <n v="13732.32"/>
    <x v="0"/>
    <x v="0"/>
    <x v="0"/>
    <n v="13732.32"/>
    <n v="0"/>
    <n v="13732.3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5741.5"/>
    <n v="0"/>
    <n v="25741.5"/>
    <x v="0"/>
    <x v="0"/>
    <x v="0"/>
    <n v="25741.5"/>
    <n v="0"/>
    <n v="25741.5"/>
    <x v="0"/>
    <x v="0"/>
    <x v="0"/>
    <n v="25741.5"/>
    <n v="0"/>
    <n v="25741.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5"/>
    <x v="5"/>
    <x v="9"/>
    <x v="9"/>
    <n v="1265"/>
    <s v="805011901"/>
    <s v="LASKIN S.A.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82.299"/>
    <n v="82299"/>
    <n v="0"/>
    <n v="82299"/>
    <x v="0"/>
    <x v="0"/>
    <x v="0"/>
    <n v="82299"/>
    <n v="0"/>
    <n v="82299"/>
    <x v="0"/>
    <x v="0"/>
    <x v="0"/>
    <n v="82299"/>
    <n v="0"/>
    <n v="82299"/>
    <x v="0"/>
    <x v="0"/>
    <x v="0"/>
    <x v="0"/>
    <x v="0"/>
  </r>
  <r>
    <x v="5"/>
    <x v="0"/>
    <x v="0"/>
    <x v="5"/>
    <x v="5"/>
    <x v="1"/>
    <x v="1"/>
    <n v="46025"/>
    <s v="805029384"/>
    <s v="BUENAVISTA CONSTRUCTORA Y PROMOTORA S.A.S"/>
    <s v="201903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204"/>
    <n v="0"/>
    <n v="10204"/>
    <x v="0"/>
    <x v="0"/>
    <x v="0"/>
    <n v="10204"/>
    <n v="0"/>
    <n v="10204"/>
    <x v="0"/>
    <x v="0"/>
    <x v="0"/>
    <n v="10204"/>
    <n v="0"/>
    <n v="10204"/>
    <x v="0"/>
    <x v="0"/>
    <x v="0"/>
    <x v="0"/>
    <x v="0"/>
  </r>
  <r>
    <x v="5"/>
    <x v="0"/>
    <x v="0"/>
    <x v="5"/>
    <x v="5"/>
    <x v="1"/>
    <x v="1"/>
    <n v="46069"/>
    <s v="860037900"/>
    <s v="CONSTRUCTORA  BOLIVAR  CALI S.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02"/>
    <n v="0"/>
    <n v="5402"/>
    <x v="0"/>
    <x v="0"/>
    <x v="0"/>
    <n v="5402"/>
    <n v="0"/>
    <n v="5402"/>
    <x v="0"/>
    <x v="0"/>
    <x v="0"/>
    <n v="5402"/>
    <n v="0"/>
    <n v="5402"/>
    <x v="0"/>
    <x v="0"/>
    <x v="0"/>
    <x v="0"/>
    <x v="0"/>
  </r>
  <r>
    <x v="5"/>
    <x v="0"/>
    <x v="0"/>
    <x v="0"/>
    <x v="0"/>
    <x v="0"/>
    <x v="0"/>
    <n v="4289"/>
    <s v="800107179"/>
    <s v="INSTITUTO DEL CORAZON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07179"/>
    <s v="INSTITUTO DEL CORAZON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8987"/>
    <n v="0"/>
    <n v="8987"/>
    <x v="0"/>
    <x v="0"/>
    <x v="0"/>
    <n v="8987"/>
    <n v="0"/>
    <n v="8987"/>
    <x v="0"/>
    <x v="0"/>
    <x v="0"/>
    <n v="8987"/>
    <n v="0"/>
    <n v="8987"/>
    <x v="0"/>
    <x v="0"/>
    <x v="0"/>
    <x v="0"/>
    <x v="0"/>
  </r>
  <r>
    <x v="5"/>
    <x v="0"/>
    <x v="0"/>
    <x v="5"/>
    <x v="5"/>
    <x v="9"/>
    <x v="9"/>
    <n v="1249"/>
    <s v="900115530"/>
    <s v="HUMBERTO QUINTERO O Y CIA S.C.A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15530"/>
    <s v="HUMBERTO QUINTERO O Y CIA S.C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5"/>
    <x v="0"/>
    <x v="0"/>
    <x v="2"/>
    <x v="2"/>
    <x v="9"/>
    <x v="9"/>
    <n v="1512"/>
    <s v="800149453"/>
    <s v="C.P.O  S.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453"/>
    <s v="C.P.O 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1045569"/>
    <n v="0"/>
    <n v="1045569"/>
    <x v="0"/>
    <x v="0"/>
    <x v="0"/>
    <n v="1045569"/>
    <n v="0"/>
    <n v="1045569"/>
    <x v="0"/>
    <x v="0"/>
    <x v="0"/>
    <n v="1045569"/>
    <n v="0"/>
    <n v="1045569"/>
    <x v="0"/>
    <x v="0"/>
    <x v="0"/>
    <x v="0"/>
    <x v="0"/>
  </r>
  <r>
    <x v="7"/>
    <x v="0"/>
    <x v="0"/>
    <x v="5"/>
    <x v="5"/>
    <x v="1"/>
    <x v="1"/>
    <n v="46451"/>
    <s v="890318490"/>
    <s v="FERRETERIA TUBERIAS S.A.S.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136"/>
    <n v="0"/>
    <n v="3136"/>
    <x v="0"/>
    <x v="0"/>
    <x v="0"/>
    <n v="3136"/>
    <n v="0"/>
    <n v="3136"/>
    <x v="0"/>
    <x v="0"/>
    <x v="0"/>
    <n v="3136"/>
    <n v="0"/>
    <n v="3136"/>
    <x v="0"/>
    <x v="0"/>
    <x v="0"/>
    <x v="0"/>
    <x v="0"/>
  </r>
  <r>
    <x v="7"/>
    <x v="0"/>
    <x v="0"/>
    <x v="5"/>
    <x v="5"/>
    <x v="1"/>
    <x v="1"/>
    <n v="46452"/>
    <s v="900825179"/>
    <s v="ELIZABETH TRULLAS  CIA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7"/>
    <x v="0"/>
    <x v="0"/>
    <x v="5"/>
    <x v="5"/>
    <x v="1"/>
    <x v="1"/>
    <n v="46453"/>
    <s v="900361602"/>
    <s v="TRACKING SOLUTIONS T.S.O SA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602"/>
    <s v="TRACKING SOLUTIONS T.S.O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678"/>
    <n v="0"/>
    <n v="3678"/>
    <x v="0"/>
    <x v="0"/>
    <x v="0"/>
    <n v="3678"/>
    <n v="0"/>
    <n v="3678"/>
    <x v="0"/>
    <x v="0"/>
    <x v="0"/>
    <n v="3678"/>
    <n v="0"/>
    <n v="3678"/>
    <x v="0"/>
    <x v="0"/>
    <x v="0"/>
    <x v="0"/>
    <x v="0"/>
  </r>
  <r>
    <x v="7"/>
    <x v="0"/>
    <x v="0"/>
    <x v="4"/>
    <x v="4"/>
    <x v="9"/>
    <x v="9"/>
    <n v="233"/>
    <s v="900578072"/>
    <s v="CENTRO OFTALMOLOGICO VGR S.A.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578072"/>
    <s v="CENTRO OFTALMOLOGICO VGR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0625.  DESCUENTO PRONTO PAGO."/>
    <n v="71569"/>
    <n v="0"/>
    <n v="71569"/>
    <x v="0"/>
    <x v="0"/>
    <x v="0"/>
    <n v="71569"/>
    <n v="0"/>
    <n v="71569"/>
    <x v="0"/>
    <x v="0"/>
    <x v="0"/>
    <n v="71569"/>
    <n v="0"/>
    <n v="71569"/>
    <x v="0"/>
    <x v="0"/>
    <x v="0"/>
    <x v="0"/>
    <x v="0"/>
  </r>
  <r>
    <x v="6"/>
    <x v="0"/>
    <x v="0"/>
    <x v="5"/>
    <x v="5"/>
    <x v="1"/>
    <x v="1"/>
    <n v="46590"/>
    <s v="890327282"/>
    <s v="AUTOPACIFICO S.A.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27282"/>
    <s v="AUTOPACIFI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0.8"/>
    <n v="0"/>
    <n v="0.8"/>
    <x v="0"/>
    <x v="0"/>
    <x v="0"/>
    <n v="0.8"/>
    <n v="0"/>
    <n v="0.8"/>
    <x v="0"/>
    <x v="0"/>
    <x v="0"/>
    <n v="0.8"/>
    <n v="0"/>
    <n v="0.8"/>
    <x v="0"/>
    <x v="0"/>
    <x v="0"/>
    <x v="0"/>
    <x v="0"/>
  </r>
  <r>
    <x v="2"/>
    <x v="0"/>
    <x v="0"/>
    <x v="1"/>
    <x v="1"/>
    <x v="1"/>
    <x v="1"/>
    <n v="24562"/>
    <s v="802010909"/>
    <s v="INVERSIONES WONGFOEN S.A."/>
    <s v="201906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08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2"/>
    <x v="2"/>
    <x v="9"/>
    <x v="9"/>
    <n v="1486"/>
    <s v="800212060"/>
    <s v="PARQUE COMERCIAL LA COLINA 138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SL 9% $185.282"/>
    <n v="185282"/>
    <n v="0"/>
    <n v="185282"/>
    <x v="0"/>
    <x v="0"/>
    <x v="0"/>
    <n v="185282"/>
    <n v="0"/>
    <n v="185282"/>
    <x v="0"/>
    <x v="0"/>
    <x v="0"/>
    <n v="185282"/>
    <n v="0"/>
    <n v="185282"/>
    <x v="0"/>
    <x v="0"/>
    <x v="0"/>
    <x v="0"/>
    <x v="0"/>
  </r>
  <r>
    <x v="5"/>
    <x v="0"/>
    <x v="0"/>
    <x v="5"/>
    <x v="5"/>
    <x v="9"/>
    <x v="9"/>
    <n v="1264"/>
    <s v="860006744"/>
    <s v="COMUNIDAD DE HERMANOS MARISTAS DE LA ENSEÑANZ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06744"/>
    <s v="COMUNIDAD DE HERMANOS MARISTAS DE LA ENSEÑANZ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109.473"/>
    <n v="109473"/>
    <n v="0"/>
    <n v="109473"/>
    <x v="0"/>
    <x v="0"/>
    <x v="0"/>
    <n v="109473"/>
    <n v="0"/>
    <n v="109473"/>
    <x v="0"/>
    <x v="0"/>
    <x v="0"/>
    <n v="109473"/>
    <n v="0"/>
    <n v="109473"/>
    <x v="0"/>
    <x v="0"/>
    <x v="0"/>
    <x v="0"/>
    <x v="0"/>
  </r>
  <r>
    <x v="6"/>
    <x v="0"/>
    <x v="0"/>
    <x v="2"/>
    <x v="2"/>
    <x v="1"/>
    <x v="1"/>
    <n v="62931"/>
    <s v="860521035"/>
    <s v="ACRECER TEMPORAL S.A.S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1779.6"/>
    <n v="0"/>
    <n v="61779.6"/>
    <x v="0"/>
    <x v="0"/>
    <x v="0"/>
    <n v="61779.6"/>
    <n v="0"/>
    <n v="61779.6"/>
    <x v="0"/>
    <x v="0"/>
    <x v="0"/>
    <n v="61779.6"/>
    <n v="0"/>
    <n v="6177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50800"/>
    <n v="0"/>
    <n v="50800"/>
    <x v="0"/>
    <x v="0"/>
    <x v="0"/>
    <n v="50800"/>
    <n v="0"/>
    <n v="50800"/>
    <x v="0"/>
    <x v="0"/>
    <x v="0"/>
    <n v="50800"/>
    <n v="0"/>
    <n v="508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3"/>
    <x v="3"/>
    <x v="1"/>
    <x v="1"/>
    <n v="37430"/>
    <s v="811034107"/>
    <s v="GRANOS Y CEREALES DEL CAMPO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34107"/>
    <s v="GRANOS Y CEREALES DEL CAMP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40 CLIENTE CANCELA CON EL 25% DCTO DESDE EL AÑO /92"/>
    <n v="508800"/>
    <n v="0"/>
    <n v="508800"/>
    <x v="0"/>
    <x v="0"/>
    <x v="0"/>
    <n v="508800"/>
    <n v="0"/>
    <n v="508800"/>
    <x v="0"/>
    <x v="0"/>
    <x v="0"/>
    <n v="508800"/>
    <n v="0"/>
    <n v="508800"/>
    <x v="0"/>
    <x v="0"/>
    <x v="0"/>
    <x v="0"/>
    <x v="0"/>
  </r>
  <r>
    <x v="6"/>
    <x v="0"/>
    <x v="0"/>
    <x v="1"/>
    <x v="1"/>
    <x v="1"/>
    <x v="1"/>
    <n v="24552"/>
    <s v="32757237"/>
    <s v="MEDINA OLIVEROS FARATH DIVA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3587.63"/>
    <n v="0"/>
    <n v="23587.63"/>
    <x v="0"/>
    <x v="0"/>
    <x v="0"/>
    <n v="0"/>
    <n v="0"/>
    <n v="0"/>
    <x v="0"/>
    <x v="0"/>
    <x v="0"/>
    <n v="23587.63"/>
    <n v="0"/>
    <n v="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3587.63"/>
    <n v="-23587.63"/>
    <x v="0"/>
    <x v="0"/>
    <x v="0"/>
    <n v="0"/>
    <n v="0"/>
    <n v="0"/>
    <x v="0"/>
    <x v="0"/>
    <x v="0"/>
    <n v="0"/>
    <n v="23587.63"/>
    <n v="-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3588"/>
    <n v="0"/>
    <n v="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3588"/>
    <n v="-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637085.32999999996"/>
    <n v="-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6445.599999999999"/>
    <n v="0"/>
    <n v="16445.599999999999"/>
    <x v="0"/>
    <x v="0"/>
    <x v="0"/>
    <n v="0"/>
    <n v="0"/>
    <n v="0"/>
    <x v="0"/>
    <x v="0"/>
    <x v="0"/>
    <n v="16445.599999999999"/>
    <n v="0"/>
    <n v="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6445.599999999999"/>
    <n v="-16445.599999999999"/>
    <x v="0"/>
    <x v="0"/>
    <x v="0"/>
    <n v="0"/>
    <n v="0"/>
    <n v="0"/>
    <x v="0"/>
    <x v="0"/>
    <x v="0"/>
    <n v="0"/>
    <n v="16445.599999999999"/>
    <n v="-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6446"/>
    <n v="0"/>
    <n v="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6446"/>
    <n v="-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47708.06999999995"/>
    <n v="0"/>
    <n v="547708.07000000007"/>
    <x v="0"/>
    <x v="0"/>
    <x v="0"/>
    <n v="547708.06999999995"/>
    <n v="0"/>
    <n v="547708.07000000007"/>
    <x v="0"/>
    <x v="0"/>
    <x v="0"/>
    <n v="547708.06999999995"/>
    <n v="0"/>
    <n v="547708.0700000000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1906.6"/>
    <n v="0"/>
    <n v="181906.6"/>
    <x v="0"/>
    <x v="0"/>
    <x v="0"/>
    <n v="181906.6"/>
    <n v="0"/>
    <n v="181906.6"/>
    <x v="0"/>
    <x v="0"/>
    <x v="0"/>
    <n v="181906.6"/>
    <n v="0"/>
    <n v="181906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2"/>
    <x v="2"/>
    <n v="19624"/>
    <s v="860035827"/>
    <s v="BANCO AV VILLAS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40526"/>
    <n v="0"/>
    <n v="840526"/>
    <x v="0"/>
    <x v="0"/>
    <x v="0"/>
    <n v="840526"/>
    <n v="0"/>
    <n v="840526"/>
    <x v="0"/>
    <x v="0"/>
    <x v="0"/>
    <n v="840526"/>
    <n v="0"/>
    <n v="840526"/>
    <x v="0"/>
    <x v="0"/>
    <x v="0"/>
    <x v="0"/>
    <x v="0"/>
  </r>
  <r>
    <x v="1"/>
    <x v="0"/>
    <x v="0"/>
    <x v="0"/>
    <x v="0"/>
    <x v="2"/>
    <x v="2"/>
    <n v="19688"/>
    <s v="890903938"/>
    <s v="BANCOLOMBIA S.A.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PERTURA CREDITO CESANTIAS 12 MESES - DTF + 2.5 TA - PROTECCION"/>
    <n v="285254.18"/>
    <n v="0"/>
    <n v="285254.18"/>
    <x v="0"/>
    <x v="0"/>
    <x v="0"/>
    <n v="285254.18"/>
    <n v="0"/>
    <n v="285254.18"/>
    <x v="0"/>
    <x v="0"/>
    <x v="0"/>
    <n v="285254.18"/>
    <n v="0"/>
    <n v="285254.18"/>
    <x v="0"/>
    <x v="0"/>
    <x v="0"/>
    <x v="0"/>
    <x v="0"/>
  </r>
  <r>
    <x v="1"/>
    <x v="0"/>
    <x v="0"/>
    <x v="0"/>
    <x v="0"/>
    <x v="2"/>
    <x v="2"/>
    <n v="19699"/>
    <s v="860007660"/>
    <s v="HELM BANK S.A."/>
    <s v="201902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6054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1"/>
    <x v="0"/>
    <x v="0"/>
    <x v="0"/>
    <x v="0"/>
    <x v="2"/>
    <x v="2"/>
    <n v="19769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ARIAS - FEB 2019 -"/>
    <n v="3213"/>
    <n v="0"/>
    <n v="3213"/>
    <x v="0"/>
    <x v="0"/>
    <x v="0"/>
    <n v="3213"/>
    <n v="0"/>
    <n v="3213"/>
    <x v="0"/>
    <x v="0"/>
    <x v="0"/>
    <n v="3213"/>
    <n v="0"/>
    <n v="3213"/>
    <x v="0"/>
    <x v="0"/>
    <x v="0"/>
    <x v="0"/>
    <x v="0"/>
  </r>
  <r>
    <x v="1"/>
    <x v="0"/>
    <x v="0"/>
    <x v="0"/>
    <x v="0"/>
    <x v="2"/>
    <x v="2"/>
    <n v="19752"/>
    <s v="440000000330"/>
    <s v="BANCOLOMBIA CAYMAN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DE COMPENSACION  - MES DE FEB 2018 (TRM 3072.01)"/>
    <n v="418837.84"/>
    <n v="0"/>
    <n v="418837.84"/>
    <x v="0"/>
    <x v="0"/>
    <x v="0"/>
    <n v="418837.84"/>
    <n v="0"/>
    <n v="418837.84"/>
    <x v="0"/>
    <x v="0"/>
    <x v="0"/>
    <n v="418837.84"/>
    <n v="0"/>
    <n v="418837.84"/>
    <x v="0"/>
    <x v="0"/>
    <x v="0"/>
    <x v="0"/>
    <x v="0"/>
  </r>
  <r>
    <x v="1"/>
    <x v="0"/>
    <x v="0"/>
    <x v="0"/>
    <x v="0"/>
    <x v="2"/>
    <x v="2"/>
    <n v="19778"/>
    <s v="890300279"/>
    <s v="BANCO DE OCCIDENTE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"/>
    <n v="106674.53"/>
    <n v="0"/>
    <n v="106674.53"/>
    <x v="0"/>
    <x v="0"/>
    <x v="0"/>
    <n v="106674.53"/>
    <n v="0"/>
    <n v="106674.53"/>
    <x v="0"/>
    <x v="0"/>
    <x v="0"/>
    <n v="106674.53"/>
    <n v="0"/>
    <n v="106674.53"/>
    <x v="0"/>
    <x v="0"/>
    <x v="0"/>
    <x v="0"/>
    <x v="0"/>
  </r>
  <r>
    <x v="1"/>
    <x v="0"/>
    <x v="0"/>
    <x v="0"/>
    <x v="0"/>
    <x v="2"/>
    <x v="2"/>
    <n v="19779"/>
    <s v="860002964"/>
    <s v="BANCO DE BOGOT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GAASTOS BANCARIOS FEB 2019"/>
    <n v="85413.88"/>
    <n v="0"/>
    <n v="85413.88"/>
    <x v="0"/>
    <x v="0"/>
    <x v="0"/>
    <n v="85413.88"/>
    <n v="0"/>
    <n v="85413.88"/>
    <x v="0"/>
    <x v="0"/>
    <x v="0"/>
    <n v="85413.88"/>
    <n v="0"/>
    <n v="85413.88"/>
    <x v="0"/>
    <x v="0"/>
    <x v="0"/>
    <x v="0"/>
    <x v="0"/>
  </r>
  <r>
    <x v="1"/>
    <x v="0"/>
    <x v="0"/>
    <x v="0"/>
    <x v="0"/>
    <x v="2"/>
    <x v="2"/>
    <n v="19780"/>
    <s v="900406150"/>
    <s v="BANCO COOMEV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 -  BANCOOMEVA"/>
    <n v="110972.64"/>
    <n v="0"/>
    <n v="110972.64"/>
    <x v="0"/>
    <x v="0"/>
    <x v="0"/>
    <n v="110972.64"/>
    <n v="0"/>
    <n v="110972.64"/>
    <x v="0"/>
    <x v="0"/>
    <x v="0"/>
    <n v="110972.64"/>
    <n v="0"/>
    <n v="110972.6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6631.3"/>
    <n v="0"/>
    <n v="56631.3"/>
    <x v="0"/>
    <x v="0"/>
    <x v="0"/>
    <n v="56631.3"/>
    <n v="0"/>
    <n v="56631.3"/>
    <x v="0"/>
    <x v="0"/>
    <x v="0"/>
    <n v="56631.3"/>
    <n v="0"/>
    <n v="56631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2309.3"/>
    <n v="0"/>
    <n v="22309.3"/>
    <x v="0"/>
    <x v="0"/>
    <x v="0"/>
    <n v="22309.3"/>
    <n v="0"/>
    <n v="22309.3"/>
    <x v="0"/>
    <x v="0"/>
    <x v="0"/>
    <n v="22309.3"/>
    <n v="0"/>
    <n v="22309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6610.12"/>
    <n v="0"/>
    <n v="116610.12"/>
    <x v="0"/>
    <x v="0"/>
    <x v="0"/>
    <n v="116610.12"/>
    <n v="0"/>
    <n v="116610.12"/>
    <x v="0"/>
    <x v="0"/>
    <x v="0"/>
    <n v="116610.12"/>
    <n v="0"/>
    <n v="116610.1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95687"/>
    <n v="0"/>
    <n v="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95687.28"/>
    <n v="0"/>
    <n v="395687.28"/>
    <x v="0"/>
    <x v="0"/>
    <x v="0"/>
    <n v="0"/>
    <n v="0"/>
    <n v="0"/>
    <x v="0"/>
    <x v="0"/>
    <x v="0"/>
    <n v="395687.28"/>
    <n v="0"/>
    <n v="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95687.28"/>
    <n v="-395687.28"/>
    <x v="0"/>
    <x v="0"/>
    <x v="0"/>
    <n v="0"/>
    <n v="0"/>
    <n v="0"/>
    <x v="0"/>
    <x v="0"/>
    <x v="0"/>
    <n v="0"/>
    <n v="395687.28"/>
    <n v="-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95687"/>
    <n v="-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71.47"/>
    <n v="0"/>
    <n v="398671.47000000003"/>
    <x v="0"/>
    <x v="0"/>
    <x v="0"/>
    <n v="0"/>
    <n v="0"/>
    <n v="0"/>
    <x v="0"/>
    <x v="0"/>
    <x v="0"/>
    <n v="398671.47"/>
    <n v="0"/>
    <n v="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71.47"/>
    <n v="-398671.47000000003"/>
    <x v="0"/>
    <x v="0"/>
    <x v="0"/>
    <n v="0"/>
    <n v="0"/>
    <n v="0"/>
    <x v="0"/>
    <x v="0"/>
    <x v="0"/>
    <n v="0"/>
    <n v="398671.47"/>
    <n v="-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71.47"/>
    <n v="0"/>
    <n v="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71.47"/>
    <n v="-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637085.32999999996"/>
    <n v="-637085.32999999996"/>
    <x v="0"/>
    <x v="0"/>
    <x v="0"/>
    <n v="0"/>
    <n v="0"/>
    <n v="0"/>
    <x v="0"/>
    <x v="0"/>
    <x v="0"/>
    <n v="0"/>
    <n v="637085.32999999996"/>
    <n v="-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20066.76"/>
    <n v="-520066.76"/>
    <x v="0"/>
    <x v="0"/>
    <x v="0"/>
    <n v="0"/>
    <n v="0"/>
    <n v="0"/>
    <x v="0"/>
    <x v="0"/>
    <x v="0"/>
    <n v="0"/>
    <n v="520066.76"/>
    <n v="-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20066.76"/>
    <n v="0"/>
    <n v="520066.76"/>
    <x v="0"/>
    <x v="0"/>
    <x v="0"/>
    <n v="0"/>
    <n v="0"/>
    <n v="0"/>
    <x v="0"/>
    <x v="0"/>
    <x v="0"/>
    <n v="520066.76"/>
    <n v="0"/>
    <n v="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20067"/>
    <n v="0"/>
    <n v="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20067"/>
    <n v="-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709.740000000005"/>
    <n v="0"/>
    <n v="73709.740000000005"/>
    <x v="0"/>
    <x v="0"/>
    <x v="0"/>
    <n v="0"/>
    <n v="0"/>
    <n v="0"/>
    <x v="0"/>
    <x v="0"/>
    <x v="0"/>
    <n v="73709.740000000005"/>
    <n v="0"/>
    <n v="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709.740000000005"/>
    <n v="-73709.740000000005"/>
    <x v="0"/>
    <x v="0"/>
    <x v="0"/>
    <n v="0"/>
    <n v="0"/>
    <n v="0"/>
    <x v="0"/>
    <x v="0"/>
    <x v="0"/>
    <n v="0"/>
    <n v="73709.740000000005"/>
    <n v="-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710"/>
    <n v="0"/>
    <n v="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710"/>
    <n v="-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05809.96000000002"/>
    <n v="-305809.96000000002"/>
    <x v="0"/>
    <x v="0"/>
    <x v="0"/>
    <n v="0"/>
    <n v="0"/>
    <n v="0"/>
    <x v="0"/>
    <x v="0"/>
    <x v="0"/>
    <n v="0"/>
    <n v="305809.96000000002"/>
    <n v="-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05809.96000000002"/>
    <n v="-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48340.68"/>
    <n v="0"/>
    <n v="48340.68"/>
    <x v="0"/>
    <x v="0"/>
    <x v="0"/>
    <n v="0"/>
    <n v="0"/>
    <n v="0"/>
    <x v="0"/>
    <x v="0"/>
    <x v="0"/>
    <n v="48340.68"/>
    <n v="0"/>
    <n v="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48340.68"/>
    <n v="-48340.68"/>
    <x v="0"/>
    <x v="0"/>
    <x v="0"/>
    <n v="0"/>
    <n v="0"/>
    <n v="0"/>
    <x v="0"/>
    <x v="0"/>
    <x v="0"/>
    <n v="0"/>
    <n v="48340.68"/>
    <n v="-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48340.68"/>
    <n v="0"/>
    <n v="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48340.68"/>
    <n v="-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73287.23"/>
    <n v="-173287.23"/>
    <x v="0"/>
    <x v="0"/>
    <x v="0"/>
    <n v="0"/>
    <n v="0"/>
    <n v="0"/>
    <x v="0"/>
    <x v="0"/>
    <x v="0"/>
    <n v="0"/>
    <n v="173287.23"/>
    <n v="-173287.2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73287.23"/>
    <n v="-173287.2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3180.27"/>
    <n v="-83180.27"/>
    <x v="0"/>
    <x v="0"/>
    <x v="0"/>
    <n v="0"/>
    <n v="0"/>
    <n v="0"/>
    <x v="0"/>
    <x v="0"/>
    <x v="0"/>
    <n v="0"/>
    <n v="83180.27"/>
    <n v="-83180.27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83180.27"/>
    <n v="-83180.2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8644.09"/>
    <n v="-78644.09"/>
    <x v="0"/>
    <x v="0"/>
    <x v="0"/>
    <n v="0"/>
    <n v="0"/>
    <n v="0"/>
    <x v="0"/>
    <x v="0"/>
    <x v="0"/>
    <n v="0"/>
    <n v="78644.09"/>
    <n v="-78644.09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8644.09"/>
    <n v="-78644.09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0"/>
    <n v="84127.34"/>
    <n v="-84127.34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119900"/>
    <n v="0"/>
    <n v="119900"/>
    <x v="0"/>
    <x v="0"/>
    <x v="0"/>
    <n v="0"/>
    <n v="0"/>
    <n v="0"/>
    <x v="0"/>
    <x v="0"/>
    <x v="0"/>
    <n v="119900"/>
    <n v="0"/>
    <n v="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119900"/>
    <n v="-119900"/>
    <x v="0"/>
    <x v="0"/>
    <x v="0"/>
    <n v="0"/>
    <n v="0"/>
    <n v="0"/>
    <x v="0"/>
    <x v="0"/>
    <x v="0"/>
    <n v="0"/>
    <n v="119900"/>
    <n v="-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119900"/>
    <n v="0"/>
    <n v="119900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13106"/>
    <n v="0"/>
    <n v="413106"/>
    <x v="0"/>
    <x v="0"/>
    <x v="0"/>
    <n v="413106"/>
    <n v="0"/>
    <n v="413106"/>
    <x v="0"/>
    <x v="0"/>
    <x v="0"/>
    <n v="413106"/>
    <n v="0"/>
    <n v="41310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2"/>
    <x v="2"/>
    <n v="19839"/>
    <s v="860007660"/>
    <s v="HELM BANK S.A."/>
    <s v="201903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4225"/>
    <n v="90876.67"/>
    <n v="0"/>
    <n v="90876.67"/>
    <x v="0"/>
    <x v="0"/>
    <x v="0"/>
    <n v="90876.67"/>
    <n v="0"/>
    <n v="90876.67"/>
    <x v="0"/>
    <x v="0"/>
    <x v="0"/>
    <n v="90876.67"/>
    <n v="0"/>
    <n v="90876.67"/>
    <x v="0"/>
    <x v="0"/>
    <x v="0"/>
    <x v="0"/>
    <x v="0"/>
  </r>
  <r>
    <x v="5"/>
    <x v="0"/>
    <x v="0"/>
    <x v="0"/>
    <x v="0"/>
    <x v="2"/>
    <x v="2"/>
    <n v="19932"/>
    <s v="890300279"/>
    <s v="BANCO DE OCCIDENTE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 DE MARZO DEL 2019"/>
    <n v="90940"/>
    <n v="0"/>
    <n v="90940"/>
    <x v="0"/>
    <x v="0"/>
    <x v="0"/>
    <n v="90940"/>
    <n v="0"/>
    <n v="90940"/>
    <x v="0"/>
    <x v="0"/>
    <x v="0"/>
    <n v="90940"/>
    <n v="0"/>
    <n v="9094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6100"/>
    <n v="0"/>
    <n v="6100"/>
    <x v="0"/>
    <x v="0"/>
    <x v="0"/>
    <n v="6100"/>
    <n v="0"/>
    <n v="6100"/>
    <x v="0"/>
    <x v="0"/>
    <x v="0"/>
    <n v="6100"/>
    <n v="0"/>
    <n v="61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70129"/>
    <n v="-270129"/>
    <x v="0"/>
    <x v="0"/>
    <x v="0"/>
    <n v="0"/>
    <n v="0"/>
    <n v="0"/>
    <x v="0"/>
    <x v="0"/>
    <x v="0"/>
    <n v="0"/>
    <n v="270129"/>
    <n v="-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70129"/>
    <n v="0"/>
    <n v="270129"/>
    <x v="0"/>
    <x v="0"/>
    <x v="0"/>
    <n v="0"/>
    <n v="0"/>
    <n v="0"/>
    <x v="0"/>
    <x v="0"/>
    <x v="0"/>
    <n v="270129"/>
    <n v="0"/>
    <n v="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70129"/>
    <n v="0"/>
    <n v="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70129"/>
    <n v="-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6810"/>
    <n v="0"/>
    <n v="6810"/>
    <x v="0"/>
    <x v="0"/>
    <x v="0"/>
    <n v="6810"/>
    <n v="0"/>
    <n v="6810"/>
    <x v="0"/>
    <x v="0"/>
    <x v="0"/>
    <n v="6810"/>
    <n v="0"/>
    <n v="681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309400"/>
    <n v="0"/>
    <n v="309400"/>
    <x v="0"/>
    <x v="0"/>
    <x v="0"/>
    <n v="309400"/>
    <n v="0"/>
    <n v="309400"/>
    <x v="0"/>
    <x v="0"/>
    <x v="0"/>
    <n v="309400"/>
    <n v="0"/>
    <n v="309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1"/>
    <n v="0"/>
    <n v="17161"/>
    <x v="0"/>
    <x v="0"/>
    <x v="0"/>
    <n v="17161"/>
    <n v="0"/>
    <n v="17161"/>
    <x v="0"/>
    <x v="0"/>
    <x v="0"/>
    <n v="17161"/>
    <n v="0"/>
    <n v="1716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42902.5"/>
    <n v="0"/>
    <n v="42902.5"/>
    <x v="0"/>
    <x v="0"/>
    <x v="0"/>
    <n v="42902.5"/>
    <n v="0"/>
    <n v="42902.5"/>
    <x v="0"/>
    <x v="0"/>
    <x v="0"/>
    <n v="42902.5"/>
    <n v="0"/>
    <n v="42902.5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2"/>
    <x v="2"/>
    <n v="19958"/>
    <s v="860002964"/>
    <s v="BANCO DE BOGOTA S.A.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LDO DE OBLIGACION 349 CREDITO ROTATIVO"/>
    <n v="52479"/>
    <n v="0"/>
    <n v="52479"/>
    <x v="0"/>
    <x v="0"/>
    <x v="0"/>
    <n v="52479"/>
    <n v="0"/>
    <n v="52479"/>
    <x v="0"/>
    <x v="0"/>
    <x v="0"/>
    <n v="52479"/>
    <n v="0"/>
    <n v="52479"/>
    <x v="0"/>
    <x v="0"/>
    <x v="0"/>
    <x v="0"/>
    <x v="0"/>
  </r>
  <r>
    <x v="7"/>
    <x v="0"/>
    <x v="0"/>
    <x v="0"/>
    <x v="0"/>
    <x v="2"/>
    <x v="2"/>
    <n v="19998"/>
    <s v="900406150"/>
    <s v="BANCO COOMEV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ACARIOS MES DE MARZO DEL 2019"/>
    <n v="116233.28"/>
    <n v="0"/>
    <n v="116233.28"/>
    <x v="0"/>
    <x v="0"/>
    <x v="0"/>
    <n v="116233.28"/>
    <n v="0"/>
    <n v="116233.28"/>
    <x v="0"/>
    <x v="0"/>
    <x v="0"/>
    <n v="116233.28"/>
    <n v="0"/>
    <n v="116233.28"/>
    <x v="0"/>
    <x v="0"/>
    <x v="0"/>
    <x v="0"/>
    <x v="0"/>
  </r>
  <r>
    <x v="7"/>
    <x v="0"/>
    <x v="0"/>
    <x v="0"/>
    <x v="0"/>
    <x v="11"/>
    <x v="11"/>
    <n v="26012"/>
    <s v="1018441067"/>
    <s v="ALONSO GUTIERREZ YINNETH CATALINA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 + GASTOS BANCARIOS"/>
    <n v="8045"/>
    <n v="0"/>
    <n v="8045"/>
    <x v="0"/>
    <x v="0"/>
    <x v="0"/>
    <n v="8045"/>
    <n v="0"/>
    <n v="8045"/>
    <x v="0"/>
    <x v="0"/>
    <x v="0"/>
    <n v="8045"/>
    <n v="0"/>
    <n v="8045"/>
    <x v="0"/>
    <x v="0"/>
    <x v="0"/>
    <x v="0"/>
    <x v="0"/>
  </r>
  <r>
    <x v="7"/>
    <x v="0"/>
    <x v="0"/>
    <x v="0"/>
    <x v="0"/>
    <x v="11"/>
    <x v="11"/>
    <n v="26013"/>
    <s v="1045717933"/>
    <s v="PALMA GUTIERREZ KETTY JANETH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4  + GASTOS BANCARIOS"/>
    <n v="7304"/>
    <n v="0"/>
    <n v="7304"/>
    <x v="0"/>
    <x v="0"/>
    <x v="0"/>
    <n v="7304"/>
    <n v="0"/>
    <n v="7304"/>
    <x v="0"/>
    <x v="0"/>
    <x v="0"/>
    <n v="7304"/>
    <n v="0"/>
    <n v="7304"/>
    <x v="0"/>
    <x v="0"/>
    <x v="0"/>
    <x v="0"/>
    <x v="0"/>
  </r>
  <r>
    <x v="7"/>
    <x v="0"/>
    <x v="0"/>
    <x v="0"/>
    <x v="0"/>
    <x v="11"/>
    <x v="11"/>
    <n v="26015"/>
    <s v="31908098"/>
    <s v="LOPEZ GARCIA MARIA DEL SOCORRO"/>
    <s v="2019040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0 + GASTOS BANCARIOS"/>
    <n v="8384"/>
    <n v="0"/>
    <n v="8384"/>
    <x v="0"/>
    <x v="0"/>
    <x v="0"/>
    <n v="8384"/>
    <n v="0"/>
    <n v="8384"/>
    <x v="0"/>
    <x v="0"/>
    <x v="0"/>
    <n v="8384"/>
    <n v="0"/>
    <n v="8384"/>
    <x v="0"/>
    <x v="0"/>
    <x v="0"/>
    <x v="0"/>
    <x v="0"/>
  </r>
  <r>
    <x v="7"/>
    <x v="0"/>
    <x v="0"/>
    <x v="0"/>
    <x v="0"/>
    <x v="11"/>
    <x v="11"/>
    <n v="26026"/>
    <s v="1098657994"/>
    <s v="HERNANDEZ ROJAS JOHN EDISON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2+ GASTOS BANCARIOS"/>
    <n v="7202"/>
    <n v="0"/>
    <n v="7202"/>
    <x v="0"/>
    <x v="0"/>
    <x v="0"/>
    <n v="7202"/>
    <n v="0"/>
    <n v="7202"/>
    <x v="0"/>
    <x v="0"/>
    <x v="0"/>
    <n v="7202"/>
    <n v="0"/>
    <n v="7202"/>
    <x v="0"/>
    <x v="0"/>
    <x v="0"/>
    <x v="0"/>
    <x v="0"/>
  </r>
  <r>
    <x v="7"/>
    <x v="0"/>
    <x v="0"/>
    <x v="0"/>
    <x v="0"/>
    <x v="11"/>
    <x v="11"/>
    <n v="26027"/>
    <s v="29873536"/>
    <s v="ZUÑIGA CEBALLOS CLAUDIA MARIA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5+ GASTOS BANCARIOS"/>
    <n v="7713"/>
    <n v="0"/>
    <n v="7713"/>
    <x v="0"/>
    <x v="0"/>
    <x v="0"/>
    <n v="7713"/>
    <n v="0"/>
    <n v="7713"/>
    <x v="0"/>
    <x v="0"/>
    <x v="0"/>
    <n v="7713"/>
    <n v="0"/>
    <n v="7713"/>
    <x v="0"/>
    <x v="0"/>
    <x v="0"/>
    <x v="0"/>
    <x v="0"/>
  </r>
  <r>
    <x v="7"/>
    <x v="0"/>
    <x v="0"/>
    <x v="0"/>
    <x v="0"/>
    <x v="2"/>
    <x v="2"/>
    <n v="20001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11940"/>
    <s v="TURISMO MARVAN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12609.8"/>
    <n v="0"/>
    <n v="12609.800000000001"/>
    <x v="0"/>
    <x v="0"/>
    <x v="0"/>
    <n v="12609.8"/>
    <n v="0"/>
    <n v="12609.800000000001"/>
    <x v="0"/>
    <x v="0"/>
    <x v="0"/>
    <n v="12609.8"/>
    <n v="0"/>
    <n v="12609.800000000001"/>
    <x v="0"/>
    <x v="0"/>
    <x v="0"/>
    <x v="0"/>
    <x v="0"/>
  </r>
  <r>
    <x v="7"/>
    <x v="0"/>
    <x v="0"/>
    <x v="0"/>
    <x v="0"/>
    <x v="2"/>
    <x v="2"/>
    <n v="20002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 BANCOLOMBIA"/>
    <n v="2408.8200000000002"/>
    <n v="0"/>
    <n v="2408.8200000000002"/>
    <x v="0"/>
    <x v="0"/>
    <x v="0"/>
    <n v="2408.8200000000002"/>
    <n v="0"/>
    <n v="2408.8200000000002"/>
    <x v="0"/>
    <x v="0"/>
    <x v="0"/>
    <n v="2408.8200000000002"/>
    <n v="0"/>
    <n v="2408.8200000000002"/>
    <x v="0"/>
    <x v="0"/>
    <x v="0"/>
    <x v="0"/>
    <x v="0"/>
  </r>
  <r>
    <x v="7"/>
    <x v="0"/>
    <x v="0"/>
    <x v="0"/>
    <x v="0"/>
    <x v="11"/>
    <x v="11"/>
    <n v="26071"/>
    <s v="1018441067"/>
    <s v="ALONSO GUTIERREZ YINNETH CATALIN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18441067"/>
    <s v="ALONSO GUTIERREZ YINNETH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- GASTOS BANCARIOS"/>
    <n v="11342"/>
    <n v="0"/>
    <n v="11342"/>
    <x v="0"/>
    <x v="0"/>
    <x v="0"/>
    <n v="11342"/>
    <n v="0"/>
    <n v="11342"/>
    <x v="0"/>
    <x v="0"/>
    <x v="0"/>
    <n v="11342"/>
    <n v="0"/>
    <n v="11342"/>
    <x v="0"/>
    <x v="0"/>
    <x v="0"/>
    <x v="0"/>
    <x v="0"/>
  </r>
  <r>
    <x v="7"/>
    <x v="0"/>
    <x v="0"/>
    <x v="0"/>
    <x v="0"/>
    <x v="11"/>
    <x v="11"/>
    <n v="26072"/>
    <s v="1045717933"/>
    <s v="PALMA GUTIERREZ KETTY JANETH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5 + GASTOS BANCARIOS"/>
    <n v="7540"/>
    <n v="0"/>
    <n v="7540"/>
    <x v="0"/>
    <x v="0"/>
    <x v="0"/>
    <n v="7540"/>
    <n v="0"/>
    <n v="7540"/>
    <x v="0"/>
    <x v="0"/>
    <x v="0"/>
    <n v="7540"/>
    <n v="0"/>
    <n v="7540"/>
    <x v="0"/>
    <x v="0"/>
    <x v="0"/>
    <x v="0"/>
    <x v="0"/>
  </r>
  <r>
    <x v="7"/>
    <x v="0"/>
    <x v="0"/>
    <x v="0"/>
    <x v="0"/>
    <x v="11"/>
    <x v="11"/>
    <n v="26073"/>
    <s v="4519543"/>
    <s v="GARCIA CASTAÑO FREDY JHOVANNY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519543"/>
    <s v="GARCIA CASTAÑO FREDY JHOVANN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3 + GASTOS BANCARIOS"/>
    <n v="3364"/>
    <n v="0"/>
    <n v="3364"/>
    <x v="0"/>
    <x v="0"/>
    <x v="0"/>
    <n v="3364"/>
    <n v="0"/>
    <n v="3364"/>
    <x v="0"/>
    <x v="0"/>
    <x v="0"/>
    <n v="3364"/>
    <n v="0"/>
    <n v="3364"/>
    <x v="0"/>
    <x v="0"/>
    <x v="0"/>
    <x v="0"/>
    <x v="0"/>
  </r>
  <r>
    <x v="7"/>
    <x v="0"/>
    <x v="0"/>
    <x v="0"/>
    <x v="0"/>
    <x v="11"/>
    <x v="11"/>
    <n v="26074"/>
    <s v="1036930909"/>
    <s v="ALZATE SANCHEZ NATACH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36930909"/>
    <s v="ALZATE SANCHEZ NATACH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7+ GASTOS BANCARIOS"/>
    <n v="11845"/>
    <n v="0"/>
    <n v="11845"/>
    <x v="0"/>
    <x v="0"/>
    <x v="0"/>
    <n v="11845"/>
    <n v="0"/>
    <n v="11845"/>
    <x v="0"/>
    <x v="0"/>
    <x v="0"/>
    <n v="11845"/>
    <n v="0"/>
    <n v="11845"/>
    <x v="0"/>
    <x v="0"/>
    <x v="0"/>
    <x v="0"/>
    <x v="0"/>
  </r>
  <r>
    <x v="7"/>
    <x v="0"/>
    <x v="0"/>
    <x v="0"/>
    <x v="0"/>
    <x v="11"/>
    <x v="11"/>
    <n v="26163"/>
    <s v="16285567"/>
    <s v="MONTOYA GOMEZ PABLO IGNACI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7-559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11"/>
    <x v="11"/>
    <n v="26164"/>
    <s v="94512729"/>
    <s v="GARCES GONZALEZ JACOB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8+ GASTOS BANCARI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7"/>
    <x v="0"/>
    <x v="0"/>
    <x v="0"/>
    <x v="0"/>
    <x v="11"/>
    <x v="11"/>
    <n v="26165"/>
    <s v="31908098"/>
    <s v="LOPEZ GARCIA MARIA DEL SOCORR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1- GASTOS BANCARIOS"/>
    <n v="8263"/>
    <n v="0"/>
    <n v="8263"/>
    <x v="0"/>
    <x v="0"/>
    <x v="0"/>
    <n v="8263"/>
    <n v="0"/>
    <n v="8263"/>
    <x v="0"/>
    <x v="0"/>
    <x v="0"/>
    <n v="8263"/>
    <n v="0"/>
    <n v="826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11"/>
    <x v="11"/>
    <n v="26011"/>
    <s v="71631400"/>
    <s v="CARRASQUILLA PIZARRO MARCO ANTONIO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29 - MAS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11"/>
    <x v="11"/>
    <n v="26162"/>
    <s v="31572163"/>
    <s v="VALLEJO AGUIRRE ANA MARIA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60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5130"/>
    <n v="0"/>
    <n v="5130"/>
    <x v="0"/>
    <x v="0"/>
    <x v="0"/>
    <n v="5130"/>
    <n v="0"/>
    <n v="5130"/>
    <x v="0"/>
    <x v="0"/>
    <x v="0"/>
    <n v="5130"/>
    <n v="0"/>
    <n v="513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974.7"/>
    <n v="0"/>
    <n v="974.7"/>
    <x v="0"/>
    <x v="0"/>
    <x v="0"/>
    <n v="974.7"/>
    <n v="0"/>
    <n v="974.7"/>
    <x v="0"/>
    <x v="0"/>
    <x v="0"/>
    <n v="974.7"/>
    <n v="0"/>
    <n v="974.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1"/>
    <x v="1"/>
    <x v="1"/>
    <x v="1"/>
    <n v="24619"/>
    <s v="802016306"/>
    <s v="EXPOCONSTRUCCION 43 Y CIA LTD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93 - FVA-364998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2"/>
    <x v="0"/>
    <x v="0"/>
    <x v="1"/>
    <x v="1"/>
    <x v="1"/>
    <x v="1"/>
    <n v="24622"/>
    <s v="1140900157"/>
    <s v="BOZON ALBA VALENTIN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1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1"/>
    <x v="1"/>
    <x v="1"/>
    <x v="1"/>
    <n v="24627"/>
    <s v="890301054"/>
    <s v="TORRECAFE AGUILA ROJA CIA.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301054"/>
    <s v="TORRECAFE AGUILA ROJA CIA.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4"/>
    <n v="92"/>
    <n v="0"/>
    <n v="92"/>
    <x v="0"/>
    <x v="0"/>
    <x v="0"/>
    <n v="92"/>
    <n v="0"/>
    <n v="92"/>
    <x v="0"/>
    <x v="0"/>
    <x v="0"/>
    <n v="92"/>
    <n v="0"/>
    <n v="92"/>
    <x v="0"/>
    <x v="0"/>
    <x v="0"/>
    <x v="0"/>
    <x v="0"/>
  </r>
  <r>
    <x v="2"/>
    <x v="0"/>
    <x v="0"/>
    <x v="1"/>
    <x v="1"/>
    <x v="1"/>
    <x v="1"/>
    <n v="24628"/>
    <s v="802010909"/>
    <s v="INVERSIONES WONGFOEN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14_x000d__x000a_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2"/>
    <x v="0"/>
    <x v="0"/>
    <x v="0"/>
    <x v="0"/>
    <x v="0"/>
    <x v="0"/>
    <n v="4315"/>
    <s v="1020757156"/>
    <s v="ROA GUTIERREZ LUIS EDUARDO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1020757156"/>
    <s v="ROA GUTIERREZ LUIS EDUAR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JADO DE APLICAR DESCUENTO COMERCIAL"/>
    <n v="138000"/>
    <n v="0"/>
    <n v="138000"/>
    <x v="0"/>
    <x v="0"/>
    <x v="0"/>
    <n v="138000"/>
    <n v="0"/>
    <n v="138000"/>
    <x v="0"/>
    <x v="0"/>
    <x v="0"/>
    <n v="138000"/>
    <n v="0"/>
    <n v="138000"/>
    <x v="0"/>
    <x v="0"/>
    <x v="0"/>
    <x v="0"/>
    <x v="0"/>
  </r>
  <r>
    <x v="2"/>
    <x v="0"/>
    <x v="0"/>
    <x v="1"/>
    <x v="1"/>
    <x v="1"/>
    <x v="1"/>
    <n v="24633"/>
    <s v="806012958"/>
    <s v="IPS SALUD DEL CARIBE S.A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301 - FVA-362314 - FVA-362319 - FVA-3623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2"/>
    <x v="0"/>
    <x v="0"/>
    <x v="2"/>
    <x v="2"/>
    <x v="9"/>
    <x v="9"/>
    <n v="1583"/>
    <s v="800085013"/>
    <s v="COMPLEJO COMERCIAL CENTRO CHIA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85013"/>
    <s v="COMPLEJO COMERCIAL CENTRO CH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824.615"/>
    <n v="824615"/>
    <n v="0"/>
    <n v="824615"/>
    <x v="0"/>
    <x v="0"/>
    <x v="0"/>
    <n v="824615"/>
    <n v="0"/>
    <n v="824615"/>
    <x v="0"/>
    <x v="0"/>
    <x v="0"/>
    <n v="824615"/>
    <n v="0"/>
    <n v="824615"/>
    <x v="0"/>
    <x v="0"/>
    <x v="0"/>
    <x v="0"/>
    <x v="0"/>
  </r>
  <r>
    <x v="2"/>
    <x v="0"/>
    <x v="0"/>
    <x v="5"/>
    <x v="5"/>
    <x v="9"/>
    <x v="9"/>
    <n v="1319"/>
    <s v="890304049"/>
    <s v="ARQUIDIOCESIS DE CALI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OK,  $277.222"/>
    <n v="277222"/>
    <n v="0"/>
    <n v="277222"/>
    <x v="0"/>
    <x v="0"/>
    <x v="0"/>
    <n v="277222"/>
    <n v="0"/>
    <n v="277222"/>
    <x v="0"/>
    <x v="0"/>
    <x v="0"/>
    <n v="277222"/>
    <n v="0"/>
    <n v="277222"/>
    <x v="0"/>
    <x v="0"/>
    <x v="0"/>
    <x v="0"/>
    <x v="0"/>
  </r>
  <r>
    <x v="2"/>
    <x v="0"/>
    <x v="0"/>
    <x v="5"/>
    <x v="5"/>
    <x v="1"/>
    <x v="1"/>
    <n v="47032"/>
    <s v="890311006"/>
    <s v="FONDO DE EMPLEADOS DE LAS EMP.MPALES DE CALI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3"/>
    <n v="0"/>
    <n v="453"/>
    <x v="0"/>
    <x v="0"/>
    <x v="0"/>
    <n v="453"/>
    <n v="0"/>
    <n v="453"/>
    <x v="0"/>
    <x v="0"/>
    <x v="0"/>
    <n v="453"/>
    <n v="0"/>
    <n v="453"/>
    <x v="0"/>
    <x v="0"/>
    <x v="0"/>
    <x v="0"/>
    <x v="0"/>
  </r>
  <r>
    <x v="2"/>
    <x v="0"/>
    <x v="0"/>
    <x v="5"/>
    <x v="5"/>
    <x v="1"/>
    <x v="1"/>
    <n v="47033"/>
    <s v="900825179"/>
    <s v="ELIZABETH TRULLAS  CIA S.A.S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2"/>
    <x v="0"/>
    <x v="0"/>
    <x v="5"/>
    <x v="5"/>
    <x v="1"/>
    <x v="1"/>
    <n v="47045"/>
    <s v="860046201"/>
    <s v="FORTOX S.A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2"/>
    <x v="2"/>
    <x v="9"/>
    <x v="9"/>
    <n v="1589"/>
    <s v="51721371"/>
    <s v="CASTIBLANCO BARRERO MARIA CONSUELO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51721371"/>
    <s v="CASTIBLANCO BARRERO MARIA CONSU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EMESTRAL 4.5% $20.180"/>
    <n v="20179"/>
    <n v="0"/>
    <n v="20179"/>
    <x v="0"/>
    <x v="0"/>
    <x v="0"/>
    <n v="20179"/>
    <n v="0"/>
    <n v="20179"/>
    <x v="0"/>
    <x v="0"/>
    <x v="0"/>
    <n v="20179"/>
    <n v="0"/>
    <n v="20179"/>
    <x v="0"/>
    <x v="0"/>
    <x v="0"/>
    <x v="0"/>
    <x v="0"/>
  </r>
  <r>
    <x v="2"/>
    <x v="0"/>
    <x v="0"/>
    <x v="2"/>
    <x v="2"/>
    <x v="9"/>
    <x v="9"/>
    <n v="1590"/>
    <s v="860049609"/>
    <s v="MILSEN S.A.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210.245"/>
    <n v="210245"/>
    <n v="0"/>
    <n v="210245"/>
    <x v="0"/>
    <x v="0"/>
    <x v="0"/>
    <n v="210245"/>
    <n v="0"/>
    <n v="210245"/>
    <x v="0"/>
    <x v="0"/>
    <x v="0"/>
    <n v="210245"/>
    <n v="0"/>
    <n v="210245"/>
    <x v="0"/>
    <x v="0"/>
    <x v="0"/>
    <x v="0"/>
    <x v="0"/>
  </r>
  <r>
    <x v="2"/>
    <x v="0"/>
    <x v="0"/>
    <x v="3"/>
    <x v="3"/>
    <x v="1"/>
    <x v="1"/>
    <n v="37969"/>
    <s v="800017259"/>
    <s v="PASAJE COMERCIAL EL BOULEVARD DE JUNIN P-H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0 DCTO PRONTO PAG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2"/>
    <x v="0"/>
    <x v="0"/>
    <x v="1"/>
    <x v="1"/>
    <x v="1"/>
    <x v="1"/>
    <n v="24669"/>
    <s v="7883830"/>
    <s v="MARRUGO GUARDO GONZALO RAFAEL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7883830"/>
    <s v="MARRUGO GUARDO GONZALO RAFA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59 - FVA-362296"/>
    <n v="400"/>
    <n v="0"/>
    <n v="400"/>
    <x v="0"/>
    <x v="0"/>
    <x v="0"/>
    <n v="400"/>
    <n v="0"/>
    <n v="400"/>
    <x v="0"/>
    <x v="0"/>
    <x v="0"/>
    <n v="400"/>
    <n v="0"/>
    <n v="400"/>
    <x v="0"/>
    <x v="0"/>
    <x v="0"/>
    <x v="0"/>
    <x v="0"/>
  </r>
  <r>
    <x v="2"/>
    <x v="0"/>
    <x v="0"/>
    <x v="1"/>
    <x v="1"/>
    <x v="1"/>
    <x v="1"/>
    <n v="24673"/>
    <s v="32757237"/>
    <s v="MEDINA OLIVEROS FARATH DIVA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0"/>
    <n v="302"/>
    <n v="0"/>
    <n v="302"/>
    <x v="0"/>
    <x v="0"/>
    <x v="0"/>
    <n v="302"/>
    <n v="0"/>
    <n v="302"/>
    <x v="0"/>
    <x v="0"/>
    <x v="0"/>
    <n v="302"/>
    <n v="0"/>
    <n v="302"/>
    <x v="0"/>
    <x v="0"/>
    <x v="0"/>
    <x v="0"/>
    <x v="0"/>
  </r>
  <r>
    <x v="2"/>
    <x v="0"/>
    <x v="0"/>
    <x v="0"/>
    <x v="0"/>
    <x v="1"/>
    <x v="1"/>
    <n v="2409"/>
    <s v="800149169"/>
    <s v="CLINICA JOSE A. RIVAS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169"/>
    <s v="CLINICA JOSE A. RIVA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519"/>
    <n v="0"/>
    <n v="5519"/>
    <x v="0"/>
    <x v="0"/>
    <x v="0"/>
    <n v="5519"/>
    <n v="0"/>
    <n v="5519"/>
    <x v="0"/>
    <x v="0"/>
    <x v="0"/>
    <n v="5519"/>
    <n v="0"/>
    <n v="5519"/>
    <x v="0"/>
    <x v="0"/>
    <x v="0"/>
    <x v="0"/>
    <x v="0"/>
  </r>
  <r>
    <x v="2"/>
    <x v="0"/>
    <x v="0"/>
    <x v="0"/>
    <x v="0"/>
    <x v="1"/>
    <x v="1"/>
    <n v="2401"/>
    <s v="900338133"/>
    <s v="INST. BELLEZA STELLA DURAN GALERIA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33"/>
    <s v="INST. BELLEZA STELLA DURAN GALER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CARTERA EN ABOGADO"/>
    <n v="120664"/>
    <n v="0"/>
    <n v="120664"/>
    <x v="0"/>
    <x v="0"/>
    <x v="0"/>
    <n v="120664"/>
    <n v="0"/>
    <n v="120664"/>
    <x v="0"/>
    <x v="0"/>
    <x v="0"/>
    <n v="120664"/>
    <n v="0"/>
    <n v="120664"/>
    <x v="0"/>
    <x v="0"/>
    <x v="0"/>
    <x v="0"/>
    <x v="0"/>
  </r>
  <r>
    <x v="2"/>
    <x v="0"/>
    <x v="0"/>
    <x v="5"/>
    <x v="5"/>
    <x v="1"/>
    <x v="1"/>
    <n v="46983"/>
    <s v="900361467"/>
    <s v="BLUE ELEMENTS S.A.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467"/>
    <s v="BLUE ELEMENT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82"/>
    <n v="0"/>
    <n v="382"/>
    <x v="0"/>
    <x v="0"/>
    <x v="0"/>
    <n v="382"/>
    <n v="0"/>
    <n v="382"/>
    <x v="0"/>
    <x v="0"/>
    <x v="0"/>
    <n v="382"/>
    <n v="0"/>
    <n v="382"/>
    <x v="0"/>
    <x v="0"/>
    <x v="0"/>
    <x v="0"/>
    <x v="0"/>
  </r>
  <r>
    <x v="2"/>
    <x v="0"/>
    <x v="0"/>
    <x v="5"/>
    <x v="5"/>
    <x v="1"/>
    <x v="1"/>
    <n v="46986"/>
    <s v="1509246"/>
    <s v="MORALES SANTACRUZ JESUS ANTONIO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2"/>
    <x v="0"/>
    <x v="0"/>
    <x v="5"/>
    <x v="5"/>
    <x v="9"/>
    <x v="9"/>
    <n v="1318"/>
    <s v="860019021"/>
    <s v="ASOCIACION PARA LA ENSENANZA ASPAEN"/>
    <s v="201906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19021"/>
    <s v="ASOCIACION PARA LA ENSENANZA ASPAE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AÑO ANTICIPADO 9% EN FACTURA ,OK.$79.906"/>
    <n v="79906"/>
    <n v="0"/>
    <n v="79906"/>
    <x v="0"/>
    <x v="0"/>
    <x v="0"/>
    <n v="79906"/>
    <n v="0"/>
    <n v="79906"/>
    <x v="0"/>
    <x v="0"/>
    <x v="0"/>
    <n v="79906"/>
    <n v="0"/>
    <n v="79906"/>
    <x v="0"/>
    <x v="0"/>
    <x v="0"/>
    <x v="0"/>
    <x v="0"/>
  </r>
  <r>
    <x v="2"/>
    <x v="0"/>
    <x v="0"/>
    <x v="0"/>
    <x v="0"/>
    <x v="11"/>
    <x v="11"/>
    <n v="26606"/>
    <s v="890805503"/>
    <s v="PASTELERIA LA SUIZA LTDA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5503"/>
    <s v="PASTELERIA LA SUIZ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DESCUENTO NO APLICADO POR CLIENTE ( RC 461-18373)"/>
    <n v="57817"/>
    <n v="0"/>
    <n v="57817"/>
    <x v="0"/>
    <x v="0"/>
    <x v="0"/>
    <n v="57817"/>
    <n v="0"/>
    <n v="57817"/>
    <x v="0"/>
    <x v="0"/>
    <x v="0"/>
    <n v="57817"/>
    <n v="0"/>
    <n v="57817"/>
    <x v="0"/>
    <x v="0"/>
    <x v="0"/>
    <x v="0"/>
    <x v="0"/>
  </r>
  <r>
    <x v="2"/>
    <x v="0"/>
    <x v="0"/>
    <x v="5"/>
    <x v="5"/>
    <x v="1"/>
    <x v="1"/>
    <n v="47067"/>
    <s v="900569801"/>
    <s v="MARGARITA PEÑA S.A.S.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7082"/>
    <s v="900612118"/>
    <s v="SERVICIOS ESTRATEGICOS COMPARTIDOS SAS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12118"/>
    <s v="SERVICIOS ESTRATEGICOS COMPARTIDO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0158,FONDO DE INVERSIONES,8001622716"/>
    <n v="9625"/>
    <n v="0"/>
    <n v="9625"/>
    <x v="0"/>
    <x v="0"/>
    <x v="0"/>
    <n v="9625"/>
    <n v="0"/>
    <n v="9625"/>
    <x v="0"/>
    <x v="0"/>
    <x v="0"/>
    <n v="9625"/>
    <n v="0"/>
    <n v="9625"/>
    <x v="0"/>
    <x v="0"/>
    <x v="0"/>
    <x v="0"/>
    <x v="0"/>
  </r>
  <r>
    <x v="3"/>
    <x v="0"/>
    <x v="0"/>
    <x v="5"/>
    <x v="5"/>
    <x v="1"/>
    <x v="1"/>
    <n v="47137"/>
    <s v="805019647"/>
    <s v="TECNELEC COMUNICACIONES S.A"/>
    <s v="201907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"/>
    <n v="0"/>
    <n v="99"/>
    <x v="0"/>
    <x v="0"/>
    <x v="0"/>
    <n v="99"/>
    <n v="0"/>
    <n v="99"/>
    <x v="0"/>
    <x v="0"/>
    <x v="0"/>
    <n v="99"/>
    <n v="0"/>
    <n v="99"/>
    <x v="0"/>
    <x v="0"/>
    <x v="0"/>
    <x v="0"/>
    <x v="0"/>
  </r>
  <r>
    <x v="3"/>
    <x v="0"/>
    <x v="0"/>
    <x v="3"/>
    <x v="3"/>
    <x v="1"/>
    <x v="1"/>
    <n v="38010"/>
    <s v="890911816"/>
    <s v="CLINICA MEDELLIN S.A.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1816"/>
    <s v="CLINICA MEDELL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1075 SE GENERA DCTO POR PRONTO PAGO DEL 9% AUTORIZADO POR GERENCIA DE LA REGIONAL"/>
    <n v="374667"/>
    <n v="0"/>
    <n v="374667"/>
    <x v="0"/>
    <x v="0"/>
    <x v="0"/>
    <n v="374667"/>
    <n v="0"/>
    <n v="374667"/>
    <x v="0"/>
    <x v="0"/>
    <x v="0"/>
    <n v="374667"/>
    <n v="0"/>
    <n v="374667"/>
    <x v="0"/>
    <x v="0"/>
    <x v="0"/>
    <x v="0"/>
    <x v="0"/>
  </r>
  <r>
    <x v="3"/>
    <x v="0"/>
    <x v="0"/>
    <x v="5"/>
    <x v="5"/>
    <x v="1"/>
    <x v="1"/>
    <n v="47159"/>
    <s v="800254270"/>
    <s v="SOLVAY PEROXIDOS DE COLOMBIA SASA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1441"/>
    <n v="0"/>
    <n v="1441"/>
    <x v="0"/>
    <x v="0"/>
    <x v="0"/>
    <n v="1441"/>
    <n v="0"/>
    <n v="1441"/>
    <x v="0"/>
    <x v="0"/>
    <x v="0"/>
    <n v="1441"/>
    <n v="0"/>
    <n v="1441"/>
    <x v="0"/>
    <x v="0"/>
    <x v="0"/>
    <x v="0"/>
    <x v="0"/>
  </r>
  <r>
    <x v="3"/>
    <x v="0"/>
    <x v="0"/>
    <x v="1"/>
    <x v="1"/>
    <x v="1"/>
    <x v="1"/>
    <n v="24705"/>
    <s v="806012958"/>
    <s v="IPS SALUD DEL CARIBE S.A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91 - FVA-365104 - FVA-365109 - FVA-36511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3"/>
    <x v="0"/>
    <x v="0"/>
    <x v="1"/>
    <x v="1"/>
    <x v="1"/>
    <x v="1"/>
    <n v="24706"/>
    <s v="901062361"/>
    <s v="INVERSIONES MARCRI S.A.S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3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3"/>
    <x v="0"/>
    <x v="0"/>
    <x v="1"/>
    <x v="1"/>
    <x v="1"/>
    <x v="1"/>
    <n v="24707"/>
    <s v="890102508"/>
    <s v="SALES INMOBILIARIA S.A.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46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5"/>
    <x v="5"/>
    <x v="1"/>
    <x v="1"/>
    <n v="47188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8"/>
    <n v="0"/>
    <n v="248"/>
    <x v="0"/>
    <x v="0"/>
    <x v="0"/>
    <n v="248"/>
    <n v="0"/>
    <n v="248"/>
    <x v="0"/>
    <x v="0"/>
    <x v="0"/>
    <n v="248"/>
    <n v="0"/>
    <n v="248"/>
    <x v="0"/>
    <x v="0"/>
    <x v="0"/>
    <x v="0"/>
    <x v="0"/>
  </r>
  <r>
    <x v="3"/>
    <x v="0"/>
    <x v="0"/>
    <x v="5"/>
    <x v="5"/>
    <x v="1"/>
    <x v="1"/>
    <n v="47189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0"/>
    <n v="0"/>
    <n v="450"/>
    <x v="0"/>
    <x v="0"/>
    <x v="0"/>
    <n v="450"/>
    <n v="0"/>
    <n v="450"/>
    <x v="0"/>
    <x v="0"/>
    <x v="0"/>
    <n v="450"/>
    <n v="0"/>
    <n v="450"/>
    <x v="0"/>
    <x v="0"/>
    <x v="0"/>
    <x v="0"/>
    <x v="0"/>
  </r>
  <r>
    <x v="3"/>
    <x v="0"/>
    <x v="0"/>
    <x v="5"/>
    <x v="5"/>
    <x v="1"/>
    <x v="1"/>
    <n v="47195"/>
    <s v="900386417"/>
    <s v="IDEMIA  COLOMBIA S.A.S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86417"/>
    <s v="IDEMIA 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982"/>
    <n v="0"/>
    <n v="5982"/>
    <x v="0"/>
    <x v="0"/>
    <x v="0"/>
    <n v="5982"/>
    <n v="0"/>
    <n v="5982"/>
    <x v="0"/>
    <x v="0"/>
    <x v="0"/>
    <n v="5982"/>
    <n v="0"/>
    <n v="5982"/>
    <x v="0"/>
    <x v="0"/>
    <x v="0"/>
    <x v="0"/>
    <x v="0"/>
  </r>
  <r>
    <x v="3"/>
    <x v="0"/>
    <x v="0"/>
    <x v="5"/>
    <x v="5"/>
    <x v="1"/>
    <x v="1"/>
    <n v="47212"/>
    <s v="900203566"/>
    <s v="ABASTECEMOS  DE OCCIDENTE S.A.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3"/>
    <x v="0"/>
    <x v="0"/>
    <x v="1"/>
    <x v="1"/>
    <x v="1"/>
    <x v="1"/>
    <n v="24718"/>
    <s v="900061516"/>
    <s v="MUEBLES JAMAR S.A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89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5"/>
    <x v="5"/>
    <x v="1"/>
    <x v="1"/>
    <n v="47234"/>
    <s v="890300012"/>
    <s v="COLPOZOS 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3"/>
    <x v="0"/>
    <x v="0"/>
    <x v="5"/>
    <x v="5"/>
    <x v="1"/>
    <x v="1"/>
    <n v="47237"/>
    <s v="817001528"/>
    <s v="PAVCO DE OCCIDENTE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3"/>
    <x v="0"/>
    <x v="0"/>
    <x v="0"/>
    <x v="0"/>
    <x v="0"/>
    <x v="0"/>
    <n v="4325"/>
    <s v="900338193"/>
    <s v="INSTITUTO DE BELLEZA STELLA DURAN KENNEDY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3"/>
    <s v="INSTITUTO DE BELLEZA STELLA DURAN KENNED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SCUENTO COMERCIAL PAGO CARTERA EN ABOGADO"/>
    <n v="302026"/>
    <n v="0"/>
    <n v="302026"/>
    <x v="0"/>
    <x v="0"/>
    <x v="0"/>
    <n v="302026"/>
    <n v="0"/>
    <n v="302026"/>
    <x v="0"/>
    <x v="0"/>
    <x v="0"/>
    <n v="302026"/>
    <n v="0"/>
    <n v="302026"/>
    <x v="0"/>
    <x v="0"/>
    <x v="0"/>
    <x v="0"/>
    <x v="0"/>
  </r>
  <r>
    <x v="3"/>
    <x v="0"/>
    <x v="0"/>
    <x v="5"/>
    <x v="5"/>
    <x v="1"/>
    <x v="1"/>
    <n v="47265"/>
    <s v="66766910"/>
    <s v="BOTERO TROCHEZ CELI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6766910"/>
    <s v="BOTERO TROCHEZ CE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89"/>
    <n v="0"/>
    <n v="989"/>
    <x v="0"/>
    <x v="0"/>
    <x v="0"/>
    <n v="989"/>
    <n v="0"/>
    <n v="989"/>
    <x v="0"/>
    <x v="0"/>
    <x v="0"/>
    <n v="989"/>
    <n v="0"/>
    <n v="989"/>
    <x v="0"/>
    <x v="0"/>
    <x v="0"/>
    <x v="0"/>
    <x v="0"/>
  </r>
  <r>
    <x v="3"/>
    <x v="0"/>
    <x v="0"/>
    <x v="5"/>
    <x v="5"/>
    <x v="1"/>
    <x v="1"/>
    <n v="47303"/>
    <s v="900825179"/>
    <s v="ELIZABETH TRULLAS  CIA S.A.S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88"/>
    <n v="0"/>
    <n v="488"/>
    <x v="0"/>
    <x v="0"/>
    <x v="0"/>
    <n v="488"/>
    <n v="0"/>
    <n v="488"/>
    <x v="0"/>
    <x v="0"/>
    <x v="0"/>
    <n v="488"/>
    <n v="0"/>
    <n v="488"/>
    <x v="0"/>
    <x v="0"/>
    <x v="0"/>
    <x v="0"/>
    <x v="0"/>
  </r>
  <r>
    <x v="3"/>
    <x v="0"/>
    <x v="0"/>
    <x v="5"/>
    <x v="5"/>
    <x v="1"/>
    <x v="1"/>
    <n v="47304"/>
    <s v="890311006"/>
    <s v="FONDO DE EMPLEADOS DE LAS EMP.MPALES DE CALI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70"/>
    <n v="0"/>
    <n v="470"/>
    <x v="0"/>
    <x v="0"/>
    <x v="0"/>
    <n v="470"/>
    <n v="0"/>
    <n v="470"/>
    <x v="0"/>
    <x v="0"/>
    <x v="0"/>
    <n v="470"/>
    <n v="0"/>
    <n v="470"/>
    <x v="0"/>
    <x v="0"/>
    <x v="0"/>
    <x v="0"/>
    <x v="0"/>
  </r>
  <r>
    <x v="3"/>
    <x v="0"/>
    <x v="0"/>
    <x v="5"/>
    <x v="5"/>
    <x v="1"/>
    <x v="1"/>
    <n v="47309"/>
    <s v="900569801"/>
    <s v="MARGARITA PEÑA S.A.S.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3"/>
    <x v="0"/>
    <x v="0"/>
    <x v="5"/>
    <x v="5"/>
    <x v="1"/>
    <x v="1"/>
    <n v="47332"/>
    <s v="25453752"/>
    <s v="GUEVARA PILLIMUE NANCY LOREN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25453752"/>
    <s v="GUEVARA PILLIMUE NANCY LORE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17"/>
    <n v="0"/>
    <n v="517"/>
    <x v="0"/>
    <x v="0"/>
    <x v="0"/>
    <n v="517"/>
    <n v="0"/>
    <n v="517"/>
    <x v="0"/>
    <x v="0"/>
    <x v="0"/>
    <n v="517"/>
    <n v="0"/>
    <n v="517"/>
    <x v="0"/>
    <x v="0"/>
    <x v="0"/>
    <x v="0"/>
    <x v="0"/>
  </r>
  <r>
    <x v="3"/>
    <x v="0"/>
    <x v="0"/>
    <x v="5"/>
    <x v="5"/>
    <x v="1"/>
    <x v="1"/>
    <n v="47410"/>
    <s v="805019647"/>
    <s v="TECNELEC COMUNICACIONES S.A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0"/>
    <n v="0"/>
    <n v="490"/>
    <x v="0"/>
    <x v="0"/>
    <x v="0"/>
    <n v="490"/>
    <n v="0"/>
    <n v="490"/>
    <x v="0"/>
    <x v="0"/>
    <x v="0"/>
    <n v="490"/>
    <n v="0"/>
    <n v="490"/>
    <x v="0"/>
    <x v="0"/>
    <x v="0"/>
    <x v="0"/>
    <x v="0"/>
  </r>
  <r>
    <x v="3"/>
    <x v="0"/>
    <x v="0"/>
    <x v="0"/>
    <x v="0"/>
    <x v="1"/>
    <x v="1"/>
    <n v="2430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2915"/>
    <n v="0"/>
    <n v="2915"/>
    <x v="0"/>
    <x v="0"/>
    <x v="0"/>
    <n v="2915"/>
    <n v="0"/>
    <n v="2915"/>
    <x v="0"/>
    <x v="0"/>
    <x v="0"/>
    <n v="2915"/>
    <n v="0"/>
    <n v="2915"/>
    <x v="0"/>
    <x v="0"/>
    <x v="0"/>
    <x v="0"/>
    <x v="0"/>
  </r>
  <r>
    <x v="3"/>
    <x v="0"/>
    <x v="0"/>
    <x v="0"/>
    <x v="0"/>
    <x v="1"/>
    <x v="1"/>
    <n v="2431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3503"/>
    <n v="0"/>
    <n v="3503"/>
    <x v="0"/>
    <x v="0"/>
    <x v="0"/>
    <n v="3503"/>
    <n v="0"/>
    <n v="3503"/>
    <x v="0"/>
    <x v="0"/>
    <x v="0"/>
    <n v="3503"/>
    <n v="0"/>
    <n v="3503"/>
    <x v="0"/>
    <x v="0"/>
    <x v="0"/>
    <x v="0"/>
    <x v="0"/>
  </r>
  <r>
    <x v="4"/>
    <x v="0"/>
    <x v="0"/>
    <x v="5"/>
    <x v="5"/>
    <x v="9"/>
    <x v="9"/>
    <n v="1365"/>
    <s v="805014618"/>
    <s v="MEDITRAUMA S.A.S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4618"/>
    <s v="MEDITRAUM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4"/>
    <x v="0"/>
    <x v="0"/>
    <x v="2"/>
    <x v="2"/>
    <x v="9"/>
    <x v="9"/>
    <n v="1628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44345"/>
    <n v="0"/>
    <n v="144345"/>
    <x v="0"/>
    <x v="0"/>
    <x v="0"/>
    <n v="144345"/>
    <n v="0"/>
    <n v="144345"/>
    <x v="0"/>
    <x v="0"/>
    <x v="0"/>
    <n v="144345"/>
    <n v="0"/>
    <n v="144345"/>
    <x v="0"/>
    <x v="0"/>
    <x v="0"/>
    <x v="0"/>
    <x v="0"/>
  </r>
  <r>
    <x v="4"/>
    <x v="0"/>
    <x v="0"/>
    <x v="2"/>
    <x v="2"/>
    <x v="9"/>
    <x v="9"/>
    <n v="1629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78241"/>
    <n v="0"/>
    <n v="178241"/>
    <x v="0"/>
    <x v="0"/>
    <x v="0"/>
    <n v="178241"/>
    <n v="0"/>
    <n v="178241"/>
    <x v="0"/>
    <x v="0"/>
    <x v="0"/>
    <n v="178241"/>
    <n v="0"/>
    <n v="178241"/>
    <x v="0"/>
    <x v="0"/>
    <x v="0"/>
    <x v="0"/>
    <x v="0"/>
  </r>
  <r>
    <x v="4"/>
    <x v="0"/>
    <x v="0"/>
    <x v="5"/>
    <x v="5"/>
    <x v="1"/>
    <x v="1"/>
    <n v="47565"/>
    <s v="890300012"/>
    <s v="COLPOZOS 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72"/>
    <n v="0"/>
    <n v="2972"/>
    <x v="0"/>
    <x v="0"/>
    <x v="0"/>
    <n v="2972"/>
    <n v="0"/>
    <n v="2972"/>
    <x v="0"/>
    <x v="0"/>
    <x v="0"/>
    <n v="2972"/>
    <n v="0"/>
    <n v="2972"/>
    <x v="0"/>
    <x v="0"/>
    <x v="0"/>
    <x v="0"/>
    <x v="0"/>
  </r>
  <r>
    <x v="4"/>
    <x v="0"/>
    <x v="0"/>
    <x v="5"/>
    <x v="5"/>
    <x v="1"/>
    <x v="1"/>
    <n v="47568"/>
    <s v="817001528"/>
    <s v="PAVCO DE OCCIDENTE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4"/>
    <x v="0"/>
    <x v="0"/>
    <x v="5"/>
    <x v="5"/>
    <x v="1"/>
    <x v="1"/>
    <n v="47574"/>
    <s v="800254270"/>
    <s v="SOLVAY PEROXIDOS DE COLOMBIA SASA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68"/>
    <n v="0"/>
    <n v="7068"/>
    <x v="0"/>
    <x v="0"/>
    <x v="0"/>
    <n v="7068"/>
    <n v="0"/>
    <n v="7068"/>
    <x v="0"/>
    <x v="0"/>
    <x v="0"/>
    <n v="7068"/>
    <n v="0"/>
    <n v="7068"/>
    <x v="0"/>
    <x v="0"/>
    <x v="0"/>
    <x v="0"/>
    <x v="0"/>
  </r>
  <r>
    <x v="4"/>
    <x v="0"/>
    <x v="0"/>
    <x v="6"/>
    <x v="6"/>
    <x v="9"/>
    <x v="9"/>
    <n v="1164"/>
    <s v="10095715"/>
    <s v="RUIZ VALLEJO CARLOS ARTURO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10095715"/>
    <s v="RUIZ VALLEJO CARLOS ARTU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67694 DESCUENTO POR PAGO ANUAL ANTICIPADO $116.773"/>
    <n v="116773"/>
    <n v="0"/>
    <n v="116773"/>
    <x v="0"/>
    <x v="0"/>
    <x v="0"/>
    <n v="116773"/>
    <n v="0"/>
    <n v="116773"/>
    <x v="0"/>
    <x v="0"/>
    <x v="0"/>
    <n v="116773"/>
    <n v="0"/>
    <n v="116773"/>
    <x v="0"/>
    <x v="0"/>
    <x v="0"/>
    <x v="0"/>
    <x v="0"/>
  </r>
  <r>
    <x v="4"/>
    <x v="0"/>
    <x v="0"/>
    <x v="5"/>
    <x v="5"/>
    <x v="1"/>
    <x v="1"/>
    <n v="47596"/>
    <s v="900825179"/>
    <s v="ELIZABETH TRULLAS  CIA S.A.S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4"/>
    <x v="0"/>
    <x v="0"/>
    <x v="5"/>
    <x v="5"/>
    <x v="1"/>
    <x v="1"/>
    <n v="47597"/>
    <s v="890318490"/>
    <s v="FERRETERIA TUBERIAS S.A.S.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4"/>
    <x v="0"/>
    <x v="0"/>
    <x v="5"/>
    <x v="5"/>
    <x v="1"/>
    <x v="1"/>
    <n v="47610"/>
    <s v="800048954"/>
    <s v="CLINICA VERSALLES S.A."/>
    <s v="201908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22"/>
    <n v="0"/>
    <n v="2422"/>
    <x v="0"/>
    <x v="0"/>
    <x v="0"/>
    <n v="2422"/>
    <n v="0"/>
    <n v="2422"/>
    <x v="0"/>
    <x v="0"/>
    <x v="0"/>
    <n v="2422"/>
    <n v="0"/>
    <n v="2422"/>
    <x v="0"/>
    <x v="0"/>
    <x v="0"/>
    <x v="0"/>
    <x v="0"/>
  </r>
  <r>
    <x v="4"/>
    <x v="0"/>
    <x v="0"/>
    <x v="2"/>
    <x v="2"/>
    <x v="9"/>
    <x v="9"/>
    <n v="1642"/>
    <s v="860510431"/>
    <s v="ALVARO VELEZ Y CIA S.A.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344  RTE ICA $5.118_x000d__x000a_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4"/>
    <x v="0"/>
    <x v="0"/>
    <x v="2"/>
    <x v="2"/>
    <x v="9"/>
    <x v="9"/>
    <n v="1643"/>
    <s v="901105607"/>
    <s v="COMPARTIMIENTO ALPE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105607"/>
    <s v="COMPARTIMIENTO ALP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$405.621  -  CLIENTE CANCELA &gt;VALOR Y SOLICITA LA DEVOLUCION DE $405.621"/>
    <n v="405621"/>
    <n v="0"/>
    <n v="405621"/>
    <x v="0"/>
    <x v="0"/>
    <x v="0"/>
    <n v="405621"/>
    <n v="0"/>
    <n v="405621"/>
    <x v="0"/>
    <x v="0"/>
    <x v="0"/>
    <n v="405621"/>
    <n v="0"/>
    <n v="405621"/>
    <x v="0"/>
    <x v="0"/>
    <x v="0"/>
    <x v="0"/>
    <x v="0"/>
  </r>
  <r>
    <x v="4"/>
    <x v="0"/>
    <x v="0"/>
    <x v="5"/>
    <x v="5"/>
    <x v="1"/>
    <x v="1"/>
    <n v="47649"/>
    <s v="800048954"/>
    <s v="CLINICA VERSALLES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6234"/>
    <n v="0"/>
    <n v="16234"/>
    <x v="0"/>
    <x v="0"/>
    <x v="0"/>
    <n v="16234"/>
    <n v="0"/>
    <n v="16234"/>
    <x v="0"/>
    <x v="0"/>
    <x v="0"/>
    <n v="16234"/>
    <n v="0"/>
    <n v="16234"/>
    <x v="0"/>
    <x v="0"/>
    <x v="0"/>
    <x v="0"/>
    <x v="0"/>
  </r>
  <r>
    <x v="4"/>
    <x v="0"/>
    <x v="0"/>
    <x v="5"/>
    <x v="5"/>
    <x v="1"/>
    <x v="1"/>
    <n v="47653"/>
    <s v="900203566"/>
    <s v="ABASTECEMOS  DE OCCIDENTE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4"/>
    <x v="0"/>
    <x v="0"/>
    <x v="0"/>
    <x v="0"/>
    <x v="0"/>
    <x v="0"/>
    <n v="4349"/>
    <s v="43038708"/>
    <s v="ARROYAVE ESTRADA RUTH GLADIS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384115"/>
    <s v="CENTRO DE ESTETICA BERTHY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214"/>
    <n v="0"/>
    <n v="214"/>
    <x v="0"/>
    <x v="0"/>
    <x v="0"/>
    <n v="214"/>
    <n v="0"/>
    <n v="214"/>
    <x v="0"/>
    <x v="0"/>
    <x v="0"/>
    <n v="214"/>
    <n v="0"/>
    <n v="214"/>
    <x v="0"/>
    <x v="0"/>
    <x v="0"/>
    <x v="0"/>
    <x v="0"/>
  </r>
  <r>
    <x v="4"/>
    <x v="0"/>
    <x v="0"/>
    <x v="5"/>
    <x v="5"/>
    <x v="1"/>
    <x v="1"/>
    <n v="47667"/>
    <s v="860046201"/>
    <s v="FORTOX S.A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9"/>
    <x v="9"/>
    <n v="1373"/>
    <s v="805011901"/>
    <s v="LASKIN S.A.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241.980"/>
    <n v="241980"/>
    <n v="0"/>
    <n v="241980"/>
    <x v="0"/>
    <x v="0"/>
    <x v="0"/>
    <n v="241980"/>
    <n v="0"/>
    <n v="241980"/>
    <x v="0"/>
    <x v="0"/>
    <x v="0"/>
    <n v="241980"/>
    <n v="0"/>
    <n v="241980"/>
    <x v="0"/>
    <x v="0"/>
    <x v="0"/>
    <x v="0"/>
    <x v="0"/>
  </r>
  <r>
    <x v="4"/>
    <x v="0"/>
    <x v="0"/>
    <x v="1"/>
    <x v="1"/>
    <x v="1"/>
    <x v="1"/>
    <n v="24946"/>
    <s v="901166073"/>
    <s v="CENTRO COMERCIAL NUESTRO MONTERIA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2"/>
    <x v="2"/>
    <x v="9"/>
    <x v="9"/>
    <n v="1647"/>
    <s v="900246492"/>
    <s v="INDUSTRIA DE ALUMINIO DE COLOMBIA SAS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46492"/>
    <s v="INDUSTRIA DE ALUMINIO DE COLOMBI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175.220 POR PAGO AÑO ANTICIPADO Y $ 22.586 DE RET/ICA"/>
    <n v="175220"/>
    <n v="0"/>
    <n v="175220"/>
    <x v="0"/>
    <x v="0"/>
    <x v="0"/>
    <n v="175220"/>
    <n v="0"/>
    <n v="175220"/>
    <x v="0"/>
    <x v="0"/>
    <x v="0"/>
    <n v="175220"/>
    <n v="0"/>
    <n v="175220"/>
    <x v="0"/>
    <x v="0"/>
    <x v="0"/>
    <x v="0"/>
    <x v="0"/>
  </r>
  <r>
    <x v="4"/>
    <x v="0"/>
    <x v="0"/>
    <x v="1"/>
    <x v="1"/>
    <x v="9"/>
    <x v="9"/>
    <n v="384"/>
    <s v="802005031"/>
    <s v="COLEGIO DISTRITAL MARIA INMACULADA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05031"/>
    <s v="COLEGIO DISTRITAL MARIA INMACUL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800_x000d__x000a_APLICA RETEIVA  $334.347_x000d__x000a_APLICA RETEICA  $112.62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0"/>
    <x v="0"/>
    <n v="4350"/>
    <s v="J293759889"/>
    <s v="MUSICAR DE VENEZUELA,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VENTA MEMORIAS FVO - 839"/>
    <n v="79124"/>
    <n v="0"/>
    <n v="79124"/>
    <x v="0"/>
    <x v="0"/>
    <x v="0"/>
    <n v="79124"/>
    <n v="0"/>
    <n v="79124"/>
    <x v="0"/>
    <x v="0"/>
    <x v="0"/>
    <n v="79124"/>
    <n v="0"/>
    <n v="79124"/>
    <x v="0"/>
    <x v="0"/>
    <x v="0"/>
    <x v="0"/>
    <x v="0"/>
  </r>
  <r>
    <x v="4"/>
    <x v="0"/>
    <x v="0"/>
    <x v="5"/>
    <x v="5"/>
    <x v="1"/>
    <x v="1"/>
    <n v="47688"/>
    <s v="805009741"/>
    <s v="COOMEVA MEDICINA PREPAGADA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444,277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2"/>
    <x v="2"/>
    <x v="1"/>
    <x v="1"/>
    <n v="63967"/>
    <s v="860521035"/>
    <s v="ACRECER TEMPORAL S.A.S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2"/>
    <x v="0"/>
    <x v="0"/>
    <x v="3"/>
    <x v="3"/>
    <x v="1"/>
    <x v="1"/>
    <n v="37991"/>
    <s v="900163527"/>
    <s v="CENTRO COMERCIAL SAN NICOLAS PROPIEDAD HORIZONTAL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648_x000d__x000a_CLIENTE SE APLICA DESCUENTO COMERCIAL DE 9% YA SE LE EXPLICO QUE ESTE PORCENTAJE CORREPONDE A ANUALIDAD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3"/>
    <x v="0"/>
    <x v="0"/>
    <x v="3"/>
    <x v="3"/>
    <x v="1"/>
    <x v="1"/>
    <n v="38068"/>
    <s v="800036229"/>
    <s v="CLINICA OFTALMOLOGICA LAURELES S.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36229"/>
    <s v="CLINICA OFTALMOLOGICA LAURE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188"/>
    <n v="3841"/>
    <n v="0"/>
    <n v="3841"/>
    <x v="0"/>
    <x v="0"/>
    <x v="0"/>
    <n v="3841"/>
    <n v="0"/>
    <n v="3841"/>
    <x v="0"/>
    <x v="0"/>
    <x v="0"/>
    <n v="3841"/>
    <n v="0"/>
    <n v="3841"/>
    <x v="0"/>
    <x v="0"/>
    <x v="0"/>
    <x v="0"/>
    <x v="0"/>
  </r>
  <r>
    <x v="3"/>
    <x v="0"/>
    <x v="0"/>
    <x v="2"/>
    <x v="2"/>
    <x v="9"/>
    <x v="9"/>
    <n v="1605"/>
    <s v="900534711"/>
    <s v="TITAN PLAZA CENTRO COMERCIAL Y EMPRESARIAL P.H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534711"/>
    <s v="TITAN PLAZA CENTRO COMERCIAL Y EMPRESARIAL P.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68.594 por pago de semestre anticipado y $8.421 por rte/ica"/>
    <n v="68594"/>
    <n v="0"/>
    <n v="68594"/>
    <x v="0"/>
    <x v="0"/>
    <x v="0"/>
    <n v="68594"/>
    <n v="0"/>
    <n v="68594"/>
    <x v="0"/>
    <x v="0"/>
    <x v="0"/>
    <n v="68594"/>
    <n v="0"/>
    <n v="68594"/>
    <x v="0"/>
    <x v="0"/>
    <x v="0"/>
    <x v="0"/>
    <x v="0"/>
  </r>
  <r>
    <x v="3"/>
    <x v="0"/>
    <x v="0"/>
    <x v="2"/>
    <x v="2"/>
    <x v="9"/>
    <x v="9"/>
    <n v="1607"/>
    <s v="822005628"/>
    <s v="C Y H AGENCIA PROMOTORA DE SEGURO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22005628"/>
    <s v="C Y H AGENCIA PROMOTORA DE SEGUR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$ 95.605"/>
    <n v="95605"/>
    <n v="0"/>
    <n v="95605"/>
    <x v="0"/>
    <x v="0"/>
    <x v="0"/>
    <n v="95605"/>
    <n v="0"/>
    <n v="95605"/>
    <x v="0"/>
    <x v="0"/>
    <x v="0"/>
    <n v="95605"/>
    <n v="0"/>
    <n v="95605"/>
    <x v="0"/>
    <x v="0"/>
    <x v="0"/>
    <x v="0"/>
    <x v="0"/>
  </r>
  <r>
    <x v="3"/>
    <x v="0"/>
    <x v="0"/>
    <x v="4"/>
    <x v="4"/>
    <x v="9"/>
    <x v="9"/>
    <n v="243"/>
    <s v="804014440"/>
    <s v="FONDO DE EMPLEADOS PARA EL DESARROLLO SOCIAL FONDE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14440"/>
    <s v="FONDO DE EMPLEADOS PARA EL DESARROLLO SOCIAL FOND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5968.  DESCUENTO 9% POR PAGO AÑO ANTICIPADO."/>
    <n v="250282"/>
    <n v="0"/>
    <n v="250282"/>
    <x v="0"/>
    <x v="0"/>
    <x v="0"/>
    <n v="250282"/>
    <n v="0"/>
    <n v="250282"/>
    <x v="0"/>
    <x v="0"/>
    <x v="0"/>
    <n v="250282"/>
    <n v="0"/>
    <n v="250282"/>
    <x v="0"/>
    <x v="0"/>
    <x v="0"/>
    <x v="0"/>
    <x v="0"/>
  </r>
  <r>
    <x v="3"/>
    <x v="0"/>
    <x v="0"/>
    <x v="3"/>
    <x v="3"/>
    <x v="1"/>
    <x v="1"/>
    <n v="38092"/>
    <s v="811028725"/>
    <s v="DISTRIMEDICAL S.A.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207_x000d__x000a_RETEICA POR $ 8.832_x000d__x000a_DCTO COMERCIAL POR PRONTO PAGO $ 49.682"/>
    <n v="49682"/>
    <n v="0"/>
    <n v="49682"/>
    <x v="0"/>
    <x v="0"/>
    <x v="0"/>
    <n v="49682"/>
    <n v="0"/>
    <n v="49682"/>
    <x v="0"/>
    <x v="0"/>
    <x v="0"/>
    <n v="49682"/>
    <n v="0"/>
    <n v="49682"/>
    <x v="0"/>
    <x v="0"/>
    <x v="0"/>
    <x v="0"/>
    <x v="0"/>
  </r>
  <r>
    <x v="3"/>
    <x v="0"/>
    <x v="0"/>
    <x v="1"/>
    <x v="1"/>
    <x v="1"/>
    <x v="1"/>
    <n v="24785"/>
    <s v="802010909"/>
    <s v="INVERSIONES WONGFOEN S.A.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25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4"/>
    <x v="0"/>
    <x v="0"/>
    <x v="5"/>
    <x v="5"/>
    <x v="1"/>
    <x v="1"/>
    <n v="47457"/>
    <s v="805019647"/>
    <s v="TECNELEC COMUNICACIONES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5"/>
    <n v="0"/>
    <n v="245"/>
    <x v="0"/>
    <x v="0"/>
    <x v="0"/>
    <n v="245"/>
    <n v="0"/>
    <n v="245"/>
    <x v="0"/>
    <x v="0"/>
    <x v="0"/>
    <n v="245"/>
    <n v="0"/>
    <n v="245"/>
    <x v="0"/>
    <x v="0"/>
    <x v="0"/>
    <x v="0"/>
    <x v="0"/>
  </r>
  <r>
    <x v="4"/>
    <x v="0"/>
    <x v="0"/>
    <x v="5"/>
    <x v="5"/>
    <x v="1"/>
    <x v="1"/>
    <n v="47472"/>
    <s v="860046201"/>
    <s v="FORTOX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1"/>
    <x v="1"/>
    <n v="47474"/>
    <s v="650187917"/>
    <s v="FREI  HEINRICH ERNEST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0"/>
    <n v="0"/>
    <n v="990"/>
    <x v="0"/>
    <x v="0"/>
    <x v="0"/>
    <n v="990"/>
    <n v="0"/>
    <n v="990"/>
    <x v="0"/>
    <x v="0"/>
    <x v="0"/>
    <n v="990"/>
    <n v="0"/>
    <n v="990"/>
    <x v="0"/>
    <x v="0"/>
    <x v="0"/>
    <x v="0"/>
    <x v="0"/>
  </r>
  <r>
    <x v="4"/>
    <x v="0"/>
    <x v="0"/>
    <x v="5"/>
    <x v="5"/>
    <x v="9"/>
    <x v="9"/>
    <n v="1361"/>
    <s v="890308111"/>
    <s v="EL MOLINO-EDUARDO MOLINARI PALACIN &amp; CIA S.EN.C.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9% $106.293"/>
    <n v="106293"/>
    <n v="0"/>
    <n v="106293"/>
    <x v="0"/>
    <x v="0"/>
    <x v="0"/>
    <n v="106293"/>
    <n v="0"/>
    <n v="106293"/>
    <x v="0"/>
    <x v="0"/>
    <x v="0"/>
    <n v="106293"/>
    <n v="0"/>
    <n v="106293"/>
    <x v="0"/>
    <x v="0"/>
    <x v="0"/>
    <x v="0"/>
    <x v="0"/>
  </r>
  <r>
    <x v="4"/>
    <x v="0"/>
    <x v="0"/>
    <x v="5"/>
    <x v="5"/>
    <x v="1"/>
    <x v="1"/>
    <n v="47486"/>
    <s v="805019647"/>
    <s v="TECNELEC COMUNICACIONES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6"/>
    <n v="0"/>
    <n v="496"/>
    <x v="0"/>
    <x v="0"/>
    <x v="0"/>
    <n v="496"/>
    <n v="0"/>
    <n v="496"/>
    <x v="0"/>
    <x v="0"/>
    <x v="0"/>
    <n v="496"/>
    <n v="0"/>
    <n v="496"/>
    <x v="0"/>
    <x v="0"/>
    <x v="0"/>
    <x v="0"/>
    <x v="0"/>
  </r>
  <r>
    <x v="4"/>
    <x v="0"/>
    <x v="0"/>
    <x v="5"/>
    <x v="5"/>
    <x v="1"/>
    <x v="1"/>
    <n v="47487"/>
    <s v="900909617"/>
    <s v="HOTELES H.V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909617"/>
    <s v="HOTELES H.V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33"/>
    <n v="0"/>
    <n v="633"/>
    <x v="0"/>
    <x v="0"/>
    <x v="0"/>
    <n v="633"/>
    <n v="0"/>
    <n v="633"/>
    <x v="0"/>
    <x v="0"/>
    <x v="0"/>
    <n v="633"/>
    <n v="0"/>
    <n v="633"/>
    <x v="0"/>
    <x v="0"/>
    <x v="0"/>
    <x v="0"/>
    <x v="0"/>
  </r>
  <r>
    <x v="4"/>
    <x v="0"/>
    <x v="0"/>
    <x v="3"/>
    <x v="3"/>
    <x v="1"/>
    <x v="1"/>
    <n v="38223"/>
    <s v="890904222"/>
    <s v="VIAJES PALOMARES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4222"/>
    <s v="VIAJES PALOMARE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8125_x000d__x000a_APLICA DCTO 9% POR PAGO ANUELA ANTICIPADO"/>
    <n v="126958"/>
    <n v="0"/>
    <n v="126958"/>
    <x v="0"/>
    <x v="0"/>
    <x v="0"/>
    <n v="126958"/>
    <n v="0"/>
    <n v="126958"/>
    <x v="0"/>
    <x v="0"/>
    <x v="0"/>
    <n v="126958"/>
    <n v="0"/>
    <n v="126958"/>
    <x v="0"/>
    <x v="0"/>
    <x v="0"/>
    <x v="0"/>
    <x v="0"/>
  </r>
  <r>
    <x v="4"/>
    <x v="0"/>
    <x v="0"/>
    <x v="1"/>
    <x v="1"/>
    <x v="1"/>
    <x v="1"/>
    <n v="24855"/>
    <s v="806012958"/>
    <s v="IPS SALUD DEL CARIBE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611 - FVA-366624 - FVA-366630 - FVA-36663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4"/>
    <x v="0"/>
    <x v="0"/>
    <x v="1"/>
    <x v="1"/>
    <x v="1"/>
    <x v="1"/>
    <n v="24859"/>
    <s v="890102508"/>
    <s v="SALES INMOBILIARIA S.A.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800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4"/>
    <x v="4"/>
    <x v="1"/>
    <x v="1"/>
    <n v="20950"/>
    <s v="890200050"/>
    <s v="ARDISA S.A.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0050"/>
    <s v="ARDI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3678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5"/>
    <x v="5"/>
    <x v="1"/>
    <x v="1"/>
    <n v="47507"/>
    <s v="1509246"/>
    <s v="MORALES SANTACRUZ JESUS ANTONIO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4"/>
    <x v="0"/>
    <x v="0"/>
    <x v="5"/>
    <x v="5"/>
    <x v="1"/>
    <x v="1"/>
    <n v="47512"/>
    <s v="890311006"/>
    <s v="FONDO DE EMPLEADOS DE LAS EMP.M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5"/>
    <x v="5"/>
    <x v="9"/>
    <x v="9"/>
    <n v="1364"/>
    <s v="890301278"/>
    <s v="COOPERATIVA DE TRABAJADORES  EMPRESAS  MUNICI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1278"/>
    <s v="COOPERATIVA DE TRABAJADORES  EMPRESAS  MUNICI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CTO 9% OK $140.832"/>
    <n v="140832"/>
    <n v="0"/>
    <n v="140832"/>
    <x v="0"/>
    <x v="0"/>
    <x v="0"/>
    <n v="140832"/>
    <n v="0"/>
    <n v="140832"/>
    <x v="0"/>
    <x v="0"/>
    <x v="0"/>
    <n v="140832"/>
    <n v="0"/>
    <n v="140832"/>
    <x v="0"/>
    <x v="0"/>
    <x v="0"/>
    <x v="0"/>
    <x v="0"/>
  </r>
  <r>
    <x v="4"/>
    <x v="0"/>
    <x v="0"/>
    <x v="2"/>
    <x v="2"/>
    <x v="9"/>
    <x v="9"/>
    <n v="1631"/>
    <s v="860069284"/>
    <s v="AGROCAMPO S.A."/>
    <s v="201908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69284"/>
    <s v="AGROCAMP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."/>
    <n v="542165"/>
    <n v="0"/>
    <n v="542165"/>
    <x v="0"/>
    <x v="0"/>
    <x v="0"/>
    <n v="542165"/>
    <n v="0"/>
    <n v="542165"/>
    <x v="0"/>
    <x v="0"/>
    <x v="0"/>
    <n v="542165"/>
    <n v="0"/>
    <n v="542165"/>
    <x v="0"/>
    <x v="0"/>
    <x v="0"/>
    <x v="0"/>
    <x v="0"/>
  </r>
  <r>
    <x v="4"/>
    <x v="0"/>
    <x v="0"/>
    <x v="5"/>
    <x v="5"/>
    <x v="1"/>
    <x v="1"/>
    <n v="47630"/>
    <s v="900008839"/>
    <s v="CENTROS COMERCIALES DEL CAFE S.A.S.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08839"/>
    <s v="CENTROS COMERCIALES DEL CAFE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19"/>
    <n v="0"/>
    <n v="10519"/>
    <x v="0"/>
    <x v="0"/>
    <x v="0"/>
    <n v="10519"/>
    <n v="0"/>
    <n v="10519"/>
    <x v="0"/>
    <x v="0"/>
    <x v="0"/>
    <n v="10519"/>
    <n v="0"/>
    <n v="10519"/>
    <x v="0"/>
    <x v="0"/>
    <x v="0"/>
    <x v="0"/>
    <x v="0"/>
  </r>
  <r>
    <x v="4"/>
    <x v="0"/>
    <x v="0"/>
    <x v="5"/>
    <x v="5"/>
    <x v="9"/>
    <x v="9"/>
    <n v="1372"/>
    <s v="900035068"/>
    <s v="LAMINAS Y CORTES INDUSTRIALES S.A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35068"/>
    <s v="LAMINAS Y CORTES INDUST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107.021"/>
    <n v="107021"/>
    <n v="0"/>
    <n v="107021"/>
    <x v="0"/>
    <x v="0"/>
    <x v="0"/>
    <n v="107021"/>
    <n v="0"/>
    <n v="107021"/>
    <x v="0"/>
    <x v="0"/>
    <x v="0"/>
    <n v="107021"/>
    <n v="0"/>
    <n v="107021"/>
    <x v="0"/>
    <x v="0"/>
    <x v="0"/>
    <x v="0"/>
    <x v="0"/>
  </r>
  <r>
    <x v="4"/>
    <x v="0"/>
    <x v="0"/>
    <x v="1"/>
    <x v="1"/>
    <x v="1"/>
    <x v="1"/>
    <n v="24928"/>
    <s v="802016306"/>
    <s v="EXPOCONSTRUCCION 43 Y CIA LTD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10 - FVA-367969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1"/>
    <x v="1"/>
    <x v="1"/>
    <x v="1"/>
    <n v="24941"/>
    <s v="32757237"/>
    <s v="MEDINA OLIVEROS FARATH DIV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0"/>
    <n v="442"/>
    <n v="0"/>
    <n v="442"/>
    <x v="0"/>
    <x v="0"/>
    <x v="0"/>
    <n v="442"/>
    <n v="0"/>
    <n v="442"/>
    <x v="0"/>
    <x v="0"/>
    <x v="0"/>
    <n v="442"/>
    <n v="0"/>
    <n v="442"/>
    <x v="0"/>
    <x v="0"/>
    <x v="0"/>
    <x v="0"/>
    <x v="0"/>
  </r>
  <r>
    <x v="3"/>
    <x v="0"/>
    <x v="0"/>
    <x v="5"/>
    <x v="5"/>
    <x v="9"/>
    <x v="9"/>
    <n v="1343"/>
    <s v="805011901"/>
    <s v="LASKIN S.A."/>
    <s v="201907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DO, DESCUENTO 9% %1.547.813"/>
    <n v="1547813"/>
    <n v="0"/>
    <n v="1547813"/>
    <x v="0"/>
    <x v="0"/>
    <x v="0"/>
    <n v="1547813"/>
    <n v="0"/>
    <n v="1547813"/>
    <x v="0"/>
    <x v="0"/>
    <x v="0"/>
    <n v="1547813"/>
    <n v="0"/>
    <n v="1547813"/>
    <x v="0"/>
    <x v="0"/>
    <x v="0"/>
    <x v="0"/>
    <x v="0"/>
  </r>
  <r>
    <x v="3"/>
    <x v="0"/>
    <x v="0"/>
    <x v="5"/>
    <x v="5"/>
    <x v="1"/>
    <x v="1"/>
    <n v="47386"/>
    <s v="1509246"/>
    <s v="MORALES SANTACRUZ JESUS ANTONIO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3"/>
    <x v="0"/>
    <x v="0"/>
    <x v="5"/>
    <x v="5"/>
    <x v="1"/>
    <x v="1"/>
    <n v="47387"/>
    <s v="890318490"/>
    <s v="FERRETERIA TUBERIAS S.A.S.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3"/>
    <x v="0"/>
    <x v="0"/>
    <x v="5"/>
    <x v="5"/>
    <x v="1"/>
    <x v="1"/>
    <n v="47401"/>
    <s v="860037900"/>
    <s v="CONSTRUCTORA  BOLIVAR  CALI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9677"/>
    <n v="0"/>
    <n v="9677"/>
    <x v="0"/>
    <x v="0"/>
    <x v="0"/>
    <n v="9677"/>
    <n v="0"/>
    <n v="9677"/>
    <x v="0"/>
    <x v="0"/>
    <x v="0"/>
    <n v="9677"/>
    <n v="0"/>
    <n v="9677"/>
    <x v="0"/>
    <x v="0"/>
    <x v="0"/>
    <x v="0"/>
    <x v="0"/>
  </r>
  <r>
    <x v="4"/>
    <x v="0"/>
    <x v="0"/>
    <x v="5"/>
    <x v="5"/>
    <x v="1"/>
    <x v="1"/>
    <n v="47702"/>
    <s v="860037900"/>
    <s v="CONSTRUCTORA  BOLIVAR  CALI S.A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91"/>
    <n v="0"/>
    <n v="6191"/>
    <x v="0"/>
    <x v="0"/>
    <x v="0"/>
    <n v="6191"/>
    <n v="0"/>
    <n v="6191"/>
    <x v="0"/>
    <x v="0"/>
    <x v="0"/>
    <n v="6191"/>
    <n v="0"/>
    <n v="6191"/>
    <x v="0"/>
    <x v="0"/>
    <x v="0"/>
    <x v="0"/>
    <x v="0"/>
  </r>
  <r>
    <x v="2"/>
    <x v="0"/>
    <x v="0"/>
    <x v="5"/>
    <x v="5"/>
    <x v="1"/>
    <x v="1"/>
    <n v="47109"/>
    <s v="900077291"/>
    <s v="INVERSIONES BENAVIDES SOLARTE SCS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7112"/>
    <s v="800254270"/>
    <s v="SOLVAY PEROXIDOS DE COLOMBIA SAS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2608, REPORTA CLIENTE."/>
    <n v="1440"/>
    <n v="0"/>
    <n v="1440"/>
    <x v="0"/>
    <x v="0"/>
    <x v="0"/>
    <n v="1440"/>
    <n v="0"/>
    <n v="1440"/>
    <x v="0"/>
    <x v="0"/>
    <x v="0"/>
    <n v="1440"/>
    <n v="0"/>
    <n v="1440"/>
    <x v="0"/>
    <x v="0"/>
    <x v="0"/>
    <x v="0"/>
    <x v="0"/>
  </r>
  <r>
    <x v="3"/>
    <x v="0"/>
    <x v="0"/>
    <x v="5"/>
    <x v="5"/>
    <x v="1"/>
    <x v="1"/>
    <n v="47222"/>
    <s v="800054863"/>
    <s v="HEMISFERIO TOURS Y CIA LTD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363"/>
    <n v="0"/>
    <n v="7363"/>
    <x v="0"/>
    <x v="0"/>
    <x v="0"/>
    <n v="7363"/>
    <n v="0"/>
    <n v="7363"/>
    <x v="0"/>
    <x v="0"/>
    <x v="0"/>
    <n v="7363"/>
    <n v="0"/>
    <n v="7363"/>
    <x v="0"/>
    <x v="0"/>
    <x v="0"/>
    <x v="0"/>
    <x v="0"/>
  </r>
  <r>
    <x v="3"/>
    <x v="0"/>
    <x v="0"/>
    <x v="0"/>
    <x v="0"/>
    <x v="9"/>
    <x v="9"/>
    <n v="9"/>
    <s v="813011577"/>
    <s v="CLINICA UROS S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13011577"/>
    <s v="CLINICA UROS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CUENTA EN ABOGADO SE LES OTORGA UN DESCUENTO POR PAGO TOTAL DE LA DEUDA"/>
    <n v="256236"/>
    <n v="0"/>
    <n v="256236"/>
    <x v="0"/>
    <x v="0"/>
    <x v="0"/>
    <n v="256236"/>
    <n v="0"/>
    <n v="256236"/>
    <x v="0"/>
    <x v="0"/>
    <x v="0"/>
    <n v="256236"/>
    <n v="0"/>
    <n v="256236"/>
    <x v="0"/>
    <x v="0"/>
    <x v="0"/>
    <x v="0"/>
    <x v="0"/>
  </r>
  <r>
    <x v="3"/>
    <x v="0"/>
    <x v="0"/>
    <x v="1"/>
    <x v="1"/>
    <x v="1"/>
    <x v="1"/>
    <n v="24777"/>
    <s v="891000692"/>
    <s v="CORP. UNIVERSITARIA DEL SINU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1000692"/>
    <s v="CORP. UNIVERSITARIA DEL SINU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98._x000d__x000a_se realiza ajuste de $11.000 pesos faltantes que no cancelo el cliente por error en en los digitos al contabilizar la factura._x000d__x000a_aprobado por Johadys de Paz."/>
    <n v="11000"/>
    <n v="0"/>
    <n v="11000"/>
    <x v="0"/>
    <x v="0"/>
    <x v="0"/>
    <n v="11000"/>
    <n v="0"/>
    <n v="11000"/>
    <x v="0"/>
    <x v="0"/>
    <x v="0"/>
    <n v="11000"/>
    <n v="0"/>
    <n v="11000"/>
    <x v="0"/>
    <x v="0"/>
    <x v="0"/>
    <x v="0"/>
    <x v="0"/>
  </r>
  <r>
    <x v="3"/>
    <x v="0"/>
    <x v="0"/>
    <x v="1"/>
    <x v="1"/>
    <x v="1"/>
    <x v="1"/>
    <n v="24782"/>
    <s v="901166073"/>
    <s v="CENTRO COMERCIAL NUESTRO MONTERIA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9"/>
    <x v="9"/>
    <n v="10"/>
    <s v="860534912"/>
    <s v="CENTRO COMERCIAL GALERIAS - PROPIEDAD HORIZONTAL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34912"/>
    <s v="CENTRO COMERCIAL GALERIAS -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 EN ABOGADO SE LE HACE UN DESCUENTO POR VALOR DE $ 300.592 , POR CANCELACION TOTAL DE LA DEUDA"/>
    <n v="300592"/>
    <n v="0"/>
    <n v="300592"/>
    <x v="0"/>
    <x v="0"/>
    <x v="0"/>
    <n v="300592"/>
    <n v="0"/>
    <n v="300592"/>
    <x v="0"/>
    <x v="0"/>
    <x v="0"/>
    <n v="300592"/>
    <n v="0"/>
    <n v="300592"/>
    <x v="0"/>
    <x v="0"/>
    <x v="0"/>
    <x v="0"/>
    <x v="0"/>
  </r>
  <r>
    <x v="2"/>
    <x v="0"/>
    <x v="0"/>
    <x v="5"/>
    <x v="5"/>
    <x v="1"/>
    <x v="1"/>
    <n v="47086"/>
    <s v="860037900"/>
    <s v="CONSTRUCTORA  BOLIVAR  CALI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79"/>
    <n v="0"/>
    <n v="6179"/>
    <x v="0"/>
    <x v="0"/>
    <x v="0"/>
    <n v="6179"/>
    <n v="0"/>
    <n v="6179"/>
    <x v="0"/>
    <x v="0"/>
    <x v="0"/>
    <n v="6179"/>
    <n v="0"/>
    <n v="6179"/>
    <x v="0"/>
    <x v="0"/>
    <x v="0"/>
    <x v="0"/>
    <x v="0"/>
  </r>
  <r>
    <x v="2"/>
    <x v="0"/>
    <x v="0"/>
    <x v="5"/>
    <x v="5"/>
    <x v="1"/>
    <x v="1"/>
    <n v="47088"/>
    <s v="815000677"/>
    <s v="SUPERSERVICIOS DEL ORIENTE DEL VALLE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5000677"/>
    <s v="SUPERSERVICIOS DEL ORIENTE DEL VALL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1"/>
    <n v="0"/>
    <n v="241"/>
    <x v="0"/>
    <x v="0"/>
    <x v="0"/>
    <n v="241"/>
    <n v="0"/>
    <n v="241"/>
    <x v="0"/>
    <x v="0"/>
    <x v="0"/>
    <n v="241"/>
    <n v="0"/>
    <n v="241"/>
    <x v="0"/>
    <x v="0"/>
    <x v="0"/>
    <x v="0"/>
    <x v="0"/>
  </r>
  <r>
    <x v="3"/>
    <x v="0"/>
    <x v="0"/>
    <x v="1"/>
    <x v="1"/>
    <x v="1"/>
    <x v="1"/>
    <n v="24818"/>
    <s v="32757237"/>
    <s v="MEDINA OLIVEROS FARATH DIV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495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1"/>
    <x v="1"/>
    <x v="1"/>
    <x v="1"/>
    <n v="24826"/>
    <s v="900061516"/>
    <s v="MUEBLES JAMAR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94 - FV5-79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2"/>
    <x v="2"/>
    <x v="9"/>
    <x v="9"/>
    <n v="1599"/>
    <s v="900210981"/>
    <s v="CORPORACION HOSPITALARIA JUAN CIUDAD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0981"/>
    <s v="CORPORACION HOSPITALARIA JUAN CIU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R NEGOCIACION ENTRE LAS PARTES SE BRINDA UN DESCUENTO FINANCIERO DE 10 % POR PAGO DE AÑO ANTICIPADO $ 9.068.904 Y RTE/ICA $ 876.056"/>
    <n v="9068904"/>
    <n v="0"/>
    <n v="9068904"/>
    <x v="0"/>
    <x v="0"/>
    <x v="0"/>
    <n v="9068904"/>
    <n v="0"/>
    <n v="9068904"/>
    <x v="0"/>
    <x v="0"/>
    <x v="0"/>
    <n v="9068904"/>
    <n v="0"/>
    <n v="9068904"/>
    <x v="0"/>
    <x v="0"/>
    <x v="0"/>
    <x v="0"/>
    <x v="0"/>
  </r>
  <r>
    <x v="3"/>
    <x v="0"/>
    <x v="0"/>
    <x v="0"/>
    <x v="0"/>
    <x v="1"/>
    <x v="1"/>
    <n v="2418"/>
    <s v="900017447"/>
    <s v="FALABELLA DE COLOMBIA S 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1"/>
    <x v="1"/>
    <x v="1"/>
    <x v="1"/>
    <x v="1"/>
    <x v="1"/>
    <s v="900017447"/>
    <s v="FALABELLA DE COLOMBIA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OR RETEGARANTIAS"/>
    <n v="0"/>
    <n v="30001"/>
    <n v="-30001"/>
    <x v="0"/>
    <x v="0"/>
    <x v="0"/>
    <n v="0"/>
    <n v="30001"/>
    <n v="-30001"/>
    <x v="0"/>
    <x v="0"/>
    <x v="0"/>
    <n v="0"/>
    <n v="30001"/>
    <n v="-3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0300.46"/>
    <n v="0"/>
    <n v="260300.46"/>
    <x v="0"/>
    <x v="0"/>
    <x v="0"/>
    <n v="260300.46"/>
    <n v="0"/>
    <n v="260300.46"/>
    <x v="0"/>
    <x v="0"/>
    <x v="0"/>
    <n v="260300.46"/>
    <n v="0"/>
    <n v="260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77989.679999999993"/>
    <n v="0"/>
    <n v="77989.680000000008"/>
    <x v="0"/>
    <x v="0"/>
    <x v="0"/>
    <n v="77989.679999999993"/>
    <n v="0"/>
    <n v="77989.680000000008"/>
    <x v="0"/>
    <x v="0"/>
    <x v="0"/>
    <n v="77989.679999999993"/>
    <n v="0"/>
    <n v="77989.68000000000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3"/>
    <n v="0"/>
    <n v="51483"/>
    <x v="0"/>
    <x v="0"/>
    <x v="0"/>
    <n v="51483"/>
    <n v="0"/>
    <n v="51483"/>
    <x v="0"/>
    <x v="0"/>
    <x v="0"/>
    <n v="51483"/>
    <n v="0"/>
    <n v="5148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7"/>
    <x v="0"/>
    <x v="0"/>
    <x v="0"/>
    <x v="0"/>
    <x v="2"/>
    <x v="2"/>
    <n v="20088"/>
    <s v="860002964"/>
    <s v="BANCO DE BOGOT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DEL 2018"/>
    <n v="42819.39"/>
    <n v="0"/>
    <n v="42819.39"/>
    <x v="0"/>
    <x v="0"/>
    <x v="0"/>
    <n v="42819.39"/>
    <n v="0"/>
    <n v="42819.39"/>
    <x v="0"/>
    <x v="0"/>
    <x v="0"/>
    <n v="42819.39"/>
    <n v="0"/>
    <n v="42819.39"/>
    <x v="0"/>
    <x v="0"/>
    <x v="0"/>
    <x v="0"/>
    <x v="0"/>
  </r>
  <r>
    <x v="7"/>
    <x v="0"/>
    <x v="0"/>
    <x v="0"/>
    <x v="0"/>
    <x v="2"/>
    <x v="2"/>
    <n v="2008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DE CONCILIACION BANCARIA POR IVA YA PRESENTADO"/>
    <n v="0"/>
    <n v="150000"/>
    <n v="-150000"/>
    <x v="0"/>
    <x v="0"/>
    <x v="0"/>
    <n v="0"/>
    <n v="150000"/>
    <n v="-150000"/>
    <x v="0"/>
    <x v="0"/>
    <x v="0"/>
    <n v="0"/>
    <n v="150000"/>
    <n v="-15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25006"/>
    <n v="0"/>
    <n v="425006"/>
    <x v="0"/>
    <x v="0"/>
    <x v="0"/>
    <n v="425006"/>
    <n v="0"/>
    <n v="425006"/>
    <x v="0"/>
    <x v="0"/>
    <x v="0"/>
    <n v="425006"/>
    <n v="0"/>
    <n v="4250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7182"/>
    <n v="0"/>
    <n v="7182"/>
    <x v="0"/>
    <x v="0"/>
    <x v="0"/>
    <n v="7182"/>
    <n v="0"/>
    <n v="7182"/>
    <x v="0"/>
    <x v="0"/>
    <x v="0"/>
    <n v="7182"/>
    <n v="0"/>
    <n v="718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364.58"/>
    <n v="0"/>
    <n v="1364.58"/>
    <x v="0"/>
    <x v="0"/>
    <x v="0"/>
    <n v="1364.58"/>
    <n v="0"/>
    <n v="1364.58"/>
    <x v="0"/>
    <x v="0"/>
    <x v="0"/>
    <n v="1364.58"/>
    <n v="0"/>
    <n v="1364.58"/>
    <x v="0"/>
    <x v="0"/>
    <x v="0"/>
    <x v="0"/>
    <x v="0"/>
  </r>
  <r>
    <x v="7"/>
    <x v="0"/>
    <x v="0"/>
    <x v="0"/>
    <x v="0"/>
    <x v="2"/>
    <x v="2"/>
    <n v="20092"/>
    <s v="890300279"/>
    <s v="BANCO DE OCCIDENTE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DE GASTO BANCARRIO APLICADO DE MAS"/>
    <n v="0"/>
    <n v="1011206"/>
    <n v="-1011206"/>
    <x v="0"/>
    <x v="0"/>
    <x v="0"/>
    <n v="0"/>
    <n v="1011206"/>
    <n v="-1011206"/>
    <x v="0"/>
    <x v="0"/>
    <x v="0"/>
    <n v="0"/>
    <n v="1011206"/>
    <n v="-1011206"/>
    <x v="0"/>
    <x v="0"/>
    <x v="0"/>
    <x v="0"/>
    <x v="0"/>
  </r>
  <r>
    <x v="7"/>
    <x v="0"/>
    <x v="0"/>
    <x v="0"/>
    <x v="0"/>
    <x v="2"/>
    <x v="2"/>
    <n v="20093"/>
    <s v="900406150"/>
    <s v="BANCO COOMEV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BANCOOMEVA"/>
    <n v="118232"/>
    <n v="0"/>
    <n v="118232"/>
    <x v="0"/>
    <x v="0"/>
    <x v="0"/>
    <n v="118232"/>
    <n v="0"/>
    <n v="118232"/>
    <x v="0"/>
    <x v="0"/>
    <x v="0"/>
    <n v="118232"/>
    <n v="0"/>
    <n v="118232"/>
    <x v="0"/>
    <x v="0"/>
    <x v="0"/>
    <x v="0"/>
    <x v="0"/>
  </r>
  <r>
    <x v="7"/>
    <x v="0"/>
    <x v="0"/>
    <x v="0"/>
    <x v="0"/>
    <x v="2"/>
    <x v="2"/>
    <n v="20048"/>
    <s v="440000000330"/>
    <s v="BANCOLOMBIA CAYMAN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BRIL 2019 - trm 3247.72"/>
    <n v="354001.48"/>
    <n v="0"/>
    <n v="354001.48"/>
    <x v="0"/>
    <x v="0"/>
    <x v="0"/>
    <n v="354001.48"/>
    <n v="0"/>
    <n v="354001.48"/>
    <x v="0"/>
    <x v="0"/>
    <x v="0"/>
    <n v="354001.48"/>
    <n v="0"/>
    <n v="354001.48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7"/>
    <x v="0"/>
    <x v="0"/>
    <x v="0"/>
    <x v="0"/>
    <x v="2"/>
    <x v="2"/>
    <n v="20067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DIFERENCIA EN CENTAVOS PAGO DE TARJETA DE CREDITO"/>
    <n v="0.33"/>
    <n v="0"/>
    <n v="0.33"/>
    <x v="0"/>
    <x v="0"/>
    <x v="0"/>
    <n v="0.33"/>
    <n v="0"/>
    <n v="0.33"/>
    <x v="0"/>
    <x v="0"/>
    <x v="0"/>
    <n v="0.33"/>
    <n v="0"/>
    <n v="0.33"/>
    <x v="0"/>
    <x v="0"/>
    <x v="0"/>
    <x v="0"/>
    <x v="0"/>
  </r>
  <r>
    <x v="1"/>
    <x v="0"/>
    <x v="0"/>
    <x v="0"/>
    <x v="0"/>
    <x v="2"/>
    <x v="2"/>
    <n v="19648"/>
    <s v="891480030"/>
    <s v="MUNICIPIO DE PEREIRA"/>
    <s v="20190213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6"/>
    <x v="6"/>
    <x v="0"/>
    <x v="0"/>
    <x v="0"/>
    <x v="0"/>
    <s v="891480030"/>
    <s v="MUNICIPIO DE PERE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 IND Y COMER ANUAL PEREIRA 2018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6"/>
    <x v="0"/>
    <x v="0"/>
    <x v="0"/>
    <x v="0"/>
    <x v="2"/>
    <x v="2"/>
    <n v="20157"/>
    <s v="890903938"/>
    <s v="BANCOLOMBIA S.A."/>
    <s v="20190509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434 MAL APLICADA"/>
    <n v="1897888"/>
    <n v="0"/>
    <n v="1897888"/>
    <x v="0"/>
    <x v="0"/>
    <x v="0"/>
    <n v="1897888"/>
    <n v="0"/>
    <n v="1897888"/>
    <x v="0"/>
    <x v="0"/>
    <x v="0"/>
    <n v="1897888"/>
    <n v="0"/>
    <n v="1897888"/>
    <x v="0"/>
    <x v="0"/>
    <x v="0"/>
    <x v="0"/>
    <x v="0"/>
  </r>
  <r>
    <x v="6"/>
    <x v="0"/>
    <x v="0"/>
    <x v="0"/>
    <x v="0"/>
    <x v="2"/>
    <x v="2"/>
    <n v="20277"/>
    <s v="890903407"/>
    <s v="SEGUROS GENERALES SURAMERICANA S.A"/>
    <s v="20190531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992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ERROR EN CENTRO DE OPERACION"/>
    <n v="58175"/>
    <n v="0"/>
    <n v="58175"/>
    <x v="0"/>
    <x v="0"/>
    <x v="0"/>
    <n v="58175"/>
    <n v="0"/>
    <n v="58175"/>
    <x v="0"/>
    <x v="0"/>
    <x v="0"/>
    <n v="58175"/>
    <n v="0"/>
    <n v="58175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67896"/>
    <n v="0"/>
    <n v="67896"/>
    <x v="0"/>
    <x v="0"/>
    <x v="0"/>
    <n v="67896"/>
    <n v="0"/>
    <n v="67896"/>
    <x v="0"/>
    <x v="0"/>
    <x v="0"/>
    <n v="67896"/>
    <n v="0"/>
    <n v="67896"/>
    <x v="0"/>
    <x v="0"/>
    <x v="0"/>
    <x v="0"/>
    <x v="0"/>
  </r>
  <r>
    <x v="7"/>
    <x v="0"/>
    <x v="0"/>
    <x v="0"/>
    <x v="0"/>
    <x v="2"/>
    <x v="2"/>
    <n v="200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7"/>
    <x v="0"/>
    <x v="0"/>
    <x v="0"/>
    <x v="0"/>
    <x v="2"/>
    <x v="2"/>
    <n v="20078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58800"/>
    <n v="0"/>
    <n v="358800"/>
    <x v="0"/>
    <x v="0"/>
    <x v="0"/>
    <n v="358800"/>
    <n v="0"/>
    <n v="358800"/>
    <x v="0"/>
    <x v="0"/>
    <x v="0"/>
    <n v="358800"/>
    <n v="0"/>
    <n v="3588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53698"/>
    <n v="0"/>
    <n v="53698"/>
    <x v="0"/>
    <x v="0"/>
    <x v="0"/>
    <n v="53698"/>
    <n v="0"/>
    <n v="53698"/>
    <x v="0"/>
    <x v="0"/>
    <x v="0"/>
    <n v="53698"/>
    <n v="0"/>
    <n v="53698"/>
    <x v="0"/>
    <x v="0"/>
    <x v="0"/>
    <x v="0"/>
    <x v="0"/>
  </r>
  <r>
    <x v="6"/>
    <x v="0"/>
    <x v="0"/>
    <x v="0"/>
    <x v="0"/>
    <x v="11"/>
    <x v="11"/>
    <n v="26193"/>
    <s v="4519543"/>
    <s v="GARCIA CASTAÑO FREDY JHOVANNY"/>
    <s v="201905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4 + gastos bancarios"/>
    <n v="2800"/>
    <n v="0"/>
    <n v="2800"/>
    <x v="0"/>
    <x v="0"/>
    <x v="0"/>
    <n v="2800"/>
    <n v="0"/>
    <n v="2800"/>
    <x v="0"/>
    <x v="0"/>
    <x v="0"/>
    <n v="2800"/>
    <n v="0"/>
    <n v="2800"/>
    <x v="0"/>
    <x v="0"/>
    <x v="0"/>
    <x v="0"/>
    <x v="0"/>
  </r>
  <r>
    <x v="6"/>
    <x v="0"/>
    <x v="0"/>
    <x v="0"/>
    <x v="0"/>
    <x v="2"/>
    <x v="2"/>
    <n v="20090"/>
    <s v="890903938"/>
    <s v="BANCOLOMBIA S.A."/>
    <s v="201905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 REVERSA NI 20088  ( IVA DE CONCILACION BANCARIA )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6"/>
    <x v="0"/>
    <x v="0"/>
    <x v="0"/>
    <x v="0"/>
    <x v="11"/>
    <x v="11"/>
    <n v="26225"/>
    <s v="71631400"/>
    <s v="CARRASQUILLA PIZARRO MARCO ANTONI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5 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6"/>
    <x v="0"/>
    <x v="0"/>
    <x v="0"/>
    <x v="0"/>
    <x v="11"/>
    <x v="11"/>
    <n v="26226"/>
    <s v="31908098"/>
    <s v="LOPEZ GARCIA MARIA DEL SOCORR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2 + GASTOS BANCARIOS"/>
    <n v="7520"/>
    <n v="0"/>
    <n v="7520"/>
    <x v="0"/>
    <x v="0"/>
    <x v="0"/>
    <n v="7520"/>
    <n v="0"/>
    <n v="7520"/>
    <x v="0"/>
    <x v="0"/>
    <x v="0"/>
    <n v="7520"/>
    <n v="0"/>
    <n v="7520"/>
    <x v="0"/>
    <x v="0"/>
    <x v="0"/>
    <x v="0"/>
    <x v="0"/>
  </r>
  <r>
    <x v="6"/>
    <x v="0"/>
    <x v="0"/>
    <x v="0"/>
    <x v="0"/>
    <x v="11"/>
    <x v="11"/>
    <n v="26227"/>
    <s v="1018441067"/>
    <s v="ALONSO GUTIERREZ YINNETH CATALIN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 + GASTOS BANCARIOS"/>
    <n v="11584"/>
    <n v="0"/>
    <n v="11584"/>
    <x v="0"/>
    <x v="0"/>
    <x v="0"/>
    <n v="11584"/>
    <n v="0"/>
    <n v="11584"/>
    <x v="0"/>
    <x v="0"/>
    <x v="0"/>
    <n v="11584"/>
    <n v="0"/>
    <n v="11584"/>
    <x v="0"/>
    <x v="0"/>
    <x v="0"/>
    <x v="0"/>
    <x v="0"/>
  </r>
  <r>
    <x v="0"/>
    <x v="0"/>
    <x v="0"/>
    <x v="0"/>
    <x v="0"/>
    <x v="2"/>
    <x v="2"/>
    <n v="19609"/>
    <s v="440000000330"/>
    <s v="BANCOLOMBIA CAYMAN"/>
    <s v="201901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COMPENSACION - ENERO 2019 (TRM 3163.46)"/>
    <n v="521559.65"/>
    <n v="0"/>
    <n v="521559.65"/>
    <x v="0"/>
    <x v="0"/>
    <x v="0"/>
    <n v="521559.65"/>
    <n v="0"/>
    <n v="521559.65"/>
    <x v="0"/>
    <x v="0"/>
    <x v="0"/>
    <n v="521559.65"/>
    <n v="0"/>
    <n v="521559.65"/>
    <x v="0"/>
    <x v="0"/>
    <x v="0"/>
    <x v="0"/>
    <x v="0"/>
  </r>
  <r>
    <x v="1"/>
    <x v="0"/>
    <x v="0"/>
    <x v="0"/>
    <x v="0"/>
    <x v="2"/>
    <x v="2"/>
    <n v="19760"/>
    <s v="890903938"/>
    <s v="BANCOLOMBIA S.A."/>
    <s v="20190228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OLOMBIA  - FEB 2019"/>
    <n v="44999.7"/>
    <n v="0"/>
    <n v="44999.700000000004"/>
    <x v="0"/>
    <x v="0"/>
    <x v="0"/>
    <n v="44999.7"/>
    <n v="0"/>
    <n v="44999.700000000004"/>
    <x v="0"/>
    <x v="0"/>
    <x v="0"/>
    <n v="44999.7"/>
    <n v="0"/>
    <n v="44999.700000000004"/>
    <x v="0"/>
    <x v="0"/>
    <x v="0"/>
    <x v="0"/>
    <x v="0"/>
  </r>
  <r>
    <x v="5"/>
    <x v="0"/>
    <x v="0"/>
    <x v="0"/>
    <x v="0"/>
    <x v="2"/>
    <x v="2"/>
    <n v="19921"/>
    <s v="440000000330"/>
    <s v="BANCOLOMBIA CAYMAN"/>
    <s v="201903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ONES CUENTA DE COMPENSACION- MARZO 2019"/>
    <n v="257157.99"/>
    <n v="0"/>
    <n v="257157.99000000002"/>
    <x v="0"/>
    <x v="0"/>
    <x v="0"/>
    <n v="257157.99"/>
    <n v="0"/>
    <n v="257157.99000000002"/>
    <x v="0"/>
    <x v="0"/>
    <x v="0"/>
    <n v="257157.99"/>
    <n v="0"/>
    <n v="257157.99000000002"/>
    <x v="0"/>
    <x v="0"/>
    <x v="0"/>
    <x v="0"/>
    <x v="0"/>
  </r>
  <r>
    <x v="5"/>
    <x v="0"/>
    <x v="0"/>
    <x v="0"/>
    <x v="0"/>
    <x v="2"/>
    <x v="2"/>
    <n v="19933"/>
    <s v="890903938"/>
    <s v="BANCOLOMBIA S.A."/>
    <s v="201903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ARZO 2019"/>
    <n v="64298.84"/>
    <n v="0"/>
    <n v="64298.840000000004"/>
    <x v="0"/>
    <x v="0"/>
    <x v="0"/>
    <n v="64298.84"/>
    <n v="0"/>
    <n v="64298.840000000004"/>
    <x v="0"/>
    <x v="0"/>
    <x v="0"/>
    <n v="64298.84"/>
    <n v="0"/>
    <n v="64298.840000000004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2"/>
    <x v="0"/>
    <x v="0"/>
    <x v="0"/>
    <x v="0"/>
    <x v="2"/>
    <x v="2"/>
    <n v="20394"/>
    <s v="440000000330"/>
    <s v="BANCOLOMBIA CAYMAN"/>
    <s v="201906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JUNIO 2019- CUENTA COMPENSACION  (TRM 3205.67)"/>
    <n v="349225.69"/>
    <n v="0"/>
    <n v="349225.69"/>
    <x v="0"/>
    <x v="0"/>
    <x v="0"/>
    <n v="349225.69"/>
    <n v="0"/>
    <n v="349225.69"/>
    <x v="0"/>
    <x v="0"/>
    <x v="0"/>
    <n v="349225.69"/>
    <n v="0"/>
    <n v="349225.69"/>
    <x v="0"/>
    <x v="0"/>
    <x v="0"/>
    <x v="0"/>
    <x v="0"/>
  </r>
  <r>
    <x v="3"/>
    <x v="0"/>
    <x v="0"/>
    <x v="0"/>
    <x v="0"/>
    <x v="2"/>
    <x v="2"/>
    <n v="20570"/>
    <s v="440000000330"/>
    <s v="BANCOLOMBIA CAYMAN"/>
    <s v="201907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0"/>
    <x v="0"/>
    <x v="0"/>
    <x v="0"/>
    <x v="0"/>
    <x v="0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AYMAN - COMISIONES MES DE JULIO ( TRM 3296,85)"/>
    <n v="728406.04"/>
    <n v="0"/>
    <n v="728406.04"/>
    <x v="0"/>
    <x v="0"/>
    <x v="0"/>
    <n v="728406.04"/>
    <n v="0"/>
    <n v="728406.04"/>
    <x v="0"/>
    <x v="0"/>
    <x v="0"/>
    <n v="728406.04"/>
    <n v="0"/>
    <n v="728406.04"/>
    <x v="0"/>
    <x v="0"/>
    <x v="0"/>
    <x v="0"/>
    <x v="0"/>
  </r>
  <r>
    <x v="4"/>
    <x v="0"/>
    <x v="0"/>
    <x v="0"/>
    <x v="0"/>
    <x v="2"/>
    <x v="2"/>
    <n v="20692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AGOSTO - COMISION EV4  LTDA"/>
    <n v="839345.14"/>
    <n v="0"/>
    <n v="839345.14"/>
    <x v="0"/>
    <x v="0"/>
    <x v="0"/>
    <n v="839345.14"/>
    <n v="0"/>
    <n v="839345.14"/>
    <x v="0"/>
    <x v="0"/>
    <x v="0"/>
    <n v="839345.14"/>
    <n v="0"/>
    <n v="839345.14"/>
    <x v="0"/>
    <x v="0"/>
    <x v="0"/>
    <x v="0"/>
    <x v="0"/>
  </r>
  <r>
    <x v="4"/>
    <x v="0"/>
    <x v="0"/>
    <x v="0"/>
    <x v="0"/>
    <x v="2"/>
    <x v="2"/>
    <n v="20693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487484.73"/>
    <n v="0"/>
    <n v="487484.73"/>
    <x v="0"/>
    <x v="0"/>
    <x v="0"/>
    <n v="487484.73"/>
    <n v="0"/>
    <n v="487484.73"/>
    <x v="0"/>
    <x v="0"/>
    <x v="0"/>
    <n v="487484.73"/>
    <n v="0"/>
    <n v="487484.73"/>
    <x v="0"/>
    <x v="0"/>
    <x v="0"/>
    <x v="0"/>
    <x v="0"/>
  </r>
  <r>
    <x v="0"/>
    <x v="0"/>
    <x v="0"/>
    <x v="0"/>
    <x v="0"/>
    <x v="2"/>
    <x v="2"/>
    <n v="19416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AV VILLAS"/>
    <n v="641215"/>
    <n v="0"/>
    <n v="641215"/>
    <x v="0"/>
    <x v="0"/>
    <x v="0"/>
    <n v="641215"/>
    <n v="0"/>
    <n v="641215"/>
    <x v="0"/>
    <x v="0"/>
    <x v="0"/>
    <n v="641215"/>
    <n v="0"/>
    <n v="641215"/>
    <x v="0"/>
    <x v="0"/>
    <x v="0"/>
    <x v="0"/>
    <x v="0"/>
  </r>
  <r>
    <x v="0"/>
    <x v="0"/>
    <x v="0"/>
    <x v="0"/>
    <x v="0"/>
    <x v="2"/>
    <x v="2"/>
    <n v="19418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AV VILLAS"/>
    <n v="744412"/>
    <n v="0"/>
    <n v="744412"/>
    <x v="0"/>
    <x v="0"/>
    <x v="0"/>
    <n v="744412"/>
    <n v="0"/>
    <n v="744412"/>
    <x v="0"/>
    <x v="0"/>
    <x v="0"/>
    <n v="744412"/>
    <n v="0"/>
    <n v="744412"/>
    <x v="0"/>
    <x v="0"/>
    <x v="0"/>
    <x v="0"/>
    <x v="0"/>
  </r>
  <r>
    <x v="0"/>
    <x v="0"/>
    <x v="0"/>
    <x v="0"/>
    <x v="0"/>
    <x v="2"/>
    <x v="2"/>
    <n v="19419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V VILLAS"/>
    <n v="434677"/>
    <n v="0"/>
    <n v="434677"/>
    <x v="0"/>
    <x v="0"/>
    <x v="0"/>
    <n v="434677"/>
    <n v="0"/>
    <n v="434677"/>
    <x v="0"/>
    <x v="0"/>
    <x v="0"/>
    <n v="434677"/>
    <n v="0"/>
    <n v="434677"/>
    <x v="0"/>
    <x v="0"/>
    <x v="0"/>
    <x v="0"/>
    <x v="0"/>
  </r>
  <r>
    <x v="0"/>
    <x v="0"/>
    <x v="0"/>
    <x v="0"/>
    <x v="0"/>
    <x v="2"/>
    <x v="2"/>
    <n v="19443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422-1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444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957-8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447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49"/>
    <n v="786309.83"/>
    <n v="0"/>
    <n v="786309.83000000007"/>
    <x v="0"/>
    <x v="0"/>
    <x v="0"/>
    <n v="786309.83"/>
    <n v="0"/>
    <n v="786309.83000000007"/>
    <x v="0"/>
    <x v="0"/>
    <x v="0"/>
    <n v="786309.83"/>
    <n v="0"/>
    <n v="786309.83000000007"/>
    <x v="0"/>
    <x v="0"/>
    <x v="0"/>
    <x v="0"/>
    <x v="0"/>
  </r>
  <r>
    <x v="0"/>
    <x v="0"/>
    <x v="0"/>
    <x v="0"/>
    <x v="0"/>
    <x v="2"/>
    <x v="2"/>
    <n v="19448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912"/>
    <n v="176493.89"/>
    <n v="0"/>
    <n v="176493.89"/>
    <x v="0"/>
    <x v="0"/>
    <x v="0"/>
    <n v="176493.89"/>
    <n v="0"/>
    <n v="176493.89"/>
    <x v="0"/>
    <x v="0"/>
    <x v="0"/>
    <n v="176493.89"/>
    <n v="0"/>
    <n v="176493.89"/>
    <x v="0"/>
    <x v="0"/>
    <x v="0"/>
    <x v="0"/>
    <x v="0"/>
  </r>
  <r>
    <x v="0"/>
    <x v="0"/>
    <x v="0"/>
    <x v="0"/>
    <x v="0"/>
    <x v="2"/>
    <x v="2"/>
    <n v="19552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450-00  BANCOLOMBIA"/>
    <n v="238606"/>
    <n v="0"/>
    <n v="238606"/>
    <x v="0"/>
    <x v="0"/>
    <x v="0"/>
    <n v="238606"/>
    <n v="0"/>
    <n v="238606"/>
    <x v="0"/>
    <x v="0"/>
    <x v="0"/>
    <n v="238606"/>
    <n v="0"/>
    <n v="238606"/>
    <x v="0"/>
    <x v="0"/>
    <x v="0"/>
    <x v="0"/>
    <x v="0"/>
  </r>
  <r>
    <x v="0"/>
    <x v="0"/>
    <x v="0"/>
    <x v="0"/>
    <x v="0"/>
    <x v="2"/>
    <x v="2"/>
    <n v="19553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MES DE ENERO DEL 2018- OBLIGACION  195962"/>
    <n v="315503"/>
    <n v="0"/>
    <n v="315503"/>
    <x v="0"/>
    <x v="0"/>
    <x v="0"/>
    <n v="315503"/>
    <n v="0"/>
    <n v="315503"/>
    <x v="0"/>
    <x v="0"/>
    <x v="0"/>
    <n v="315503"/>
    <n v="0"/>
    <n v="315503"/>
    <x v="0"/>
    <x v="0"/>
    <x v="0"/>
    <x v="0"/>
    <x v="0"/>
  </r>
  <r>
    <x v="0"/>
    <x v="0"/>
    <x v="0"/>
    <x v="0"/>
    <x v="0"/>
    <x v="2"/>
    <x v="2"/>
    <n v="19554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CUOTA MES DE ENERO"/>
    <n v="70998"/>
    <n v="0"/>
    <n v="70998"/>
    <x v="0"/>
    <x v="0"/>
    <x v="0"/>
    <n v="70998"/>
    <n v="0"/>
    <n v="70998"/>
    <x v="0"/>
    <x v="0"/>
    <x v="0"/>
    <n v="70998"/>
    <n v="0"/>
    <n v="70998"/>
    <x v="0"/>
    <x v="0"/>
    <x v="0"/>
    <x v="0"/>
    <x v="0"/>
  </r>
  <r>
    <x v="0"/>
    <x v="0"/>
    <x v="0"/>
    <x v="0"/>
    <x v="0"/>
    <x v="2"/>
    <x v="2"/>
    <n v="19613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"/>
    <n v="1042149"/>
    <n v="0"/>
    <n v="1042149"/>
    <x v="0"/>
    <x v="0"/>
    <x v="0"/>
    <n v="1042149"/>
    <n v="0"/>
    <n v="1042149"/>
    <x v="0"/>
    <x v="0"/>
    <x v="0"/>
    <n v="1042149"/>
    <n v="0"/>
    <n v="1042149"/>
    <x v="0"/>
    <x v="0"/>
    <x v="0"/>
    <x v="0"/>
    <x v="0"/>
  </r>
  <r>
    <x v="0"/>
    <x v="0"/>
    <x v="0"/>
    <x v="0"/>
    <x v="0"/>
    <x v="2"/>
    <x v="2"/>
    <n v="19599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 BANCOLOMBIA"/>
    <n v="2746275"/>
    <n v="0"/>
    <n v="2746275"/>
    <x v="0"/>
    <x v="0"/>
    <x v="0"/>
    <n v="2746275"/>
    <n v="0"/>
    <n v="2746275"/>
    <x v="0"/>
    <x v="0"/>
    <x v="0"/>
    <n v="2746275"/>
    <n v="0"/>
    <n v="2746275"/>
    <x v="0"/>
    <x v="0"/>
    <x v="0"/>
    <x v="0"/>
    <x v="0"/>
  </r>
  <r>
    <x v="0"/>
    <x v="0"/>
    <x v="0"/>
    <x v="0"/>
    <x v="0"/>
    <x v="2"/>
    <x v="2"/>
    <n v="19600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598 BANCOLOMBIA"/>
    <n v="62500"/>
    <n v="0"/>
    <n v="62500"/>
    <x v="0"/>
    <x v="0"/>
    <x v="0"/>
    <n v="62500"/>
    <n v="0"/>
    <n v="62500"/>
    <x v="0"/>
    <x v="0"/>
    <x v="0"/>
    <n v="62500"/>
    <n v="0"/>
    <n v="62500"/>
    <x v="0"/>
    <x v="0"/>
    <x v="0"/>
    <x v="0"/>
    <x v="0"/>
  </r>
  <r>
    <x v="0"/>
    <x v="0"/>
    <x v="0"/>
    <x v="0"/>
    <x v="0"/>
    <x v="2"/>
    <x v="2"/>
    <n v="19628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4221 BANCO DE OCCIDENTE ( CUOTA DOBLE EN ENERO 2019)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629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632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X 2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1"/>
    <x v="0"/>
    <x v="0"/>
    <x v="0"/>
    <x v="0"/>
    <x v="2"/>
    <x v="2"/>
    <n v="19602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527366 -7"/>
    <n v="1362153"/>
    <n v="0"/>
    <n v="1362153"/>
    <x v="0"/>
    <x v="0"/>
    <x v="0"/>
    <n v="1362153"/>
    <n v="0"/>
    <n v="1362153"/>
    <x v="0"/>
    <x v="0"/>
    <x v="0"/>
    <n v="1362153"/>
    <n v="0"/>
    <n v="1362153"/>
    <x v="0"/>
    <x v="0"/>
    <x v="0"/>
    <x v="0"/>
    <x v="0"/>
  </r>
  <r>
    <x v="1"/>
    <x v="0"/>
    <x v="0"/>
    <x v="0"/>
    <x v="0"/>
    <x v="2"/>
    <x v="2"/>
    <n v="19603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459791-4 -7"/>
    <n v="814729"/>
    <n v="0"/>
    <n v="814729"/>
    <x v="0"/>
    <x v="0"/>
    <x v="0"/>
    <n v="814729"/>
    <n v="0"/>
    <n v="814729"/>
    <x v="0"/>
    <x v="0"/>
    <x v="0"/>
    <n v="814729"/>
    <n v="0"/>
    <n v="814729"/>
    <x v="0"/>
    <x v="0"/>
    <x v="0"/>
    <x v="0"/>
    <x v="0"/>
  </r>
  <r>
    <x v="1"/>
    <x v="0"/>
    <x v="0"/>
    <x v="0"/>
    <x v="0"/>
    <x v="2"/>
    <x v="2"/>
    <n v="19605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277483-7"/>
    <n v="365269"/>
    <n v="0"/>
    <n v="365269"/>
    <x v="0"/>
    <x v="0"/>
    <x v="0"/>
    <n v="365269"/>
    <n v="0"/>
    <n v="365269"/>
    <x v="0"/>
    <x v="0"/>
    <x v="0"/>
    <n v="365269"/>
    <n v="0"/>
    <n v="365269"/>
    <x v="0"/>
    <x v="0"/>
    <x v="0"/>
    <x v="0"/>
    <x v="0"/>
  </r>
  <r>
    <x v="1"/>
    <x v="0"/>
    <x v="0"/>
    <x v="0"/>
    <x v="0"/>
    <x v="2"/>
    <x v="2"/>
    <n v="19597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8138-3 AV VILLAS"/>
    <n v="32322"/>
    <n v="0"/>
    <n v="32322"/>
    <x v="0"/>
    <x v="0"/>
    <x v="0"/>
    <n v="32322"/>
    <n v="0"/>
    <n v="32322"/>
    <x v="0"/>
    <x v="0"/>
    <x v="0"/>
    <n v="32322"/>
    <n v="0"/>
    <n v="32322"/>
    <x v="0"/>
    <x v="0"/>
    <x v="0"/>
    <x v="0"/>
    <x v="0"/>
  </r>
  <r>
    <x v="1"/>
    <x v="0"/>
    <x v="0"/>
    <x v="0"/>
    <x v="0"/>
    <x v="2"/>
    <x v="2"/>
    <n v="19614"/>
    <s v="860002964"/>
    <s v="BANCO DE BOGOT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3912 BANCO DE BOGOTA"/>
    <n v="162543.9"/>
    <n v="0"/>
    <n v="162543.9"/>
    <x v="0"/>
    <x v="0"/>
    <x v="0"/>
    <n v="162543.9"/>
    <n v="0"/>
    <n v="162543.9"/>
    <x v="0"/>
    <x v="0"/>
    <x v="0"/>
    <n v="162543.9"/>
    <n v="0"/>
    <n v="162543.9"/>
    <x v="0"/>
    <x v="0"/>
    <x v="0"/>
    <x v="0"/>
    <x v="0"/>
  </r>
  <r>
    <x v="1"/>
    <x v="0"/>
    <x v="0"/>
    <x v="0"/>
    <x v="0"/>
    <x v="2"/>
    <x v="2"/>
    <n v="19616"/>
    <s v="890903938"/>
    <s v="BANCOLOMBI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88263  BANCOLOMBIA"/>
    <n v="2618389"/>
    <n v="0"/>
    <n v="2618389"/>
    <x v="0"/>
    <x v="0"/>
    <x v="0"/>
    <n v="2618389"/>
    <n v="0"/>
    <n v="2618389"/>
    <x v="0"/>
    <x v="0"/>
    <x v="0"/>
    <n v="2618389"/>
    <n v="0"/>
    <n v="2618389"/>
    <x v="0"/>
    <x v="0"/>
    <x v="0"/>
    <x v="0"/>
    <x v="0"/>
  </r>
  <r>
    <x v="1"/>
    <x v="0"/>
    <x v="0"/>
    <x v="0"/>
    <x v="0"/>
    <x v="2"/>
    <x v="2"/>
    <n v="19652"/>
    <s v="860007660"/>
    <s v="HELM BANK S.A."/>
    <s v="201902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4225 HELM BANCK- GASTO DE AMAZON DENNY SANCHEZ"/>
    <n v="18395.36"/>
    <n v="0"/>
    <n v="18395.36"/>
    <x v="0"/>
    <x v="0"/>
    <x v="0"/>
    <n v="18395.36"/>
    <n v="0"/>
    <n v="18395.36"/>
    <x v="0"/>
    <x v="0"/>
    <x v="0"/>
    <n v="18395.36"/>
    <n v="0"/>
    <n v="18395.36"/>
    <x v="0"/>
    <x v="0"/>
    <x v="0"/>
    <x v="0"/>
    <x v="0"/>
  </r>
  <r>
    <x v="1"/>
    <x v="0"/>
    <x v="0"/>
    <x v="0"/>
    <x v="0"/>
    <x v="2"/>
    <x v="2"/>
    <n v="19666"/>
    <s v="890903938"/>
    <s v="BANCOLOMBIA S.A."/>
    <s v="2019021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 CUOTA 26"/>
    <n v="304422"/>
    <n v="0"/>
    <n v="304422"/>
    <x v="0"/>
    <x v="0"/>
    <x v="0"/>
    <n v="304422"/>
    <n v="0"/>
    <n v="304422"/>
    <x v="0"/>
    <x v="0"/>
    <x v="0"/>
    <n v="304422"/>
    <n v="0"/>
    <n v="304422"/>
    <x v="0"/>
    <x v="0"/>
    <x v="0"/>
    <x v="0"/>
    <x v="0"/>
  </r>
  <r>
    <x v="1"/>
    <x v="0"/>
    <x v="0"/>
    <x v="0"/>
    <x v="0"/>
    <x v="12"/>
    <x v="12"/>
    <n v="6883"/>
    <s v="860035827"/>
    <s v="BANCO AV VILLAS"/>
    <s v="201902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002527366-7"/>
    <n v="9800"/>
    <n v="0"/>
    <n v="9800"/>
    <x v="0"/>
    <x v="0"/>
    <x v="0"/>
    <n v="9800"/>
    <n v="0"/>
    <n v="9800"/>
    <x v="0"/>
    <x v="0"/>
    <x v="0"/>
    <n v="9800"/>
    <n v="0"/>
    <n v="9800"/>
    <x v="0"/>
    <x v="0"/>
    <x v="0"/>
    <x v="0"/>
    <x v="0"/>
  </r>
  <r>
    <x v="1"/>
    <x v="0"/>
    <x v="0"/>
    <x v="0"/>
    <x v="0"/>
    <x v="2"/>
    <x v="2"/>
    <n v="19763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UOTA FEB CREDITO CESANTIAS -"/>
    <n v="31717.31"/>
    <n v="0"/>
    <n v="31717.31"/>
    <x v="0"/>
    <x v="0"/>
    <x v="0"/>
    <n v="31717.31"/>
    <n v="0"/>
    <n v="31717.31"/>
    <x v="0"/>
    <x v="0"/>
    <x v="0"/>
    <n v="31717.31"/>
    <n v="0"/>
    <n v="31717.31"/>
    <x v="0"/>
    <x v="0"/>
    <x v="0"/>
    <x v="0"/>
    <x v="0"/>
  </r>
  <r>
    <x v="1"/>
    <x v="0"/>
    <x v="0"/>
    <x v="0"/>
    <x v="0"/>
    <x v="2"/>
    <x v="2"/>
    <n v="19764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FEB CREDITO 9670084268"/>
    <n v="1006853"/>
    <n v="0"/>
    <n v="1006853"/>
    <x v="0"/>
    <x v="0"/>
    <x v="0"/>
    <n v="1006853"/>
    <n v="0"/>
    <n v="1006853"/>
    <x v="0"/>
    <x v="0"/>
    <x v="0"/>
    <n v="1006853"/>
    <n v="0"/>
    <n v="1006853"/>
    <x v="0"/>
    <x v="0"/>
    <x v="0"/>
    <x v="0"/>
    <x v="0"/>
  </r>
  <r>
    <x v="1"/>
    <x v="0"/>
    <x v="0"/>
    <x v="0"/>
    <x v="0"/>
    <x v="2"/>
    <x v="2"/>
    <n v="19774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662 - SE CORRIGEN CUENTAS CONTABLES"/>
    <n v="0"/>
    <n v="811915"/>
    <n v="-811915"/>
    <x v="0"/>
    <x v="0"/>
    <x v="0"/>
    <n v="0"/>
    <n v="811915"/>
    <n v="-811915"/>
    <x v="0"/>
    <x v="0"/>
    <x v="0"/>
    <n v="0"/>
    <n v="811915"/>
    <n v="-811915"/>
    <x v="0"/>
    <x v="0"/>
    <x v="0"/>
    <x v="0"/>
    <x v="0"/>
  </r>
  <r>
    <x v="1"/>
    <x v="0"/>
    <x v="0"/>
    <x v="0"/>
    <x v="0"/>
    <x v="2"/>
    <x v="2"/>
    <n v="19776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- FEB 2019"/>
    <n v="775198"/>
    <n v="0"/>
    <n v="775198"/>
    <x v="0"/>
    <x v="0"/>
    <x v="0"/>
    <n v="775198"/>
    <n v="0"/>
    <n v="775198"/>
    <x v="0"/>
    <x v="0"/>
    <x v="0"/>
    <n v="775198"/>
    <n v="0"/>
    <n v="775198"/>
    <x v="0"/>
    <x v="0"/>
    <x v="0"/>
    <x v="0"/>
    <x v="0"/>
  </r>
  <r>
    <x v="1"/>
    <x v="0"/>
    <x v="0"/>
    <x v="0"/>
    <x v="0"/>
    <x v="2"/>
    <x v="2"/>
    <n v="19777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LEASIGN 180-124073- FEB 2019"/>
    <n v="267844"/>
    <n v="0"/>
    <n v="267844"/>
    <x v="0"/>
    <x v="0"/>
    <x v="0"/>
    <n v="267844"/>
    <n v="0"/>
    <n v="267844"/>
    <x v="0"/>
    <x v="0"/>
    <x v="0"/>
    <n v="267844"/>
    <n v="0"/>
    <n v="267844"/>
    <x v="0"/>
    <x v="0"/>
    <x v="0"/>
    <x v="0"/>
    <x v="0"/>
  </r>
  <r>
    <x v="5"/>
    <x v="0"/>
    <x v="0"/>
    <x v="0"/>
    <x v="0"/>
    <x v="2"/>
    <x v="2"/>
    <n v="19804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957-8"/>
    <n v="728074"/>
    <n v="0"/>
    <n v="728074"/>
    <x v="0"/>
    <x v="0"/>
    <x v="0"/>
    <n v="728074"/>
    <n v="0"/>
    <n v="728074"/>
    <x v="0"/>
    <x v="0"/>
    <x v="0"/>
    <n v="728074"/>
    <n v="0"/>
    <n v="728074"/>
    <x v="0"/>
    <x v="0"/>
    <x v="0"/>
    <x v="0"/>
    <x v="0"/>
  </r>
  <r>
    <x v="6"/>
    <x v="0"/>
    <x v="0"/>
    <x v="0"/>
    <x v="0"/>
    <x v="11"/>
    <x v="11"/>
    <n v="26223"/>
    <s v="1036930909"/>
    <s v="ALZATE SANCHEZ NATACH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11"/>
    <x v="11"/>
    <n v="26224"/>
    <s v="1045717933"/>
    <s v="PALMA GUTIERREZ KETTY JANETH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2"/>
    <x v="2"/>
    <n v="20256"/>
    <s v="440000000330"/>
    <s v="BANCOLOMBIA CAYMAN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2019 (TRM 3357.82)"/>
    <n v="836097.18"/>
    <n v="0"/>
    <n v="836097.18"/>
    <x v="0"/>
    <x v="0"/>
    <x v="0"/>
    <n v="836097.18"/>
    <n v="0"/>
    <n v="836097.18"/>
    <x v="0"/>
    <x v="0"/>
    <x v="0"/>
    <n v="836097.18"/>
    <n v="0"/>
    <n v="836097.18"/>
    <x v="0"/>
    <x v="0"/>
    <x v="0"/>
    <x v="0"/>
    <x v="0"/>
  </r>
  <r>
    <x v="6"/>
    <x v="0"/>
    <x v="0"/>
    <x v="0"/>
    <x v="0"/>
    <x v="2"/>
    <x v="2"/>
    <n v="20257"/>
    <s v="444444477"/>
    <s v="EV4 LIMITED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PAYPAL  -PAGO FC SI-9109 EV4 LIMITED (USD 3515  - TRM 3464.18)  OCA 1466"/>
    <n v="608861"/>
    <n v="0"/>
    <n v="608861"/>
    <x v="0"/>
    <x v="0"/>
    <x v="0"/>
    <n v="608861"/>
    <n v="0"/>
    <n v="608861"/>
    <x v="0"/>
    <x v="0"/>
    <x v="0"/>
    <n v="608861"/>
    <n v="0"/>
    <n v="608861"/>
    <x v="0"/>
    <x v="0"/>
    <x v="0"/>
    <x v="0"/>
    <x v="0"/>
  </r>
  <r>
    <x v="0"/>
    <x v="0"/>
    <x v="0"/>
    <x v="0"/>
    <x v="0"/>
    <x v="2"/>
    <x v="2"/>
    <n v="19526"/>
    <s v="860002964"/>
    <s v="BANCO DE BOGOTA S.A."/>
    <s v="201901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 - PAGO CREDITO ROTATIVO"/>
    <n v="2578009.7200000002"/>
    <n v="0"/>
    <n v="2578009.7199999997"/>
    <x v="0"/>
    <x v="0"/>
    <x v="0"/>
    <n v="2578009.7200000002"/>
    <n v="0"/>
    <n v="2578009.7199999997"/>
    <x v="0"/>
    <x v="0"/>
    <x v="0"/>
    <n v="2578009.7200000002"/>
    <n v="0"/>
    <n v="2578009.7199999997"/>
    <x v="0"/>
    <x v="0"/>
    <x v="0"/>
    <x v="0"/>
    <x v="0"/>
  </r>
  <r>
    <x v="1"/>
    <x v="0"/>
    <x v="0"/>
    <x v="0"/>
    <x v="0"/>
    <x v="2"/>
    <x v="2"/>
    <n v="19636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8580  BANCO DE OCCIDENTE CUOTA 1 DE 36"/>
    <n v="278630"/>
    <n v="0"/>
    <n v="278630"/>
    <x v="0"/>
    <x v="0"/>
    <x v="0"/>
    <n v="278630"/>
    <n v="0"/>
    <n v="278630"/>
    <x v="0"/>
    <x v="0"/>
    <x v="0"/>
    <n v="278630"/>
    <n v="0"/>
    <n v="278630"/>
    <x v="0"/>
    <x v="0"/>
    <x v="0"/>
    <x v="0"/>
    <x v="0"/>
  </r>
  <r>
    <x v="1"/>
    <x v="0"/>
    <x v="0"/>
    <x v="0"/>
    <x v="0"/>
    <x v="2"/>
    <x v="2"/>
    <n v="19637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241-4  BANCO DE OCIDENTE"/>
    <n v="78490"/>
    <n v="0"/>
    <n v="78490"/>
    <x v="0"/>
    <x v="0"/>
    <x v="0"/>
    <n v="78490"/>
    <n v="0"/>
    <n v="78490"/>
    <x v="0"/>
    <x v="0"/>
    <x v="0"/>
    <n v="78490"/>
    <n v="0"/>
    <n v="78490"/>
    <x v="0"/>
    <x v="0"/>
    <x v="0"/>
    <x v="0"/>
    <x v="0"/>
  </r>
  <r>
    <x v="1"/>
    <x v="0"/>
    <x v="0"/>
    <x v="0"/>
    <x v="0"/>
    <x v="2"/>
    <x v="2"/>
    <n v="19638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231025"/>
    <n v="0"/>
    <n v="231025"/>
    <x v="0"/>
    <x v="0"/>
    <x v="0"/>
    <n v="231025"/>
    <n v="0"/>
    <n v="231025"/>
    <x v="0"/>
    <x v="0"/>
    <x v="0"/>
    <n v="231025"/>
    <n v="0"/>
    <n v="231025"/>
    <x v="0"/>
    <x v="0"/>
    <x v="0"/>
    <x v="0"/>
    <x v="0"/>
  </r>
  <r>
    <x v="1"/>
    <x v="0"/>
    <x v="0"/>
    <x v="0"/>
    <x v="0"/>
    <x v="2"/>
    <x v="2"/>
    <n v="19639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68019"/>
    <n v="0"/>
    <n v="68019"/>
    <x v="0"/>
    <x v="0"/>
    <x v="0"/>
    <n v="68019"/>
    <n v="0"/>
    <n v="68019"/>
    <x v="0"/>
    <x v="0"/>
    <x v="0"/>
    <n v="68019"/>
    <n v="0"/>
    <n v="68019"/>
    <x v="0"/>
    <x v="0"/>
    <x v="0"/>
    <x v="0"/>
    <x v="0"/>
  </r>
  <r>
    <x v="1"/>
    <x v="0"/>
    <x v="0"/>
    <x v="0"/>
    <x v="0"/>
    <x v="2"/>
    <x v="2"/>
    <n v="19716"/>
    <s v="860002964"/>
    <s v="BANCO DE BOGOTA S.A."/>
    <s v="201902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BOGOTA CUOTA FEBRERO"/>
    <n v="386815.36"/>
    <n v="0"/>
    <n v="386815.36"/>
    <x v="0"/>
    <x v="0"/>
    <x v="0"/>
    <n v="386815.36"/>
    <n v="0"/>
    <n v="386815.36"/>
    <x v="0"/>
    <x v="0"/>
    <x v="0"/>
    <n v="386815.36"/>
    <n v="0"/>
    <n v="386815.36"/>
    <x v="0"/>
    <x v="0"/>
    <x v="0"/>
    <x v="0"/>
    <x v="0"/>
  </r>
  <r>
    <x v="5"/>
    <x v="0"/>
    <x v="0"/>
    <x v="0"/>
    <x v="0"/>
    <x v="2"/>
    <x v="2"/>
    <n v="19795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59791-4"/>
    <n v="767761"/>
    <n v="0"/>
    <n v="767761"/>
    <x v="0"/>
    <x v="0"/>
    <x v="0"/>
    <n v="767761"/>
    <n v="0"/>
    <n v="767761"/>
    <x v="0"/>
    <x v="0"/>
    <x v="0"/>
    <n v="767761"/>
    <n v="0"/>
    <n v="767761"/>
    <x v="0"/>
    <x v="0"/>
    <x v="0"/>
    <x v="0"/>
    <x v="0"/>
  </r>
  <r>
    <x v="5"/>
    <x v="0"/>
    <x v="0"/>
    <x v="0"/>
    <x v="0"/>
    <x v="2"/>
    <x v="2"/>
    <n v="19796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565906-3"/>
    <n v="610745"/>
    <n v="0"/>
    <n v="610745"/>
    <x v="0"/>
    <x v="0"/>
    <x v="0"/>
    <n v="610745"/>
    <n v="0"/>
    <n v="610745"/>
    <x v="0"/>
    <x v="0"/>
    <x v="0"/>
    <n v="610745"/>
    <n v="0"/>
    <n v="610745"/>
    <x v="0"/>
    <x v="0"/>
    <x v="0"/>
    <x v="0"/>
    <x v="0"/>
  </r>
  <r>
    <x v="5"/>
    <x v="0"/>
    <x v="0"/>
    <x v="0"/>
    <x v="0"/>
    <x v="2"/>
    <x v="2"/>
    <n v="19797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60520-1"/>
    <n v="763089"/>
    <n v="0"/>
    <n v="763089"/>
    <x v="0"/>
    <x v="0"/>
    <x v="0"/>
    <n v="763089"/>
    <n v="0"/>
    <n v="763089"/>
    <x v="0"/>
    <x v="0"/>
    <x v="0"/>
    <n v="763089"/>
    <n v="0"/>
    <n v="763089"/>
    <x v="0"/>
    <x v="0"/>
    <x v="0"/>
    <x v="0"/>
    <x v="0"/>
  </r>
  <r>
    <x v="5"/>
    <x v="0"/>
    <x v="0"/>
    <x v="0"/>
    <x v="0"/>
    <x v="2"/>
    <x v="2"/>
    <n v="19798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943912"/>
    <n v="146026.43"/>
    <n v="0"/>
    <n v="146026.43"/>
    <x v="0"/>
    <x v="0"/>
    <x v="0"/>
    <n v="146026.43"/>
    <n v="0"/>
    <n v="146026.43"/>
    <x v="0"/>
    <x v="0"/>
    <x v="0"/>
    <n v="146026.43"/>
    <n v="0"/>
    <n v="146026.43"/>
    <x v="0"/>
    <x v="0"/>
    <x v="0"/>
    <x v="0"/>
    <x v="0"/>
  </r>
  <r>
    <x v="5"/>
    <x v="0"/>
    <x v="0"/>
    <x v="0"/>
    <x v="0"/>
    <x v="2"/>
    <x v="2"/>
    <n v="19799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659284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5"/>
    <x v="0"/>
    <x v="0"/>
    <x v="0"/>
    <x v="0"/>
    <x v="2"/>
    <x v="2"/>
    <n v="19800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422-1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5"/>
    <x v="0"/>
    <x v="0"/>
    <x v="0"/>
    <x v="0"/>
    <x v="2"/>
    <x v="2"/>
    <n v="19801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4073 CUOTA 9/36"/>
    <n v="216028"/>
    <n v="0"/>
    <n v="216028"/>
    <x v="0"/>
    <x v="0"/>
    <x v="0"/>
    <n v="216028"/>
    <n v="0"/>
    <n v="216028"/>
    <x v="0"/>
    <x v="0"/>
    <x v="0"/>
    <n v="216028"/>
    <n v="0"/>
    <n v="216028"/>
    <x v="0"/>
    <x v="0"/>
    <x v="0"/>
    <x v="0"/>
    <x v="0"/>
  </r>
  <r>
    <x v="5"/>
    <x v="0"/>
    <x v="0"/>
    <x v="0"/>
    <x v="0"/>
    <x v="2"/>
    <x v="2"/>
    <n v="19802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REDITO 13241-4"/>
    <n v="0"/>
    <n v="133529"/>
    <n v="-133529"/>
    <x v="0"/>
    <x v="0"/>
    <x v="0"/>
    <n v="0"/>
    <n v="133529"/>
    <n v="-133529"/>
    <x v="0"/>
    <x v="0"/>
    <x v="0"/>
    <n v="0"/>
    <n v="133529"/>
    <n v="-133529"/>
    <x v="0"/>
    <x v="0"/>
    <x v="0"/>
    <x v="0"/>
    <x v="0"/>
  </r>
  <r>
    <x v="5"/>
    <x v="0"/>
    <x v="0"/>
    <x v="0"/>
    <x v="0"/>
    <x v="2"/>
    <x v="2"/>
    <n v="19803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8580 CUOTA 2/36"/>
    <n v="272480"/>
    <n v="0"/>
    <n v="272480"/>
    <x v="0"/>
    <x v="0"/>
    <x v="0"/>
    <n v="272480"/>
    <n v="0"/>
    <n v="272480"/>
    <x v="0"/>
    <x v="0"/>
    <x v="0"/>
    <n v="272480"/>
    <n v="0"/>
    <n v="272480"/>
    <x v="0"/>
    <x v="0"/>
    <x v="0"/>
    <x v="0"/>
    <x v="0"/>
  </r>
  <r>
    <x v="0"/>
    <x v="0"/>
    <x v="0"/>
    <x v="0"/>
    <x v="0"/>
    <x v="2"/>
    <x v="2"/>
    <n v="19396"/>
    <s v="860035827"/>
    <s v="BANCO AV VILLAS"/>
    <s v="201901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OBLIG 78138-3 CUOTA MES DE ENERO 2019"/>
    <n v="76777"/>
    <n v="0"/>
    <n v="76777"/>
    <x v="0"/>
    <x v="0"/>
    <x v="0"/>
    <n v="76777"/>
    <n v="0"/>
    <n v="76777"/>
    <x v="0"/>
    <x v="0"/>
    <x v="0"/>
    <n v="76777"/>
    <n v="0"/>
    <n v="76777"/>
    <x v="0"/>
    <x v="0"/>
    <x v="0"/>
    <x v="0"/>
    <x v="0"/>
  </r>
  <r>
    <x v="5"/>
    <x v="0"/>
    <x v="0"/>
    <x v="0"/>
    <x v="0"/>
    <x v="2"/>
    <x v="2"/>
    <n v="19806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8263"/>
    <n v="2484725"/>
    <n v="0"/>
    <n v="2484725"/>
    <x v="0"/>
    <x v="0"/>
    <x v="0"/>
    <n v="2484725"/>
    <n v="0"/>
    <n v="2484725"/>
    <x v="0"/>
    <x v="0"/>
    <x v="0"/>
    <n v="2484725"/>
    <n v="0"/>
    <n v="2484725"/>
    <x v="0"/>
    <x v="0"/>
    <x v="0"/>
    <x v="0"/>
    <x v="0"/>
  </r>
  <r>
    <x v="5"/>
    <x v="0"/>
    <x v="0"/>
    <x v="0"/>
    <x v="0"/>
    <x v="2"/>
    <x v="2"/>
    <n v="19807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5738"/>
    <n v="413612"/>
    <n v="0"/>
    <n v="413612"/>
    <x v="0"/>
    <x v="0"/>
    <x v="0"/>
    <n v="413612"/>
    <n v="0"/>
    <n v="413612"/>
    <x v="0"/>
    <x v="0"/>
    <x v="0"/>
    <n v="413612"/>
    <n v="0"/>
    <n v="413612"/>
    <x v="0"/>
    <x v="0"/>
    <x v="0"/>
    <x v="0"/>
    <x v="0"/>
  </r>
  <r>
    <x v="5"/>
    <x v="0"/>
    <x v="0"/>
    <x v="0"/>
    <x v="0"/>
    <x v="2"/>
    <x v="2"/>
    <n v="19808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4268"/>
    <n v="957944"/>
    <n v="0"/>
    <n v="957944"/>
    <x v="0"/>
    <x v="0"/>
    <x v="0"/>
    <n v="957944"/>
    <n v="0"/>
    <n v="957944"/>
    <x v="0"/>
    <x v="0"/>
    <x v="0"/>
    <n v="957944"/>
    <n v="0"/>
    <n v="957944"/>
    <x v="0"/>
    <x v="0"/>
    <x v="0"/>
    <x v="0"/>
    <x v="0"/>
  </r>
  <r>
    <x v="5"/>
    <x v="0"/>
    <x v="0"/>
    <x v="0"/>
    <x v="0"/>
    <x v="2"/>
    <x v="2"/>
    <n v="19809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277483-7"/>
    <n v="3068251"/>
    <n v="0"/>
    <n v="3068251"/>
    <x v="0"/>
    <x v="0"/>
    <x v="0"/>
    <n v="3068251"/>
    <n v="0"/>
    <n v="3068251"/>
    <x v="0"/>
    <x v="0"/>
    <x v="0"/>
    <n v="3068251"/>
    <n v="0"/>
    <n v="3068251"/>
    <x v="0"/>
    <x v="0"/>
    <x v="0"/>
    <x v="0"/>
    <x v="0"/>
  </r>
  <r>
    <x v="5"/>
    <x v="0"/>
    <x v="0"/>
    <x v="0"/>
    <x v="0"/>
    <x v="2"/>
    <x v="2"/>
    <n v="19810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527366-7"/>
    <n v="1323134"/>
    <n v="0"/>
    <n v="1323134"/>
    <x v="0"/>
    <x v="0"/>
    <x v="0"/>
    <n v="1323134"/>
    <n v="0"/>
    <n v="1323134"/>
    <x v="0"/>
    <x v="0"/>
    <x v="0"/>
    <n v="1323134"/>
    <n v="0"/>
    <n v="1323134"/>
    <x v="0"/>
    <x v="0"/>
    <x v="0"/>
    <x v="0"/>
    <x v="0"/>
  </r>
  <r>
    <x v="5"/>
    <x v="0"/>
    <x v="0"/>
    <x v="0"/>
    <x v="0"/>
    <x v="2"/>
    <x v="2"/>
    <n v="19844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0  BANCOLOMBIA"/>
    <n v="223372"/>
    <n v="0"/>
    <n v="223372"/>
    <x v="0"/>
    <x v="0"/>
    <x v="0"/>
    <n v="223372"/>
    <n v="0"/>
    <n v="223372"/>
    <x v="0"/>
    <x v="0"/>
    <x v="0"/>
    <n v="223372"/>
    <n v="0"/>
    <n v="223372"/>
    <x v="0"/>
    <x v="0"/>
    <x v="0"/>
    <x v="0"/>
    <x v="0"/>
  </r>
  <r>
    <x v="5"/>
    <x v="0"/>
    <x v="0"/>
    <x v="0"/>
    <x v="0"/>
    <x v="2"/>
    <x v="2"/>
    <n v="19845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BANCOLOMBIA  CUOTA 35"/>
    <n v="64751"/>
    <n v="0"/>
    <n v="64751"/>
    <x v="0"/>
    <x v="0"/>
    <x v="0"/>
    <n v="64751"/>
    <n v="0"/>
    <n v="64751"/>
    <x v="0"/>
    <x v="0"/>
    <x v="0"/>
    <n v="64751"/>
    <n v="0"/>
    <n v="64751"/>
    <x v="0"/>
    <x v="0"/>
    <x v="0"/>
    <x v="0"/>
    <x v="0"/>
  </r>
  <r>
    <x v="5"/>
    <x v="0"/>
    <x v="0"/>
    <x v="0"/>
    <x v="0"/>
    <x v="2"/>
    <x v="2"/>
    <n v="19900"/>
    <s v="890903938"/>
    <s v="BANCOLOMBIA S.A."/>
    <s v="201903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27"/>
    <n v="293229"/>
    <n v="0"/>
    <n v="293229"/>
    <x v="0"/>
    <x v="0"/>
    <x v="0"/>
    <n v="293229"/>
    <n v="0"/>
    <n v="293229"/>
    <x v="0"/>
    <x v="0"/>
    <x v="0"/>
    <n v="293229"/>
    <n v="0"/>
    <n v="293229"/>
    <x v="0"/>
    <x v="0"/>
    <x v="0"/>
    <x v="0"/>
    <x v="0"/>
  </r>
  <r>
    <x v="5"/>
    <x v="0"/>
    <x v="0"/>
    <x v="0"/>
    <x v="0"/>
    <x v="2"/>
    <x v="2"/>
    <n v="19924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4"/>
    <x v="4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- PAGO DE ALOJAMIENTO CLUB 100"/>
    <n v="131130"/>
    <n v="0"/>
    <n v="131130"/>
    <x v="0"/>
    <x v="0"/>
    <x v="0"/>
    <n v="131130"/>
    <n v="0"/>
    <n v="131130"/>
    <x v="0"/>
    <x v="0"/>
    <x v="0"/>
    <n v="131130"/>
    <n v="0"/>
    <n v="131130"/>
    <x v="0"/>
    <x v="0"/>
    <x v="0"/>
    <x v="0"/>
    <x v="0"/>
  </r>
  <r>
    <x v="5"/>
    <x v="0"/>
    <x v="0"/>
    <x v="0"/>
    <x v="0"/>
    <x v="2"/>
    <x v="2"/>
    <n v="19927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BANCOLOMBIA 2581 DOLARES TARJETA DE CREDITO"/>
    <n v="4103.51"/>
    <n v="0"/>
    <n v="4103.51"/>
    <x v="0"/>
    <x v="0"/>
    <x v="0"/>
    <n v="4103.51"/>
    <n v="0"/>
    <n v="4103.51"/>
    <x v="0"/>
    <x v="0"/>
    <x v="0"/>
    <n v="4103.51"/>
    <n v="0"/>
    <n v="4103.51"/>
    <x v="0"/>
    <x v="0"/>
    <x v="0"/>
    <x v="0"/>
    <x v="0"/>
  </r>
  <r>
    <x v="5"/>
    <x v="0"/>
    <x v="0"/>
    <x v="0"/>
    <x v="0"/>
    <x v="2"/>
    <x v="2"/>
    <n v="19931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0"/>
    <n v="162828.67000000001"/>
    <n v="-162828.67000000001"/>
    <x v="0"/>
    <x v="0"/>
    <x v="0"/>
    <n v="0"/>
    <n v="162828.67000000001"/>
    <n v="-162828.67000000001"/>
    <x v="0"/>
    <x v="0"/>
    <x v="0"/>
    <n v="0"/>
    <n v="162828.67000000001"/>
    <n v="-162828.67000000001"/>
    <x v="0"/>
    <x v="0"/>
    <x v="0"/>
    <x v="0"/>
    <x v="0"/>
  </r>
  <r>
    <x v="7"/>
    <x v="0"/>
    <x v="0"/>
    <x v="0"/>
    <x v="0"/>
    <x v="2"/>
    <x v="2"/>
    <n v="19937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2997662"/>
    <n v="0"/>
    <n v="2997662"/>
    <x v="0"/>
    <x v="0"/>
    <x v="0"/>
    <n v="2997662"/>
    <n v="0"/>
    <n v="2997662"/>
    <x v="0"/>
    <x v="0"/>
    <x v="0"/>
    <n v="2997662"/>
    <n v="0"/>
    <n v="2997662"/>
    <x v="0"/>
    <x v="0"/>
    <x v="0"/>
    <x v="0"/>
    <x v="0"/>
  </r>
  <r>
    <x v="7"/>
    <x v="0"/>
    <x v="0"/>
    <x v="0"/>
    <x v="0"/>
    <x v="2"/>
    <x v="2"/>
    <n v="19938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66-7  AV VILLAS"/>
    <n v="1299742"/>
    <n v="0"/>
    <n v="1299742"/>
    <x v="0"/>
    <x v="0"/>
    <x v="0"/>
    <n v="1299742"/>
    <n v="0"/>
    <n v="1299742"/>
    <x v="0"/>
    <x v="0"/>
    <x v="0"/>
    <n v="1299742"/>
    <n v="0"/>
    <n v="1299742"/>
    <x v="0"/>
    <x v="0"/>
    <x v="0"/>
    <x v="0"/>
    <x v="0"/>
  </r>
  <r>
    <x v="7"/>
    <x v="0"/>
    <x v="0"/>
    <x v="0"/>
    <x v="0"/>
    <x v="13"/>
    <x v="13"/>
    <n v="135"/>
    <s v="29873536"/>
    <s v="ZUÑIGA CEBALLOS CLAUDIA MARIA"/>
    <s v="201904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-INTERESSES PRESTAMOS"/>
    <n v="6251"/>
    <n v="0"/>
    <n v="6251"/>
    <x v="0"/>
    <x v="0"/>
    <x v="0"/>
    <n v="6251"/>
    <n v="0"/>
    <n v="6251"/>
    <x v="0"/>
    <x v="0"/>
    <x v="0"/>
    <n v="6251"/>
    <n v="0"/>
    <n v="6251"/>
    <x v="0"/>
    <x v="0"/>
    <x v="0"/>
    <x v="0"/>
    <x v="0"/>
  </r>
  <r>
    <x v="7"/>
    <x v="0"/>
    <x v="0"/>
    <x v="0"/>
    <x v="0"/>
    <x v="2"/>
    <x v="2"/>
    <n v="19954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05450 BANCOLOMBIA CUOTA 16"/>
    <n v="226179"/>
    <n v="0"/>
    <n v="226179"/>
    <x v="0"/>
    <x v="0"/>
    <x v="0"/>
    <n v="226179"/>
    <n v="0"/>
    <n v="226179"/>
    <x v="0"/>
    <x v="0"/>
    <x v="0"/>
    <n v="226179"/>
    <n v="0"/>
    <n v="226179"/>
    <x v="0"/>
    <x v="0"/>
    <x v="0"/>
    <x v="0"/>
    <x v="0"/>
  </r>
  <r>
    <x v="7"/>
    <x v="0"/>
    <x v="0"/>
    <x v="0"/>
    <x v="0"/>
    <x v="2"/>
    <x v="2"/>
    <n v="19956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87498 BANCOLOMBIA CUOTA 36"/>
    <n v="61444"/>
    <n v="0"/>
    <n v="61444"/>
    <x v="0"/>
    <x v="0"/>
    <x v="0"/>
    <n v="61444"/>
    <n v="0"/>
    <n v="61444"/>
    <x v="0"/>
    <x v="0"/>
    <x v="0"/>
    <n v="61444"/>
    <n v="0"/>
    <n v="61444"/>
    <x v="0"/>
    <x v="0"/>
    <x v="0"/>
    <x v="0"/>
    <x v="0"/>
  </r>
  <r>
    <x v="7"/>
    <x v="0"/>
    <x v="0"/>
    <x v="0"/>
    <x v="0"/>
    <x v="2"/>
    <x v="2"/>
    <n v="19957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95962 BANCOLOMBIA CUOTA 28"/>
    <n v="281922"/>
    <n v="0"/>
    <n v="281922"/>
    <x v="0"/>
    <x v="0"/>
    <x v="0"/>
    <n v="281922"/>
    <n v="0"/>
    <n v="281922"/>
    <x v="0"/>
    <x v="0"/>
    <x v="0"/>
    <n v="281922"/>
    <n v="0"/>
    <n v="281922"/>
    <x v="0"/>
    <x v="0"/>
    <x v="0"/>
    <x v="0"/>
    <x v="0"/>
  </r>
  <r>
    <x v="7"/>
    <x v="0"/>
    <x v="0"/>
    <x v="0"/>
    <x v="0"/>
    <x v="2"/>
    <x v="2"/>
    <n v="19961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032798.28"/>
    <n v="0"/>
    <n v="1032798.28"/>
    <x v="0"/>
    <x v="0"/>
    <x v="0"/>
    <n v="1032798.28"/>
    <n v="0"/>
    <n v="1032798.28"/>
    <x v="0"/>
    <x v="0"/>
    <x v="0"/>
    <n v="1032798.28"/>
    <n v="0"/>
    <n v="1032798.28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45540.88"/>
    <n v="0"/>
    <n v="345540.88"/>
    <x v="0"/>
    <x v="0"/>
    <x v="0"/>
    <n v="345540.88"/>
    <n v="0"/>
    <n v="345540.88"/>
    <x v="0"/>
    <x v="0"/>
    <x v="0"/>
    <n v="345540.88"/>
    <n v="0"/>
    <n v="345540.88"/>
    <x v="0"/>
    <x v="0"/>
    <x v="0"/>
    <x v="0"/>
    <x v="0"/>
  </r>
  <r>
    <x v="7"/>
    <x v="0"/>
    <x v="0"/>
    <x v="0"/>
    <x v="0"/>
    <x v="2"/>
    <x v="2"/>
    <n v="19964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AV VILLAS"/>
    <n v="569638"/>
    <n v="0"/>
    <n v="569638"/>
    <x v="0"/>
    <x v="0"/>
    <x v="0"/>
    <n v="569638"/>
    <n v="0"/>
    <n v="569638"/>
    <x v="0"/>
    <x v="0"/>
    <x v="0"/>
    <n v="569638"/>
    <n v="0"/>
    <n v="569638"/>
    <x v="0"/>
    <x v="0"/>
    <x v="0"/>
    <x v="0"/>
    <x v="0"/>
  </r>
  <r>
    <x v="7"/>
    <x v="0"/>
    <x v="0"/>
    <x v="0"/>
    <x v="0"/>
    <x v="2"/>
    <x v="2"/>
    <n v="19965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AV VILLAS"/>
    <n v="728011"/>
    <n v="0"/>
    <n v="728011"/>
    <x v="0"/>
    <x v="0"/>
    <x v="0"/>
    <n v="728011"/>
    <n v="0"/>
    <n v="728011"/>
    <x v="0"/>
    <x v="0"/>
    <x v="0"/>
    <n v="728011"/>
    <n v="0"/>
    <n v="728011"/>
    <x v="0"/>
    <x v="0"/>
    <x v="0"/>
    <x v="0"/>
    <x v="0"/>
  </r>
  <r>
    <x v="7"/>
    <x v="0"/>
    <x v="0"/>
    <x v="0"/>
    <x v="0"/>
    <x v="2"/>
    <x v="2"/>
    <n v="19966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791-4 AV VILLAS"/>
    <n v="729437"/>
    <n v="0"/>
    <n v="729437"/>
    <x v="0"/>
    <x v="0"/>
    <x v="0"/>
    <n v="729437"/>
    <n v="0"/>
    <n v="729437"/>
    <x v="0"/>
    <x v="0"/>
    <x v="0"/>
    <n v="729437"/>
    <n v="0"/>
    <n v="729437"/>
    <x v="0"/>
    <x v="0"/>
    <x v="0"/>
    <x v="0"/>
    <x v="0"/>
  </r>
  <r>
    <x v="7"/>
    <x v="0"/>
    <x v="0"/>
    <x v="0"/>
    <x v="0"/>
    <x v="2"/>
    <x v="2"/>
    <n v="19969"/>
    <s v="890903938"/>
    <s v="BANCOLOMBIA S.A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2341075"/>
    <n v="0"/>
    <n v="2341075"/>
    <x v="0"/>
    <x v="0"/>
    <x v="0"/>
    <n v="2341075"/>
    <n v="0"/>
    <n v="2341075"/>
    <x v="0"/>
    <x v="0"/>
    <x v="0"/>
    <n v="2341075"/>
    <n v="0"/>
    <n v="2341075"/>
    <x v="0"/>
    <x v="0"/>
    <x v="0"/>
    <x v="0"/>
    <x v="0"/>
  </r>
  <r>
    <x v="7"/>
    <x v="0"/>
    <x v="0"/>
    <x v="0"/>
    <x v="0"/>
    <x v="2"/>
    <x v="2"/>
    <n v="19970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3422-1  BANCO DE OCCIDENTE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7"/>
    <x v="0"/>
    <x v="0"/>
    <x v="0"/>
    <x v="0"/>
    <x v="2"/>
    <x v="2"/>
    <n v="19972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28580 BANCO DE OCCIDENTE"/>
    <n v="266463"/>
    <n v="0"/>
    <n v="266463"/>
    <x v="0"/>
    <x v="0"/>
    <x v="0"/>
    <n v="266463"/>
    <n v="0"/>
    <n v="266463"/>
    <x v="0"/>
    <x v="0"/>
    <x v="0"/>
    <n v="266463"/>
    <n v="0"/>
    <n v="266463"/>
    <x v="0"/>
    <x v="0"/>
    <x v="0"/>
    <x v="0"/>
    <x v="0"/>
  </r>
  <r>
    <x v="7"/>
    <x v="0"/>
    <x v="0"/>
    <x v="0"/>
    <x v="0"/>
    <x v="2"/>
    <x v="2"/>
    <n v="19973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681427"/>
    <n v="0"/>
    <n v="681427"/>
    <x v="0"/>
    <x v="0"/>
    <x v="0"/>
    <n v="681427"/>
    <n v="0"/>
    <n v="681427"/>
    <x v="0"/>
    <x v="0"/>
    <x v="0"/>
    <n v="681427"/>
    <n v="0"/>
    <n v="681427"/>
    <x v="0"/>
    <x v="0"/>
    <x v="0"/>
    <x v="0"/>
    <x v="0"/>
  </r>
  <r>
    <x v="7"/>
    <x v="0"/>
    <x v="0"/>
    <x v="0"/>
    <x v="0"/>
    <x v="2"/>
    <x v="2"/>
    <n v="19974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0"/>
    <n v="146717"/>
    <n v="-146717"/>
    <x v="0"/>
    <x v="0"/>
    <x v="0"/>
    <n v="0"/>
    <n v="146717"/>
    <n v="-146717"/>
    <x v="0"/>
    <x v="0"/>
    <x v="0"/>
    <n v="0"/>
    <n v="146717"/>
    <n v="-146717"/>
    <x v="0"/>
    <x v="0"/>
    <x v="0"/>
    <x v="0"/>
    <x v="0"/>
  </r>
  <r>
    <x v="7"/>
    <x v="0"/>
    <x v="0"/>
    <x v="0"/>
    <x v="0"/>
    <x v="2"/>
    <x v="2"/>
    <n v="19975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117424"/>
    <n v="0"/>
    <n v="117424"/>
    <x v="0"/>
    <x v="0"/>
    <x v="0"/>
    <n v="117424"/>
    <n v="0"/>
    <n v="117424"/>
    <x v="0"/>
    <x v="0"/>
    <x v="0"/>
    <n v="117424"/>
    <n v="0"/>
    <n v="117424"/>
    <x v="0"/>
    <x v="0"/>
    <x v="0"/>
    <x v="0"/>
    <x v="0"/>
  </r>
  <r>
    <x v="7"/>
    <x v="0"/>
    <x v="0"/>
    <x v="0"/>
    <x v="0"/>
    <x v="2"/>
    <x v="2"/>
    <n v="20040"/>
    <s v="860007660"/>
    <s v="HELM BANK S.A."/>
    <s v="201904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 BANK- INTERES CREDITO ROTATIVO"/>
    <n v="1418552"/>
    <n v="0"/>
    <n v="1418552"/>
    <x v="0"/>
    <x v="0"/>
    <x v="0"/>
    <n v="1418552"/>
    <n v="0"/>
    <n v="1418552"/>
    <x v="0"/>
    <x v="0"/>
    <x v="0"/>
    <n v="1418552"/>
    <n v="0"/>
    <n v="1418552"/>
    <x v="0"/>
    <x v="0"/>
    <x v="0"/>
    <x v="0"/>
    <x v="0"/>
  </r>
  <r>
    <x v="7"/>
    <x v="0"/>
    <x v="0"/>
    <x v="0"/>
    <x v="0"/>
    <x v="2"/>
    <x v="2"/>
    <n v="20068"/>
    <s v="860007660"/>
    <s v="HELM BANK S.A."/>
    <s v="201904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A ROTATIVO HELM BANK"/>
    <n v="40690.379999999997"/>
    <n v="0"/>
    <n v="40690.379999999997"/>
    <x v="0"/>
    <x v="0"/>
    <x v="0"/>
    <n v="40690.379999999997"/>
    <n v="0"/>
    <n v="40690.379999999997"/>
    <x v="0"/>
    <x v="0"/>
    <x v="0"/>
    <n v="40690.379999999997"/>
    <n v="0"/>
    <n v="40690.379999999997"/>
    <x v="0"/>
    <x v="0"/>
    <x v="0"/>
    <x v="0"/>
    <x v="0"/>
  </r>
  <r>
    <x v="6"/>
    <x v="0"/>
    <x v="0"/>
    <x v="0"/>
    <x v="0"/>
    <x v="2"/>
    <x v="2"/>
    <n v="20095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 CUOTA 37"/>
    <n v="58430"/>
    <n v="0"/>
    <n v="58430"/>
    <x v="0"/>
    <x v="0"/>
    <x v="0"/>
    <n v="58430"/>
    <n v="0"/>
    <n v="58430"/>
    <x v="0"/>
    <x v="0"/>
    <x v="0"/>
    <n v="58430"/>
    <n v="0"/>
    <n v="58430"/>
    <x v="0"/>
    <x v="0"/>
    <x v="0"/>
    <x v="0"/>
    <x v="0"/>
  </r>
  <r>
    <x v="6"/>
    <x v="0"/>
    <x v="0"/>
    <x v="0"/>
    <x v="0"/>
    <x v="2"/>
    <x v="2"/>
    <n v="20096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 CUOTA 37"/>
    <n v="211250"/>
    <n v="0"/>
    <n v="211250"/>
    <x v="0"/>
    <x v="0"/>
    <x v="0"/>
    <n v="211250"/>
    <n v="0"/>
    <n v="211250"/>
    <x v="0"/>
    <x v="0"/>
    <x v="0"/>
    <n v="211250"/>
    <n v="0"/>
    <n v="211250"/>
    <x v="0"/>
    <x v="0"/>
    <x v="0"/>
    <x v="0"/>
    <x v="0"/>
  </r>
  <r>
    <x v="6"/>
    <x v="0"/>
    <x v="0"/>
    <x v="0"/>
    <x v="0"/>
    <x v="2"/>
    <x v="2"/>
    <n v="20097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5738  BANCOLOMBIA CUOTA 37"/>
    <n v="344173"/>
    <n v="0"/>
    <n v="344173"/>
    <x v="0"/>
    <x v="0"/>
    <x v="0"/>
    <n v="344173"/>
    <n v="0"/>
    <n v="344173"/>
    <x v="0"/>
    <x v="0"/>
    <x v="0"/>
    <n v="344173"/>
    <n v="0"/>
    <n v="344173"/>
    <x v="0"/>
    <x v="0"/>
    <x v="0"/>
    <x v="0"/>
    <x v="0"/>
  </r>
  <r>
    <x v="6"/>
    <x v="0"/>
    <x v="0"/>
    <x v="0"/>
    <x v="0"/>
    <x v="2"/>
    <x v="2"/>
    <n v="20098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BANCOLOMBIA CUOTA 37"/>
    <n v="857841"/>
    <n v="0"/>
    <n v="857841"/>
    <x v="0"/>
    <x v="0"/>
    <x v="0"/>
    <n v="857841"/>
    <n v="0"/>
    <n v="857841"/>
    <x v="0"/>
    <x v="0"/>
    <x v="0"/>
    <n v="857841"/>
    <n v="0"/>
    <n v="857841"/>
    <x v="0"/>
    <x v="0"/>
    <x v="0"/>
    <x v="0"/>
    <x v="0"/>
  </r>
  <r>
    <x v="6"/>
    <x v="0"/>
    <x v="0"/>
    <x v="0"/>
    <x v="0"/>
    <x v="2"/>
    <x v="2"/>
    <n v="20103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03722"/>
    <n v="0"/>
    <n v="203722"/>
    <x v="0"/>
    <x v="0"/>
    <x v="0"/>
    <n v="203722"/>
    <n v="0"/>
    <n v="203722"/>
    <x v="0"/>
    <x v="0"/>
    <x v="0"/>
    <n v="203722"/>
    <n v="0"/>
    <n v="203722"/>
    <x v="0"/>
    <x v="0"/>
    <x v="0"/>
    <x v="0"/>
    <x v="0"/>
  </r>
  <r>
    <x v="6"/>
    <x v="0"/>
    <x v="0"/>
    <x v="0"/>
    <x v="0"/>
    <x v="2"/>
    <x v="2"/>
    <n v="20104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60402"/>
    <n v="0"/>
    <n v="260402"/>
    <x v="0"/>
    <x v="0"/>
    <x v="0"/>
    <n v="260402"/>
    <n v="0"/>
    <n v="260402"/>
    <x v="0"/>
    <x v="0"/>
    <x v="0"/>
    <n v="260402"/>
    <n v="0"/>
    <n v="260402"/>
    <x v="0"/>
    <x v="0"/>
    <x v="0"/>
    <x v="0"/>
    <x v="0"/>
  </r>
  <r>
    <x v="6"/>
    <x v="0"/>
    <x v="0"/>
    <x v="0"/>
    <x v="0"/>
    <x v="2"/>
    <x v="2"/>
    <n v="20112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AV VILLAS"/>
    <n v="670238"/>
    <n v="0"/>
    <n v="670238"/>
    <x v="0"/>
    <x v="0"/>
    <x v="0"/>
    <n v="670238"/>
    <n v="0"/>
    <n v="670238"/>
    <x v="0"/>
    <x v="0"/>
    <x v="0"/>
    <n v="670238"/>
    <n v="0"/>
    <n v="670238"/>
    <x v="0"/>
    <x v="0"/>
    <x v="0"/>
    <x v="0"/>
    <x v="0"/>
  </r>
  <r>
    <x v="6"/>
    <x v="0"/>
    <x v="0"/>
    <x v="0"/>
    <x v="0"/>
    <x v="11"/>
    <x v="11"/>
    <n v="26218"/>
    <s v="1098657994"/>
    <s v="HERNANDEZ ROJAS JOHN EDISON"/>
    <s v="201905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3+ GASTOS BANCARIOS"/>
    <n v="6768"/>
    <n v="0"/>
    <n v="6768"/>
    <x v="0"/>
    <x v="0"/>
    <x v="0"/>
    <n v="6768"/>
    <n v="0"/>
    <n v="6768"/>
    <x v="0"/>
    <x v="0"/>
    <x v="0"/>
    <n v="6768"/>
    <n v="0"/>
    <n v="6768"/>
    <x v="0"/>
    <x v="0"/>
    <x v="0"/>
    <x v="0"/>
    <x v="0"/>
  </r>
  <r>
    <x v="7"/>
    <x v="0"/>
    <x v="0"/>
    <x v="0"/>
    <x v="0"/>
    <x v="2"/>
    <x v="2"/>
    <n v="19952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AI"/>
    <n v="917340"/>
    <n v="0"/>
    <n v="917340"/>
    <x v="0"/>
    <x v="0"/>
    <x v="0"/>
    <n v="917340"/>
    <n v="0"/>
    <n v="917340"/>
    <x v="0"/>
    <x v="0"/>
    <x v="0"/>
    <n v="917340"/>
    <n v="0"/>
    <n v="917340"/>
    <x v="0"/>
    <x v="0"/>
    <x v="0"/>
    <x v="0"/>
    <x v="0"/>
  </r>
  <r>
    <x v="7"/>
    <x v="0"/>
    <x v="0"/>
    <x v="0"/>
    <x v="0"/>
    <x v="2"/>
    <x v="2"/>
    <n v="19953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85738 BANCOLOMBIA"/>
    <n v="386396"/>
    <n v="0"/>
    <n v="386396"/>
    <x v="0"/>
    <x v="0"/>
    <x v="0"/>
    <n v="386396"/>
    <n v="0"/>
    <n v="386396"/>
    <x v="0"/>
    <x v="0"/>
    <x v="0"/>
    <n v="386396"/>
    <n v="0"/>
    <n v="386396"/>
    <x v="0"/>
    <x v="0"/>
    <x v="0"/>
    <x v="0"/>
    <x v="0"/>
  </r>
  <r>
    <x v="7"/>
    <x v="0"/>
    <x v="0"/>
    <x v="0"/>
    <x v="0"/>
    <x v="2"/>
    <x v="2"/>
    <n v="19990"/>
    <s v="860007660"/>
    <s v="HELM BANK S.A."/>
    <s v="201904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E CREDITO MES DE MARZO HELM"/>
    <n v="211023.33"/>
    <n v="0"/>
    <n v="211023.33000000002"/>
    <x v="0"/>
    <x v="0"/>
    <x v="0"/>
    <n v="211023.33"/>
    <n v="0"/>
    <n v="211023.33000000002"/>
    <x v="0"/>
    <x v="0"/>
    <x v="0"/>
    <n v="211023.33"/>
    <n v="0"/>
    <n v="211023.33000000002"/>
    <x v="0"/>
    <x v="0"/>
    <x v="0"/>
    <x v="0"/>
    <x v="0"/>
  </r>
  <r>
    <x v="6"/>
    <x v="0"/>
    <x v="0"/>
    <x v="0"/>
    <x v="0"/>
    <x v="2"/>
    <x v="2"/>
    <n v="20106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BANCO DE OCCIDENTE"/>
    <n v="640986"/>
    <n v="0"/>
    <n v="640986"/>
    <x v="0"/>
    <x v="0"/>
    <x v="0"/>
    <n v="640986"/>
    <n v="0"/>
    <n v="640986"/>
    <x v="0"/>
    <x v="0"/>
    <x v="0"/>
    <n v="640986"/>
    <n v="0"/>
    <n v="640986"/>
    <x v="0"/>
    <x v="0"/>
    <x v="0"/>
    <x v="0"/>
    <x v="0"/>
  </r>
  <r>
    <x v="6"/>
    <x v="0"/>
    <x v="0"/>
    <x v="0"/>
    <x v="0"/>
    <x v="2"/>
    <x v="2"/>
    <n v="20108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153224"/>
    <n v="0"/>
    <n v="153224"/>
    <x v="0"/>
    <x v="0"/>
    <x v="0"/>
    <n v="153224"/>
    <n v="0"/>
    <n v="153224"/>
    <x v="0"/>
    <x v="0"/>
    <x v="0"/>
    <n v="153224"/>
    <n v="0"/>
    <n v="153224"/>
    <x v="0"/>
    <x v="0"/>
    <x v="0"/>
    <x v="0"/>
    <x v="0"/>
  </r>
  <r>
    <x v="6"/>
    <x v="0"/>
    <x v="0"/>
    <x v="0"/>
    <x v="0"/>
    <x v="2"/>
    <x v="2"/>
    <n v="20109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25183"/>
    <n v="0"/>
    <n v="1225183"/>
    <x v="0"/>
    <x v="0"/>
    <x v="0"/>
    <n v="1225183"/>
    <n v="0"/>
    <n v="1225183"/>
    <x v="0"/>
    <x v="0"/>
    <x v="0"/>
    <n v="1225183"/>
    <n v="0"/>
    <n v="1225183"/>
    <x v="0"/>
    <x v="0"/>
    <x v="0"/>
    <x v="0"/>
    <x v="0"/>
  </r>
  <r>
    <x v="6"/>
    <x v="0"/>
    <x v="0"/>
    <x v="0"/>
    <x v="0"/>
    <x v="2"/>
    <x v="2"/>
    <n v="20110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73683"/>
    <n v="0"/>
    <n v="673683"/>
    <x v="0"/>
    <x v="0"/>
    <x v="0"/>
    <n v="673683"/>
    <n v="0"/>
    <n v="673683"/>
    <x v="0"/>
    <x v="0"/>
    <x v="0"/>
    <n v="673683"/>
    <n v="0"/>
    <n v="673683"/>
    <x v="0"/>
    <x v="0"/>
    <x v="0"/>
    <x v="0"/>
    <x v="0"/>
  </r>
  <r>
    <x v="6"/>
    <x v="0"/>
    <x v="0"/>
    <x v="0"/>
    <x v="0"/>
    <x v="2"/>
    <x v="2"/>
    <n v="20113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AV VILLAS"/>
    <n v="506107"/>
    <n v="0"/>
    <n v="506107"/>
    <x v="0"/>
    <x v="0"/>
    <x v="0"/>
    <n v="506107"/>
    <n v="0"/>
    <n v="506107"/>
    <x v="0"/>
    <x v="0"/>
    <x v="0"/>
    <n v="506107"/>
    <n v="0"/>
    <n v="506107"/>
    <x v="0"/>
    <x v="0"/>
    <x v="0"/>
    <x v="0"/>
    <x v="0"/>
  </r>
  <r>
    <x v="6"/>
    <x v="0"/>
    <x v="0"/>
    <x v="0"/>
    <x v="0"/>
    <x v="2"/>
    <x v="2"/>
    <n v="20115"/>
    <s v="860002964"/>
    <s v="BANCO DE BOGOT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13070.51"/>
    <n v="0"/>
    <n v="113070.51000000001"/>
    <x v="0"/>
    <x v="0"/>
    <x v="0"/>
    <n v="113070.51"/>
    <n v="0"/>
    <n v="113070.51000000001"/>
    <x v="0"/>
    <x v="0"/>
    <x v="0"/>
    <n v="113070.51"/>
    <n v="0"/>
    <n v="113070.51000000001"/>
    <x v="0"/>
    <x v="0"/>
    <x v="0"/>
    <x v="0"/>
    <x v="0"/>
  </r>
  <r>
    <x v="6"/>
    <x v="0"/>
    <x v="0"/>
    <x v="0"/>
    <x v="0"/>
    <x v="2"/>
    <x v="2"/>
    <n v="20159"/>
    <s v="890903938"/>
    <s v="BANCOLOMBIA S.A."/>
    <s v="201905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OBLIGACION 8263"/>
    <n v="2223174"/>
    <n v="0"/>
    <n v="2223174"/>
    <x v="0"/>
    <x v="0"/>
    <x v="0"/>
    <n v="2223174"/>
    <n v="0"/>
    <n v="2223174"/>
    <x v="0"/>
    <x v="0"/>
    <x v="0"/>
    <n v="2223174"/>
    <n v="0"/>
    <n v="2223174"/>
    <x v="0"/>
    <x v="0"/>
    <x v="0"/>
    <x v="0"/>
    <x v="0"/>
  </r>
  <r>
    <x v="6"/>
    <x v="0"/>
    <x v="0"/>
    <x v="0"/>
    <x v="0"/>
    <x v="2"/>
    <x v="2"/>
    <n v="20211"/>
    <s v="860002964"/>
    <s v="BANCO DE BOGOTA S.A."/>
    <s v="201905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659284   BANCO DE BOGOTA"/>
    <n v="328522.71999999997"/>
    <n v="0"/>
    <n v="328522.72000000003"/>
    <x v="0"/>
    <x v="0"/>
    <x v="0"/>
    <n v="328522.71999999997"/>
    <n v="0"/>
    <n v="328522.72000000003"/>
    <x v="0"/>
    <x v="0"/>
    <x v="0"/>
    <n v="328522.71999999997"/>
    <n v="0"/>
    <n v="328522.72000000003"/>
    <x v="0"/>
    <x v="0"/>
    <x v="0"/>
    <x v="0"/>
    <x v="0"/>
  </r>
  <r>
    <x v="6"/>
    <x v="0"/>
    <x v="0"/>
    <x v="0"/>
    <x v="0"/>
    <x v="2"/>
    <x v="2"/>
    <n v="20275"/>
    <s v="890903938"/>
    <s v="BANCOLOMBIA S.A."/>
    <s v="201905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195962- CUOTA 29"/>
    <n v="270500"/>
    <n v="0"/>
    <n v="270500"/>
    <x v="0"/>
    <x v="0"/>
    <x v="0"/>
    <n v="270500"/>
    <n v="0"/>
    <n v="270500"/>
    <x v="0"/>
    <x v="0"/>
    <x v="0"/>
    <n v="270500"/>
    <n v="0"/>
    <n v="270500"/>
    <x v="0"/>
    <x v="0"/>
    <x v="0"/>
    <x v="0"/>
    <x v="0"/>
  </r>
  <r>
    <x v="6"/>
    <x v="0"/>
    <x v="0"/>
    <x v="0"/>
    <x v="0"/>
    <x v="2"/>
    <x v="2"/>
    <n v="20235"/>
    <s v="890300279"/>
    <s v="BANCO DE OCCIDENTE."/>
    <s v="201905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58687"/>
    <n v="0"/>
    <n v="58687"/>
    <x v="0"/>
    <x v="0"/>
    <x v="0"/>
    <n v="58687"/>
    <n v="0"/>
    <n v="58687"/>
    <x v="0"/>
    <x v="0"/>
    <x v="0"/>
    <n v="58687"/>
    <n v="0"/>
    <n v="58687"/>
    <x v="0"/>
    <x v="0"/>
    <x v="0"/>
    <x v="0"/>
    <x v="0"/>
  </r>
  <r>
    <x v="2"/>
    <x v="0"/>
    <x v="0"/>
    <x v="0"/>
    <x v="0"/>
    <x v="2"/>
    <x v="2"/>
    <n v="20316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ON CUOTA DE BCO DE OCCIDENTE- PENDIENTES DE MARZO 2019"/>
    <n v="88038"/>
    <n v="0"/>
    <n v="88038"/>
    <x v="0"/>
    <x v="0"/>
    <x v="0"/>
    <n v="88038"/>
    <n v="0"/>
    <n v="88038"/>
    <x v="0"/>
    <x v="0"/>
    <x v="0"/>
    <n v="88038"/>
    <n v="0"/>
    <n v="88038"/>
    <x v="0"/>
    <x v="0"/>
    <x v="0"/>
    <x v="0"/>
    <x v="0"/>
  </r>
  <r>
    <x v="2"/>
    <x v="0"/>
    <x v="0"/>
    <x v="0"/>
    <x v="0"/>
    <x v="2"/>
    <x v="2"/>
    <n v="20323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VR ABONADO DE MAS EN CAPITAL SE LLEVA A INTERESES- LEASING OCCIDENTE 124073"/>
    <n v="0"/>
    <n v="399179"/>
    <n v="-399179"/>
    <x v="0"/>
    <x v="0"/>
    <x v="0"/>
    <n v="0"/>
    <n v="399179"/>
    <n v="-399179"/>
    <x v="0"/>
    <x v="0"/>
    <x v="0"/>
    <n v="0"/>
    <n v="399179"/>
    <n v="-399179"/>
    <x v="0"/>
    <x v="0"/>
    <x v="0"/>
    <x v="0"/>
    <x v="0"/>
  </r>
  <r>
    <x v="2"/>
    <x v="0"/>
    <x v="0"/>
    <x v="0"/>
    <x v="0"/>
    <x v="2"/>
    <x v="2"/>
    <n v="20272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52841"/>
    <n v="0"/>
    <n v="452841"/>
    <x v="0"/>
    <x v="0"/>
    <x v="0"/>
    <n v="452841"/>
    <n v="0"/>
    <n v="452841"/>
    <x v="0"/>
    <x v="0"/>
    <x v="0"/>
    <n v="452841"/>
    <n v="0"/>
    <n v="452841"/>
    <x v="0"/>
    <x v="0"/>
    <x v="0"/>
    <x v="0"/>
    <x v="0"/>
  </r>
  <r>
    <x v="2"/>
    <x v="0"/>
    <x v="0"/>
    <x v="0"/>
    <x v="0"/>
    <x v="2"/>
    <x v="2"/>
    <n v="20273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28013"/>
    <n v="0"/>
    <n v="628013"/>
    <x v="0"/>
    <x v="0"/>
    <x v="0"/>
    <n v="628013"/>
    <n v="0"/>
    <n v="628013"/>
    <x v="0"/>
    <x v="0"/>
    <x v="0"/>
    <n v="628013"/>
    <n v="0"/>
    <n v="628013"/>
    <x v="0"/>
    <x v="0"/>
    <x v="0"/>
    <x v="0"/>
    <x v="0"/>
  </r>
  <r>
    <x v="2"/>
    <x v="0"/>
    <x v="0"/>
    <x v="0"/>
    <x v="0"/>
    <x v="2"/>
    <x v="2"/>
    <n v="20274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 AV VILLAS"/>
    <n v="622874"/>
    <n v="0"/>
    <n v="622874"/>
    <x v="0"/>
    <x v="0"/>
    <x v="0"/>
    <n v="622874"/>
    <n v="0"/>
    <n v="622874"/>
    <x v="0"/>
    <x v="0"/>
    <x v="0"/>
    <n v="622874"/>
    <n v="0"/>
    <n v="622874"/>
    <x v="0"/>
    <x v="0"/>
    <x v="0"/>
    <x v="0"/>
    <x v="0"/>
  </r>
  <r>
    <x v="2"/>
    <x v="0"/>
    <x v="0"/>
    <x v="0"/>
    <x v="0"/>
    <x v="2"/>
    <x v="2"/>
    <n v="20302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AV VILLAS"/>
    <n v="70015"/>
    <n v="0"/>
    <n v="70015"/>
    <x v="0"/>
    <x v="0"/>
    <x v="0"/>
    <n v="70015"/>
    <n v="0"/>
    <n v="70015"/>
    <x v="0"/>
    <x v="0"/>
    <x v="0"/>
    <n v="70015"/>
    <n v="0"/>
    <n v="70015"/>
    <x v="0"/>
    <x v="0"/>
    <x v="0"/>
    <x v="0"/>
    <x v="0"/>
  </r>
  <r>
    <x v="2"/>
    <x v="0"/>
    <x v="0"/>
    <x v="0"/>
    <x v="0"/>
    <x v="2"/>
    <x v="2"/>
    <n v="20303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01197"/>
    <n v="0"/>
    <n v="1201197"/>
    <x v="0"/>
    <x v="0"/>
    <x v="0"/>
    <n v="1201197"/>
    <n v="0"/>
    <n v="1201197"/>
    <x v="0"/>
    <x v="0"/>
    <x v="0"/>
    <n v="1201197"/>
    <n v="0"/>
    <n v="1201197"/>
    <x v="0"/>
    <x v="0"/>
    <x v="0"/>
    <x v="0"/>
    <x v="0"/>
  </r>
  <r>
    <x v="2"/>
    <x v="0"/>
    <x v="0"/>
    <x v="0"/>
    <x v="0"/>
    <x v="2"/>
    <x v="2"/>
    <n v="20304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  AV VILLAS"/>
    <n v="309302"/>
    <n v="0"/>
    <n v="309302"/>
    <x v="0"/>
    <x v="0"/>
    <x v="0"/>
    <n v="309302"/>
    <n v="0"/>
    <n v="309302"/>
    <x v="0"/>
    <x v="0"/>
    <x v="0"/>
    <n v="309302"/>
    <n v="0"/>
    <n v="309302"/>
    <x v="0"/>
    <x v="0"/>
    <x v="0"/>
    <x v="0"/>
    <x v="0"/>
  </r>
  <r>
    <x v="2"/>
    <x v="0"/>
    <x v="0"/>
    <x v="0"/>
    <x v="0"/>
    <x v="2"/>
    <x v="2"/>
    <n v="20321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307194.63"/>
    <n v="0"/>
    <n v="307194.63"/>
    <x v="0"/>
    <x v="0"/>
    <x v="0"/>
    <n v="307194.63"/>
    <n v="0"/>
    <n v="307194.63"/>
    <x v="0"/>
    <x v="0"/>
    <x v="0"/>
    <n v="307194.63"/>
    <n v="0"/>
    <n v="307194.63"/>
    <x v="0"/>
    <x v="0"/>
    <x v="0"/>
    <x v="0"/>
    <x v="0"/>
  </r>
  <r>
    <x v="2"/>
    <x v="0"/>
    <x v="0"/>
    <x v="0"/>
    <x v="0"/>
    <x v="2"/>
    <x v="2"/>
    <n v="20324"/>
    <s v="860035827"/>
    <s v="BANCO AV VILLAS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VALORES NO APLICADOS EN OBLIGACION FINANCIERA-"/>
    <n v="0"/>
    <n v="5574045"/>
    <n v="-5574045"/>
    <x v="0"/>
    <x v="0"/>
    <x v="0"/>
    <n v="0"/>
    <n v="5574045"/>
    <n v="-5574045"/>
    <x v="0"/>
    <x v="0"/>
    <x v="0"/>
    <n v="0"/>
    <n v="5574045"/>
    <n v="-5574045"/>
    <x v="0"/>
    <x v="0"/>
    <x v="0"/>
    <x v="0"/>
    <x v="0"/>
  </r>
  <r>
    <x v="2"/>
    <x v="0"/>
    <x v="0"/>
    <x v="0"/>
    <x v="0"/>
    <x v="2"/>
    <x v="2"/>
    <n v="20325"/>
    <s v="860002964"/>
    <s v="BANCO DE BOGOTA S.A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9"/>
    <x v="9"/>
    <x v="2"/>
    <x v="2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CO BOGOTA- SE RECLASIFICA VR CUOTA E INTERES CUOTA OBLIGACION 9284"/>
    <n v="0"/>
    <n v="2083333"/>
    <n v="-2083333"/>
    <x v="0"/>
    <x v="0"/>
    <x v="0"/>
    <n v="0"/>
    <n v="2083333"/>
    <n v="-2083333"/>
    <x v="0"/>
    <x v="0"/>
    <x v="0"/>
    <n v="0"/>
    <n v="2083333"/>
    <n v="-2083333"/>
    <x v="0"/>
    <x v="0"/>
    <x v="0"/>
    <x v="0"/>
    <x v="0"/>
  </r>
  <r>
    <x v="2"/>
    <x v="0"/>
    <x v="0"/>
    <x v="0"/>
    <x v="0"/>
    <x v="2"/>
    <x v="2"/>
    <n v="20311"/>
    <s v="890903938"/>
    <s v="BANCOLOMBIA S.A."/>
    <s v="201906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0  BANCOLOMBIA"/>
    <n v="258959"/>
    <n v="0"/>
    <n v="258959"/>
    <x v="0"/>
    <x v="0"/>
    <x v="0"/>
    <n v="258959"/>
    <n v="0"/>
    <n v="258959"/>
    <x v="0"/>
    <x v="0"/>
    <x v="0"/>
    <n v="258959"/>
    <n v="0"/>
    <n v="258959"/>
    <x v="0"/>
    <x v="0"/>
    <x v="0"/>
    <x v="0"/>
    <x v="0"/>
  </r>
  <r>
    <x v="2"/>
    <x v="0"/>
    <x v="0"/>
    <x v="0"/>
    <x v="0"/>
    <x v="2"/>
    <x v="2"/>
    <n v="20317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   BANCO DE OCCIDENTE"/>
    <n v="29305"/>
    <n v="0"/>
    <n v="29305"/>
    <x v="0"/>
    <x v="0"/>
    <x v="0"/>
    <n v="29305"/>
    <n v="0"/>
    <n v="29305"/>
    <x v="0"/>
    <x v="0"/>
    <x v="0"/>
    <n v="29305"/>
    <n v="0"/>
    <n v="29305"/>
    <x v="0"/>
    <x v="0"/>
    <x v="0"/>
    <x v="0"/>
    <x v="0"/>
  </r>
  <r>
    <x v="2"/>
    <x v="0"/>
    <x v="0"/>
    <x v="0"/>
    <x v="0"/>
    <x v="2"/>
    <x v="2"/>
    <n v="20318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  BANCO DE OCCIDENTE"/>
    <n v="593576"/>
    <n v="0"/>
    <n v="593576"/>
    <x v="0"/>
    <x v="0"/>
    <x v="0"/>
    <n v="593576"/>
    <n v="0"/>
    <n v="593576"/>
    <x v="0"/>
    <x v="0"/>
    <x v="0"/>
    <n v="593576"/>
    <n v="0"/>
    <n v="593576"/>
    <x v="0"/>
    <x v="0"/>
    <x v="0"/>
    <x v="0"/>
    <x v="0"/>
  </r>
  <r>
    <x v="2"/>
    <x v="0"/>
    <x v="0"/>
    <x v="0"/>
    <x v="0"/>
    <x v="2"/>
    <x v="2"/>
    <n v="20320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96856.13"/>
    <n v="0"/>
    <n v="96856.13"/>
    <x v="0"/>
    <x v="0"/>
    <x v="0"/>
    <n v="96856.13"/>
    <n v="0"/>
    <n v="96856.13"/>
    <x v="0"/>
    <x v="0"/>
    <x v="0"/>
    <n v="96856.13"/>
    <n v="0"/>
    <n v="96856.13"/>
    <x v="0"/>
    <x v="0"/>
    <x v="0"/>
    <x v="0"/>
    <x v="0"/>
  </r>
  <r>
    <x v="2"/>
    <x v="0"/>
    <x v="0"/>
    <x v="0"/>
    <x v="0"/>
    <x v="2"/>
    <x v="2"/>
    <n v="20306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 BANCOLOMBIA"/>
    <n v="203317"/>
    <n v="0"/>
    <n v="203317"/>
    <x v="0"/>
    <x v="0"/>
    <x v="0"/>
    <n v="203317"/>
    <n v="0"/>
    <n v="203317"/>
    <x v="0"/>
    <x v="0"/>
    <x v="0"/>
    <n v="203317"/>
    <n v="0"/>
    <n v="203317"/>
    <x v="0"/>
    <x v="0"/>
    <x v="0"/>
    <x v="0"/>
    <x v="0"/>
  </r>
  <r>
    <x v="2"/>
    <x v="0"/>
    <x v="0"/>
    <x v="0"/>
    <x v="0"/>
    <x v="2"/>
    <x v="2"/>
    <n v="20307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 187498  BANCOLOMBIA"/>
    <n v="54724"/>
    <n v="0"/>
    <n v="54724"/>
    <x v="0"/>
    <x v="0"/>
    <x v="0"/>
    <n v="54724"/>
    <n v="0"/>
    <n v="54724"/>
    <x v="0"/>
    <x v="0"/>
    <x v="0"/>
    <n v="54724"/>
    <n v="0"/>
    <n v="54724"/>
    <x v="0"/>
    <x v="0"/>
    <x v="0"/>
    <x v="0"/>
    <x v="0"/>
  </r>
  <r>
    <x v="2"/>
    <x v="0"/>
    <x v="0"/>
    <x v="0"/>
    <x v="0"/>
    <x v="2"/>
    <x v="2"/>
    <n v="20308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4268 BANCOLOMBIA"/>
    <n v="809373"/>
    <n v="0"/>
    <n v="809373"/>
    <x v="0"/>
    <x v="0"/>
    <x v="0"/>
    <n v="809373"/>
    <n v="0"/>
    <n v="809373"/>
    <x v="0"/>
    <x v="0"/>
    <x v="0"/>
    <n v="809373"/>
    <n v="0"/>
    <n v="809373"/>
    <x v="0"/>
    <x v="0"/>
    <x v="0"/>
    <x v="0"/>
    <x v="0"/>
  </r>
  <r>
    <x v="2"/>
    <x v="0"/>
    <x v="0"/>
    <x v="0"/>
    <x v="0"/>
    <x v="2"/>
    <x v="2"/>
    <n v="20309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BANCOLOMBIA"/>
    <n v="2087823"/>
    <n v="0"/>
    <n v="2087823"/>
    <x v="0"/>
    <x v="0"/>
    <x v="0"/>
    <n v="2087823"/>
    <n v="0"/>
    <n v="2087823"/>
    <x v="0"/>
    <x v="0"/>
    <x v="0"/>
    <n v="2087823"/>
    <n v="0"/>
    <n v="2087823"/>
    <x v="0"/>
    <x v="0"/>
    <x v="0"/>
    <x v="0"/>
    <x v="0"/>
  </r>
  <r>
    <x v="2"/>
    <x v="0"/>
    <x v="0"/>
    <x v="0"/>
    <x v="0"/>
    <x v="2"/>
    <x v="2"/>
    <n v="20343"/>
    <s v="860007660"/>
    <s v="HELM BANK S.A."/>
    <s v="201906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ROTATIVO"/>
    <n v="1720095"/>
    <n v="0"/>
    <n v="1720095"/>
    <x v="0"/>
    <x v="0"/>
    <x v="0"/>
    <n v="1720095"/>
    <n v="0"/>
    <n v="1720095"/>
    <x v="0"/>
    <x v="0"/>
    <x v="0"/>
    <n v="1720095"/>
    <n v="0"/>
    <n v="1720095"/>
    <x v="0"/>
    <x v="0"/>
    <x v="0"/>
    <x v="0"/>
    <x v="0"/>
  </r>
  <r>
    <x v="2"/>
    <x v="0"/>
    <x v="0"/>
    <x v="0"/>
    <x v="0"/>
    <x v="2"/>
    <x v="2"/>
    <n v="20397"/>
    <s v="860007660"/>
    <s v="HELM BANK S.A."/>
    <s v="201906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TERES CREDITO ROTATIVO"/>
    <n v="593566.31999999995"/>
    <n v="0"/>
    <n v="593566.32000000007"/>
    <x v="0"/>
    <x v="0"/>
    <x v="0"/>
    <n v="593566.31999999995"/>
    <n v="0"/>
    <n v="593566.32000000007"/>
    <x v="0"/>
    <x v="0"/>
    <x v="0"/>
    <n v="593566.31999999995"/>
    <n v="0"/>
    <n v="593566.32000000007"/>
    <x v="0"/>
    <x v="0"/>
    <x v="0"/>
    <x v="0"/>
    <x v="0"/>
  </r>
  <r>
    <x v="3"/>
    <x v="0"/>
    <x v="0"/>
    <x v="0"/>
    <x v="0"/>
    <x v="2"/>
    <x v="2"/>
    <n v="20368"/>
    <s v="860002964"/>
    <s v="BANCO DE BOGOTA S.A."/>
    <s v="201907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3"/>
    <x v="0"/>
    <x v="0"/>
    <x v="0"/>
    <x v="0"/>
    <x v="2"/>
    <x v="2"/>
    <n v="20400"/>
    <s v="890903938"/>
    <s v="BANCOLOMBIA S.A."/>
    <s v="201907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205450 BANCOLOMBIA CUOTA 19"/>
    <n v="195056"/>
    <n v="0"/>
    <n v="195056"/>
    <x v="0"/>
    <x v="0"/>
    <x v="0"/>
    <n v="195056"/>
    <n v="0"/>
    <n v="195056"/>
    <x v="0"/>
    <x v="0"/>
    <x v="0"/>
    <n v="195056"/>
    <n v="0"/>
    <n v="195056"/>
    <x v="0"/>
    <x v="0"/>
    <x v="0"/>
    <x v="0"/>
    <x v="0"/>
  </r>
  <r>
    <x v="3"/>
    <x v="0"/>
    <x v="0"/>
    <x v="0"/>
    <x v="0"/>
    <x v="2"/>
    <x v="2"/>
    <n v="20449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63289"/>
    <n v="0"/>
    <n v="763289"/>
    <x v="0"/>
    <x v="0"/>
    <x v="0"/>
    <n v="763289"/>
    <n v="0"/>
    <n v="763289"/>
    <x v="0"/>
    <x v="0"/>
    <x v="0"/>
    <n v="763289"/>
    <n v="0"/>
    <n v="763289"/>
    <x v="0"/>
    <x v="0"/>
    <x v="0"/>
    <x v="0"/>
    <x v="0"/>
  </r>
  <r>
    <x v="3"/>
    <x v="0"/>
    <x v="0"/>
    <x v="0"/>
    <x v="0"/>
    <x v="2"/>
    <x v="2"/>
    <n v="20450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79393"/>
    <n v="0"/>
    <n v="279393"/>
    <x v="0"/>
    <x v="0"/>
    <x v="0"/>
    <n v="279393"/>
    <n v="0"/>
    <n v="279393"/>
    <x v="0"/>
    <x v="0"/>
    <x v="0"/>
    <n v="279393"/>
    <n v="0"/>
    <n v="279393"/>
    <x v="0"/>
    <x v="0"/>
    <x v="0"/>
    <x v="0"/>
    <x v="0"/>
  </r>
  <r>
    <x v="3"/>
    <x v="0"/>
    <x v="0"/>
    <x v="0"/>
    <x v="0"/>
    <x v="2"/>
    <x v="2"/>
    <n v="20451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950895"/>
    <n v="0"/>
    <n v="1950895"/>
    <x v="0"/>
    <x v="0"/>
    <x v="0"/>
    <n v="1950895"/>
    <n v="0"/>
    <n v="1950895"/>
    <x v="0"/>
    <x v="0"/>
    <x v="0"/>
    <n v="1950895"/>
    <n v="0"/>
    <n v="1950895"/>
    <x v="0"/>
    <x v="0"/>
    <x v="0"/>
    <x v="0"/>
    <x v="0"/>
  </r>
  <r>
    <x v="3"/>
    <x v="0"/>
    <x v="0"/>
    <x v="0"/>
    <x v="0"/>
    <x v="2"/>
    <x v="2"/>
    <n v="20453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80"/>
    <n v="246808"/>
    <n v="0"/>
    <n v="246808"/>
    <x v="0"/>
    <x v="0"/>
    <x v="0"/>
    <n v="246808"/>
    <n v="0"/>
    <n v="246808"/>
    <x v="0"/>
    <x v="0"/>
    <x v="0"/>
    <n v="246808"/>
    <n v="0"/>
    <n v="246808"/>
    <x v="0"/>
    <x v="0"/>
    <x v="0"/>
    <x v="0"/>
    <x v="0"/>
  </r>
  <r>
    <x v="3"/>
    <x v="0"/>
    <x v="0"/>
    <x v="0"/>
    <x v="0"/>
    <x v="2"/>
    <x v="2"/>
    <n v="20454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90552"/>
    <n v="0"/>
    <n v="590552"/>
    <x v="0"/>
    <x v="0"/>
    <x v="0"/>
    <n v="590552"/>
    <n v="0"/>
    <n v="590552"/>
    <x v="0"/>
    <x v="0"/>
    <x v="0"/>
    <n v="590552"/>
    <n v="0"/>
    <n v="590552"/>
    <x v="0"/>
    <x v="0"/>
    <x v="0"/>
    <x v="0"/>
    <x v="0"/>
  </r>
  <r>
    <x v="3"/>
    <x v="0"/>
    <x v="0"/>
    <x v="0"/>
    <x v="0"/>
    <x v="2"/>
    <x v="2"/>
    <n v="20456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07082"/>
    <n v="0"/>
    <n v="407082"/>
    <x v="0"/>
    <x v="0"/>
    <x v="0"/>
    <n v="407082"/>
    <n v="0"/>
    <n v="407082"/>
    <x v="0"/>
    <x v="0"/>
    <x v="0"/>
    <n v="407082"/>
    <n v="0"/>
    <n v="407082"/>
    <x v="0"/>
    <x v="0"/>
    <x v="0"/>
    <x v="0"/>
    <x v="0"/>
  </r>
  <r>
    <x v="3"/>
    <x v="0"/>
    <x v="0"/>
    <x v="0"/>
    <x v="0"/>
    <x v="2"/>
    <x v="2"/>
    <n v="20457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-8  OCCIDENTE"/>
    <n v="546835"/>
    <n v="0"/>
    <n v="546835"/>
    <x v="0"/>
    <x v="0"/>
    <x v="0"/>
    <n v="546835"/>
    <n v="0"/>
    <n v="546835"/>
    <x v="0"/>
    <x v="0"/>
    <x v="0"/>
    <n v="546835"/>
    <n v="0"/>
    <n v="546835"/>
    <x v="0"/>
    <x v="0"/>
    <x v="0"/>
    <x v="0"/>
    <x v="0"/>
  </r>
  <r>
    <x v="3"/>
    <x v="0"/>
    <x v="0"/>
    <x v="0"/>
    <x v="0"/>
    <x v="2"/>
    <x v="2"/>
    <n v="20464"/>
    <s v="860035827"/>
    <s v="BANCO AV VILLAS"/>
    <s v="201907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70968"/>
    <n v="0"/>
    <n v="1170968"/>
    <x v="0"/>
    <x v="0"/>
    <x v="0"/>
    <n v="1170968"/>
    <n v="0"/>
    <n v="1170968"/>
    <x v="0"/>
    <x v="0"/>
    <x v="0"/>
    <n v="1170968"/>
    <n v="0"/>
    <n v="1170968"/>
    <x v="0"/>
    <x v="0"/>
    <x v="0"/>
    <x v="0"/>
    <x v="0"/>
  </r>
  <r>
    <x v="3"/>
    <x v="0"/>
    <x v="0"/>
    <x v="0"/>
    <x v="0"/>
    <x v="2"/>
    <x v="2"/>
    <n v="20470"/>
    <s v="890300279"/>
    <s v="BANCO DE OCCIDENTE."/>
    <s v="201907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128580  DEL MES DE JUNIO ATRARZADA"/>
    <n v="254219"/>
    <n v="0"/>
    <n v="254219"/>
    <x v="0"/>
    <x v="0"/>
    <x v="0"/>
    <n v="254219"/>
    <n v="0"/>
    <n v="254219"/>
    <x v="0"/>
    <x v="0"/>
    <x v="0"/>
    <n v="254219"/>
    <n v="0"/>
    <n v="254219"/>
    <x v="0"/>
    <x v="0"/>
    <x v="0"/>
    <x v="0"/>
    <x v="0"/>
  </r>
  <r>
    <x v="3"/>
    <x v="0"/>
    <x v="0"/>
    <x v="0"/>
    <x v="0"/>
    <x v="2"/>
    <x v="2"/>
    <n v="20495"/>
    <s v="860002964"/>
    <s v="BANCO DE BOGOTA S.A."/>
    <s v="201907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 BOGOTA"/>
    <n v="286118.95"/>
    <n v="0"/>
    <n v="286118.95"/>
    <x v="0"/>
    <x v="0"/>
    <x v="0"/>
    <n v="286118.95"/>
    <n v="0"/>
    <n v="286118.95"/>
    <x v="0"/>
    <x v="0"/>
    <x v="0"/>
    <n v="286118.95"/>
    <n v="0"/>
    <n v="286118.95"/>
    <x v="0"/>
    <x v="0"/>
    <x v="0"/>
    <x v="0"/>
    <x v="0"/>
  </r>
  <r>
    <x v="3"/>
    <x v="0"/>
    <x v="0"/>
    <x v="0"/>
    <x v="0"/>
    <x v="2"/>
    <x v="2"/>
    <n v="20498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51613"/>
    <n v="0"/>
    <n v="51613"/>
    <x v="0"/>
    <x v="0"/>
    <x v="0"/>
    <n v="51613"/>
    <n v="0"/>
    <n v="51613"/>
    <x v="0"/>
    <x v="0"/>
    <x v="0"/>
    <n v="51613"/>
    <n v="0"/>
    <n v="51613"/>
    <x v="0"/>
    <x v="0"/>
    <x v="0"/>
    <x v="0"/>
    <x v="0"/>
  </r>
  <r>
    <x v="3"/>
    <x v="0"/>
    <x v="0"/>
    <x v="0"/>
    <x v="0"/>
    <x v="2"/>
    <x v="2"/>
    <n v="20499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"/>
    <n v="245087"/>
    <n v="0"/>
    <n v="245087"/>
    <x v="0"/>
    <x v="0"/>
    <x v="0"/>
    <n v="245087"/>
    <n v="0"/>
    <n v="245087"/>
    <x v="0"/>
    <x v="0"/>
    <x v="0"/>
    <n v="245087"/>
    <n v="0"/>
    <n v="245087"/>
    <x v="0"/>
    <x v="0"/>
    <x v="0"/>
    <x v="0"/>
    <x v="0"/>
  </r>
  <r>
    <x v="3"/>
    <x v="0"/>
    <x v="0"/>
    <x v="0"/>
    <x v="0"/>
    <x v="2"/>
    <x v="2"/>
    <n v="20594"/>
    <s v="860002964"/>
    <s v="BANCO DE BOGOTA S.A."/>
    <s v="201907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4"/>
    <x v="0"/>
    <x v="0"/>
    <x v="0"/>
    <x v="0"/>
    <x v="2"/>
    <x v="2"/>
    <n v="20578"/>
    <s v="860002964"/>
    <s v="BANCO DE BOGOT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CUOTA 21"/>
    <n v="64394.69"/>
    <n v="0"/>
    <n v="64394.69"/>
    <x v="0"/>
    <x v="0"/>
    <x v="0"/>
    <n v="64394.69"/>
    <n v="0"/>
    <n v="64394.69"/>
    <x v="0"/>
    <x v="0"/>
    <x v="0"/>
    <n v="64394.69"/>
    <n v="0"/>
    <n v="64394.69"/>
    <x v="0"/>
    <x v="0"/>
    <x v="0"/>
    <x v="0"/>
    <x v="0"/>
  </r>
  <r>
    <x v="4"/>
    <x v="0"/>
    <x v="0"/>
    <x v="0"/>
    <x v="0"/>
    <x v="2"/>
    <x v="2"/>
    <n v="20579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06599"/>
    <n v="0"/>
    <n v="1106599"/>
    <x v="0"/>
    <x v="0"/>
    <x v="0"/>
    <n v="1106599"/>
    <n v="0"/>
    <n v="1106599"/>
    <x v="0"/>
    <x v="0"/>
    <x v="0"/>
    <n v="1106599"/>
    <n v="0"/>
    <n v="1106599"/>
    <x v="0"/>
    <x v="0"/>
    <x v="0"/>
    <x v="0"/>
    <x v="0"/>
  </r>
  <r>
    <x v="4"/>
    <x v="0"/>
    <x v="0"/>
    <x v="0"/>
    <x v="0"/>
    <x v="2"/>
    <x v="2"/>
    <n v="20580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35809"/>
    <n v="0"/>
    <n v="535809"/>
    <x v="0"/>
    <x v="0"/>
    <x v="0"/>
    <n v="535809"/>
    <n v="0"/>
    <n v="535809"/>
    <x v="0"/>
    <x v="0"/>
    <x v="0"/>
    <n v="535809"/>
    <n v="0"/>
    <n v="535809"/>
    <x v="0"/>
    <x v="0"/>
    <x v="0"/>
    <x v="0"/>
    <x v="0"/>
  </r>
  <r>
    <x v="4"/>
    <x v="0"/>
    <x v="0"/>
    <x v="0"/>
    <x v="0"/>
    <x v="2"/>
    <x v="2"/>
    <n v="20581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 AV VILLAS"/>
    <n v="345776"/>
    <n v="0"/>
    <n v="345776"/>
    <x v="0"/>
    <x v="0"/>
    <x v="0"/>
    <n v="345776"/>
    <n v="0"/>
    <n v="345776"/>
    <x v="0"/>
    <x v="0"/>
    <x v="0"/>
    <n v="345776"/>
    <n v="0"/>
    <n v="345776"/>
    <x v="0"/>
    <x v="0"/>
    <x v="0"/>
    <x v="0"/>
    <x v="0"/>
  </r>
  <r>
    <x v="4"/>
    <x v="0"/>
    <x v="0"/>
    <x v="0"/>
    <x v="0"/>
    <x v="2"/>
    <x v="2"/>
    <n v="20584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259  mes de agosto del 2019"/>
    <n v="1494791"/>
    <n v="0"/>
    <n v="1494791"/>
    <x v="0"/>
    <x v="0"/>
    <x v="0"/>
    <n v="1494791"/>
    <n v="0"/>
    <n v="1494791"/>
    <x v="0"/>
    <x v="0"/>
    <x v="0"/>
    <n v="1494791"/>
    <n v="0"/>
    <n v="1494791"/>
    <x v="0"/>
    <x v="0"/>
    <x v="0"/>
    <x v="0"/>
    <x v="0"/>
  </r>
  <r>
    <x v="4"/>
    <x v="0"/>
    <x v="0"/>
    <x v="0"/>
    <x v="0"/>
    <x v="2"/>
    <x v="2"/>
    <n v="20585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39149"/>
    <n v="0"/>
    <n v="239149"/>
    <x v="0"/>
    <x v="0"/>
    <x v="0"/>
    <n v="239149"/>
    <n v="0"/>
    <n v="239149"/>
    <x v="0"/>
    <x v="0"/>
    <x v="0"/>
    <n v="239149"/>
    <n v="0"/>
    <n v="239149"/>
    <x v="0"/>
    <x v="0"/>
    <x v="0"/>
    <x v="0"/>
    <x v="0"/>
  </r>
  <r>
    <x v="4"/>
    <x v="0"/>
    <x v="0"/>
    <x v="0"/>
    <x v="0"/>
    <x v="2"/>
    <x v="2"/>
    <n v="20586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11278"/>
    <n v="0"/>
    <n v="711278"/>
    <x v="0"/>
    <x v="0"/>
    <x v="0"/>
    <n v="711278"/>
    <n v="0"/>
    <n v="711278"/>
    <x v="0"/>
    <x v="0"/>
    <x v="0"/>
    <n v="711278"/>
    <n v="0"/>
    <n v="711278"/>
    <x v="0"/>
    <x v="0"/>
    <x v="0"/>
    <x v="0"/>
    <x v="0"/>
  </r>
  <r>
    <x v="4"/>
    <x v="0"/>
    <x v="0"/>
    <x v="0"/>
    <x v="0"/>
    <x v="2"/>
    <x v="2"/>
    <n v="20587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 8"/>
    <n v="511070"/>
    <n v="0"/>
    <n v="511070"/>
    <x v="0"/>
    <x v="0"/>
    <x v="0"/>
    <n v="511070"/>
    <n v="0"/>
    <n v="511070"/>
    <x v="0"/>
    <x v="0"/>
    <x v="0"/>
    <n v="511070"/>
    <n v="0"/>
    <n v="511070"/>
    <x v="0"/>
    <x v="0"/>
    <x v="0"/>
    <x v="0"/>
    <x v="0"/>
  </r>
  <r>
    <x v="4"/>
    <x v="0"/>
    <x v="0"/>
    <x v="0"/>
    <x v="0"/>
    <x v="2"/>
    <x v="2"/>
    <n v="20596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0   BANCO DE OCCIDENTE"/>
    <n v="241159"/>
    <n v="0"/>
    <n v="241159"/>
    <x v="0"/>
    <x v="0"/>
    <x v="0"/>
    <n v="241159"/>
    <n v="0"/>
    <n v="241159"/>
    <x v="0"/>
    <x v="0"/>
    <x v="0"/>
    <n v="241159"/>
    <n v="0"/>
    <n v="241159"/>
    <x v="0"/>
    <x v="0"/>
    <x v="0"/>
    <x v="0"/>
    <x v="0"/>
  </r>
  <r>
    <x v="4"/>
    <x v="0"/>
    <x v="0"/>
    <x v="0"/>
    <x v="0"/>
    <x v="2"/>
    <x v="2"/>
    <n v="20608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186999"/>
    <n v="0"/>
    <n v="186999"/>
    <x v="0"/>
    <x v="0"/>
    <x v="0"/>
    <n v="186999"/>
    <n v="0"/>
    <n v="186999"/>
    <x v="0"/>
    <x v="0"/>
    <x v="0"/>
    <n v="186999"/>
    <n v="0"/>
    <n v="186999"/>
    <x v="0"/>
    <x v="0"/>
    <x v="0"/>
    <x v="0"/>
    <x v="0"/>
  </r>
  <r>
    <x v="4"/>
    <x v="0"/>
    <x v="0"/>
    <x v="0"/>
    <x v="0"/>
    <x v="2"/>
    <x v="2"/>
    <n v="20609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47840"/>
    <n v="0"/>
    <n v="47840"/>
    <x v="0"/>
    <x v="0"/>
    <x v="0"/>
    <n v="47840"/>
    <n v="0"/>
    <n v="47840"/>
    <x v="0"/>
    <x v="0"/>
    <x v="0"/>
    <n v="47840"/>
    <n v="0"/>
    <n v="47840"/>
    <x v="0"/>
    <x v="0"/>
    <x v="0"/>
    <x v="0"/>
    <x v="0"/>
  </r>
  <r>
    <x v="4"/>
    <x v="0"/>
    <x v="0"/>
    <x v="0"/>
    <x v="0"/>
    <x v="2"/>
    <x v="2"/>
    <n v="20611"/>
    <s v="860002964"/>
    <s v="BANCO DE BOGOTA S.A."/>
    <s v="201908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267816.62"/>
    <n v="0"/>
    <n v="267816.62"/>
    <x v="0"/>
    <x v="0"/>
    <x v="0"/>
    <n v="267816.62"/>
    <n v="0"/>
    <n v="267816.62"/>
    <x v="0"/>
    <x v="0"/>
    <x v="0"/>
    <n v="267816.62"/>
    <n v="0"/>
    <n v="267816.62"/>
    <x v="0"/>
    <x v="0"/>
    <x v="0"/>
    <x v="0"/>
    <x v="0"/>
  </r>
  <r>
    <x v="4"/>
    <x v="0"/>
    <x v="0"/>
    <x v="0"/>
    <x v="0"/>
    <x v="2"/>
    <x v="2"/>
    <n v="20641"/>
    <s v="860007660"/>
    <s v="HELM BANK S.A."/>
    <s v="201908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HELM BANK - CREDITO ROTATIVO"/>
    <n v="1676732.31"/>
    <n v="0"/>
    <n v="1676732.31"/>
    <x v="0"/>
    <x v="0"/>
    <x v="0"/>
    <n v="1676732.31"/>
    <n v="0"/>
    <n v="1676732.31"/>
    <x v="0"/>
    <x v="0"/>
    <x v="0"/>
    <n v="1676732.31"/>
    <n v="0"/>
    <n v="1676732.31"/>
    <x v="0"/>
    <x v="0"/>
    <x v="0"/>
    <x v="0"/>
    <x v="0"/>
  </r>
  <r>
    <x v="6"/>
    <x v="0"/>
    <x v="0"/>
    <x v="0"/>
    <x v="0"/>
    <x v="2"/>
    <x v="2"/>
    <n v="20184"/>
    <s v="800242106"/>
    <s v="SODIMAC COLOMBIA S.A."/>
    <s v="201905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98479.74"/>
    <n v="0"/>
    <n v="98479.74"/>
    <x v="0"/>
    <x v="0"/>
    <x v="0"/>
    <n v="98479.74"/>
    <n v="0"/>
    <n v="98479.74"/>
    <x v="0"/>
    <x v="0"/>
    <x v="0"/>
    <n v="98479.74"/>
    <n v="0"/>
    <n v="98479.74"/>
    <x v="0"/>
    <x v="0"/>
    <x v="0"/>
    <x v="0"/>
    <x v="0"/>
  </r>
  <r>
    <x v="6"/>
    <x v="0"/>
    <x v="0"/>
    <x v="0"/>
    <x v="0"/>
    <x v="11"/>
    <x v="11"/>
    <n v="26301"/>
    <s v="1036930909"/>
    <s v="ALZATE SANCHEZ NATACHA"/>
    <s v="201905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8+ GASTOS BANCARIOS"/>
    <n v="11677"/>
    <n v="0"/>
    <n v="11677"/>
    <x v="0"/>
    <x v="0"/>
    <x v="0"/>
    <n v="11677"/>
    <n v="0"/>
    <n v="11677"/>
    <x v="0"/>
    <x v="0"/>
    <x v="0"/>
    <n v="11677"/>
    <n v="0"/>
    <n v="11677"/>
    <x v="0"/>
    <x v="0"/>
    <x v="0"/>
    <x v="0"/>
    <x v="0"/>
  </r>
  <r>
    <x v="6"/>
    <x v="0"/>
    <x v="0"/>
    <x v="0"/>
    <x v="0"/>
    <x v="11"/>
    <x v="11"/>
    <n v="26311"/>
    <s v="1045717933"/>
    <s v="PALMA GUTIERREZ KETTY JANETH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6+ GASTOS BANCARIOS"/>
    <n v="4353"/>
    <n v="0"/>
    <n v="4353"/>
    <x v="0"/>
    <x v="0"/>
    <x v="0"/>
    <n v="4353"/>
    <n v="0"/>
    <n v="4353"/>
    <x v="0"/>
    <x v="0"/>
    <x v="0"/>
    <n v="4353"/>
    <n v="0"/>
    <n v="4353"/>
    <x v="0"/>
    <x v="0"/>
    <x v="0"/>
    <x v="0"/>
    <x v="0"/>
  </r>
  <r>
    <x v="6"/>
    <x v="0"/>
    <x v="0"/>
    <x v="0"/>
    <x v="0"/>
    <x v="11"/>
    <x v="11"/>
    <n v="26312"/>
    <s v="31908098"/>
    <s v="LOPEZ GARCIA MARIA DEL SOCORRO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3"/>
    <n v="7588"/>
    <n v="0"/>
    <n v="7588"/>
    <x v="0"/>
    <x v="0"/>
    <x v="0"/>
    <n v="7588"/>
    <n v="0"/>
    <n v="7588"/>
    <x v="0"/>
    <x v="0"/>
    <x v="0"/>
    <n v="7588"/>
    <n v="0"/>
    <n v="7588"/>
    <x v="0"/>
    <x v="0"/>
    <x v="0"/>
    <x v="0"/>
    <x v="0"/>
  </r>
  <r>
    <x v="6"/>
    <x v="0"/>
    <x v="0"/>
    <x v="0"/>
    <x v="0"/>
    <x v="11"/>
    <x v="11"/>
    <n v="26313"/>
    <s v="29873536"/>
    <s v="ZUÑIGA CEBALLOS CLAUDIA MARIA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6 + GASTOS BANCARIOS"/>
    <n v="7714"/>
    <n v="0"/>
    <n v="7714"/>
    <x v="0"/>
    <x v="0"/>
    <x v="0"/>
    <n v="7714"/>
    <n v="0"/>
    <n v="7714"/>
    <x v="0"/>
    <x v="0"/>
    <x v="0"/>
    <n v="7714"/>
    <n v="0"/>
    <n v="7714"/>
    <x v="0"/>
    <x v="0"/>
    <x v="0"/>
    <x v="0"/>
    <x v="0"/>
  </r>
  <r>
    <x v="4"/>
    <x v="0"/>
    <x v="0"/>
    <x v="0"/>
    <x v="0"/>
    <x v="2"/>
    <x v="2"/>
    <n v="20607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808800"/>
    <n v="0"/>
    <n v="1808800"/>
    <x v="0"/>
    <x v="0"/>
    <x v="0"/>
    <n v="1808800"/>
    <n v="0"/>
    <n v="1808800"/>
    <x v="0"/>
    <x v="0"/>
    <x v="0"/>
    <n v="1808800"/>
    <n v="0"/>
    <n v="1808800"/>
    <x v="0"/>
    <x v="0"/>
    <x v="0"/>
    <x v="0"/>
    <x v="0"/>
  </r>
  <r>
    <x v="4"/>
    <x v="0"/>
    <x v="0"/>
    <x v="0"/>
    <x v="0"/>
    <x v="2"/>
    <x v="2"/>
    <n v="20649"/>
    <s v="890903938"/>
    <s v="BANCOLOMBIA S.A."/>
    <s v="2019082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2"/>
    <n v="233412"/>
    <n v="0"/>
    <n v="233412"/>
    <x v="0"/>
    <x v="0"/>
    <x v="0"/>
    <n v="233412"/>
    <n v="0"/>
    <n v="233412"/>
    <x v="0"/>
    <x v="0"/>
    <x v="0"/>
    <n v="233412"/>
    <n v="0"/>
    <n v="233412"/>
    <x v="0"/>
    <x v="0"/>
    <x v="0"/>
    <x v="0"/>
    <x v="0"/>
  </r>
  <r>
    <x v="6"/>
    <x v="0"/>
    <x v="0"/>
    <x v="0"/>
    <x v="0"/>
    <x v="11"/>
    <x v="11"/>
    <n v="26349"/>
    <s v="1018441067"/>
    <s v="ALONSO GUTIERREZ YINNETH CATALINA"/>
    <s v="201905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9"/>
    <n v="12293"/>
    <n v="0"/>
    <n v="12293"/>
    <x v="0"/>
    <x v="0"/>
    <x v="0"/>
    <n v="12293"/>
    <n v="0"/>
    <n v="12293"/>
    <x v="0"/>
    <x v="0"/>
    <x v="0"/>
    <n v="12293"/>
    <n v="0"/>
    <n v="12293"/>
    <x v="0"/>
    <x v="0"/>
    <x v="0"/>
    <x v="0"/>
    <x v="0"/>
  </r>
  <r>
    <x v="6"/>
    <x v="0"/>
    <x v="0"/>
    <x v="0"/>
    <x v="0"/>
    <x v="11"/>
    <x v="11"/>
    <n v="26289"/>
    <s v="71631400"/>
    <s v="CARRASQUILLA PIZARRO MARCO ANTONIO"/>
    <s v="201905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6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11"/>
    <x v="11"/>
    <n v="26416"/>
    <s v="71631400"/>
    <s v="CARRASQUILLA PIZARRO MARCO ANTONIO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2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11"/>
    <x v="11"/>
    <n v="26417"/>
    <s v="1098657994"/>
    <s v="HERNANDEZ ROJAS JOHN EDISON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0+GAST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31199.03999999998"/>
    <n v="0"/>
    <n v="331199.03999999998"/>
    <x v="0"/>
    <x v="0"/>
    <x v="0"/>
    <n v="331199.03999999998"/>
    <n v="0"/>
    <n v="331199.03999999998"/>
    <x v="0"/>
    <x v="0"/>
    <x v="0"/>
    <n v="331199.03999999998"/>
    <n v="0"/>
    <n v="331199.03999999998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1054174"/>
    <n v="0"/>
    <n v="1054174"/>
    <x v="0"/>
    <x v="0"/>
    <x v="0"/>
    <n v="1054174"/>
    <n v="0"/>
    <n v="1054174"/>
    <x v="0"/>
    <x v="0"/>
    <x v="0"/>
    <n v="0"/>
    <n v="0"/>
    <n v="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306530"/>
    <n v="0"/>
    <n v="306530"/>
    <x v="0"/>
    <x v="0"/>
    <x v="0"/>
    <n v="306530"/>
    <n v="0"/>
    <n v="306530"/>
    <x v="0"/>
    <x v="0"/>
    <x v="0"/>
    <n v="306530"/>
    <n v="0"/>
    <n v="30653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0"/>
    <n v="0"/>
    <n v="0"/>
    <x v="0"/>
    <x v="0"/>
    <x v="0"/>
    <n v="147862"/>
    <n v="0"/>
    <n v="147862"/>
    <x v="0"/>
    <x v="0"/>
    <x v="0"/>
    <n v="0"/>
    <n v="0"/>
    <n v="0"/>
    <x v="0"/>
    <x v="0"/>
    <x v="0"/>
    <x v="0"/>
    <x v="0"/>
  </r>
  <r>
    <x v="0"/>
    <x v="0"/>
    <x v="0"/>
    <x v="0"/>
    <x v="0"/>
    <x v="2"/>
    <x v="2"/>
    <n v="19608"/>
    <s v="PME001013J84"/>
    <s v="PANAMSAT DE MEXICO S DE RL DE CV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ANAMSAT  - (USD 17586 ) TRM 3136.59"/>
    <n v="2891313.74"/>
    <n v="0"/>
    <n v="2891313.74"/>
    <x v="0"/>
    <x v="0"/>
    <x v="0"/>
    <n v="2891313.74"/>
    <n v="0"/>
    <n v="2891313.74"/>
    <x v="0"/>
    <x v="0"/>
    <x v="0"/>
    <n v="2891313.74"/>
    <n v="0"/>
    <n v="2891313.74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37586"/>
    <n v="0"/>
    <n v="37586"/>
    <x v="0"/>
    <x v="0"/>
    <x v="0"/>
    <n v="37586"/>
    <n v="0"/>
    <n v="37586"/>
    <x v="0"/>
    <x v="0"/>
    <x v="0"/>
    <n v="37586"/>
    <n v="0"/>
    <n v="37586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17214"/>
    <n v="0"/>
    <n v="1117214"/>
    <x v="0"/>
    <x v="0"/>
    <x v="0"/>
    <n v="1117214"/>
    <n v="0"/>
    <n v="1117214"/>
    <x v="0"/>
    <x v="0"/>
    <x v="0"/>
    <n v="0"/>
    <n v="0"/>
    <n v="0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0"/>
    <n v="0"/>
    <n v="0"/>
    <x v="0"/>
    <x v="0"/>
    <x v="0"/>
    <n v="156705"/>
    <n v="0"/>
    <n v="156705"/>
    <x v="0"/>
    <x v="0"/>
    <x v="0"/>
    <n v="0"/>
    <n v="0"/>
    <n v="0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440198"/>
    <n v="0"/>
    <n v="440198"/>
    <x v="0"/>
    <x v="0"/>
    <x v="0"/>
    <n v="440198"/>
    <n v="0"/>
    <n v="440198"/>
    <x v="0"/>
    <x v="0"/>
    <x v="0"/>
    <n v="440198"/>
    <n v="0"/>
    <n v="44019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8"/>
    <n v="0"/>
    <n v="1910268"/>
    <x v="0"/>
    <x v="0"/>
    <x v="0"/>
    <n v="1910268"/>
    <n v="0"/>
    <n v="1910268"/>
    <x v="0"/>
    <x v="0"/>
    <x v="0"/>
    <n v="1910268"/>
    <n v="0"/>
    <n v="191026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807488"/>
    <n v="0"/>
    <n v="1807488"/>
    <x v="0"/>
    <x v="0"/>
    <x v="0"/>
    <n v="1807488"/>
    <n v="0"/>
    <n v="1807488"/>
    <x v="0"/>
    <x v="0"/>
    <x v="0"/>
    <n v="1807488"/>
    <n v="0"/>
    <n v="180748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9"/>
    <n v="0"/>
    <n v="1910269"/>
    <x v="0"/>
    <x v="0"/>
    <x v="0"/>
    <n v="1910269"/>
    <n v="0"/>
    <n v="1910269"/>
    <x v="0"/>
    <x v="0"/>
    <x v="0"/>
    <n v="1910269"/>
    <n v="0"/>
    <n v="1910269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250793"/>
    <n v="0"/>
    <n v="250793"/>
    <x v="0"/>
    <x v="0"/>
    <x v="0"/>
    <n v="250793"/>
    <n v="0"/>
    <n v="250793"/>
    <x v="0"/>
    <x v="0"/>
    <x v="0"/>
    <n v="250793"/>
    <n v="0"/>
    <n v="250793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097936"/>
    <n v="0"/>
    <n v="1097936"/>
    <x v="0"/>
    <x v="0"/>
    <x v="0"/>
    <n v="1097936"/>
    <n v="0"/>
    <n v="1097936"/>
    <x v="0"/>
    <x v="0"/>
    <x v="0"/>
    <n v="1097936"/>
    <n v="0"/>
    <n v="109793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6"/>
    <x v="0"/>
    <x v="0"/>
    <x v="0"/>
    <x v="0"/>
    <x v="2"/>
    <x v="2"/>
    <n v="20253"/>
    <s v="PME001013J84"/>
    <s v="PANAMSAT DE MEXICO S DE RL DE CV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PANAMSAT - USD 18586 (TRM 3290.27)"/>
    <n v="790835.22"/>
    <n v="0"/>
    <n v="790835.22"/>
    <x v="0"/>
    <x v="0"/>
    <x v="0"/>
    <n v="790835.22"/>
    <n v="0"/>
    <n v="790835.22"/>
    <x v="0"/>
    <x v="0"/>
    <x v="0"/>
    <n v="790835.22"/>
    <n v="0"/>
    <n v="790835.22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9"/>
    <n v="0"/>
    <n v="2046319"/>
    <x v="0"/>
    <x v="0"/>
    <x v="0"/>
    <n v="2046319"/>
    <n v="0"/>
    <n v="2046319"/>
    <x v="0"/>
    <x v="0"/>
    <x v="0"/>
    <n v="2046319"/>
    <n v="0"/>
    <n v="2046319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8"/>
    <n v="0"/>
    <n v="2046318"/>
    <x v="0"/>
    <x v="0"/>
    <x v="0"/>
    <n v="2046318"/>
    <n v="0"/>
    <n v="2046318"/>
    <x v="0"/>
    <x v="0"/>
    <x v="0"/>
    <n v="2046318"/>
    <n v="0"/>
    <n v="2046318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117214"/>
    <n v="0"/>
    <n v="1117214"/>
    <x v="0"/>
    <x v="0"/>
    <x v="0"/>
    <n v="1117214"/>
    <n v="0"/>
    <n v="1117214"/>
    <x v="0"/>
    <x v="0"/>
    <x v="0"/>
    <n v="1117214"/>
    <n v="0"/>
    <n v="111721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054174"/>
    <n v="-1054174"/>
    <x v="0"/>
    <x v="0"/>
    <x v="0"/>
    <n v="0"/>
    <n v="1054174"/>
    <n v="-1054174"/>
    <x v="0"/>
    <x v="0"/>
    <x v="0"/>
    <n v="0"/>
    <n v="1054174"/>
    <n v="-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054174"/>
    <n v="0"/>
    <n v="1054174"/>
    <x v="0"/>
    <x v="0"/>
    <x v="0"/>
    <n v="1054174"/>
    <n v="0"/>
    <n v="1054174"/>
    <x v="0"/>
    <x v="0"/>
    <x v="0"/>
    <n v="1054174"/>
    <n v="0"/>
    <n v="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117214"/>
    <n v="-1117214"/>
    <x v="0"/>
    <x v="0"/>
    <x v="0"/>
    <n v="0"/>
    <n v="1117214"/>
    <n v="-1117214"/>
    <x v="0"/>
    <x v="0"/>
    <x v="0"/>
    <n v="0"/>
    <n v="1117214"/>
    <n v="-1117214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47862"/>
    <n v="-147862"/>
    <x v="0"/>
    <x v="0"/>
    <x v="0"/>
    <n v="0"/>
    <n v="0"/>
    <n v="0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56705"/>
    <n v="-156705"/>
    <x v="0"/>
    <x v="0"/>
    <x v="0"/>
    <n v="0"/>
    <n v="0"/>
    <n v="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90243"/>
    <n v="0"/>
    <n v="190243"/>
    <x v="0"/>
    <x v="0"/>
    <x v="0"/>
    <n v="190243"/>
    <n v="0"/>
    <n v="190243"/>
    <x v="0"/>
    <x v="0"/>
    <x v="0"/>
    <n v="190243"/>
    <n v="0"/>
    <n v="190243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858764"/>
    <n v="0"/>
    <n v="1858764"/>
    <x v="0"/>
    <x v="0"/>
    <x v="0"/>
    <n v="1858764"/>
    <n v="0"/>
    <n v="1858764"/>
    <x v="0"/>
    <x v="0"/>
    <x v="0"/>
    <n v="1858764"/>
    <n v="0"/>
    <n v="18587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0"/>
    <n v="0"/>
    <n v="0"/>
    <x v="0"/>
    <x v="0"/>
    <x v="0"/>
    <n v="721682"/>
    <n v="0"/>
    <n v="721682"/>
    <x v="0"/>
    <x v="0"/>
    <x v="0"/>
    <n v="0"/>
    <n v="0"/>
    <n v="0"/>
    <x v="0"/>
    <x v="0"/>
    <x v="0"/>
    <x v="0"/>
    <x v="0"/>
  </r>
  <r>
    <x v="3"/>
    <x v="0"/>
    <x v="0"/>
    <x v="0"/>
    <x v="0"/>
    <x v="2"/>
    <x v="2"/>
    <n v="20569"/>
    <s v="PME001013J84"/>
    <s v="PANAMSAT DE MEXICO S DE RL DE CV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ARZO (TRM 3199.72)"/>
    <n v="11209723.92"/>
    <n v="0"/>
    <n v="11209723.92"/>
    <x v="0"/>
    <x v="0"/>
    <x v="0"/>
    <n v="11209723.92"/>
    <n v="0"/>
    <n v="11209723.92"/>
    <x v="0"/>
    <x v="0"/>
    <x v="0"/>
    <n v="11209723.92"/>
    <n v="0"/>
    <n v="11209723.92"/>
    <x v="0"/>
    <x v="0"/>
    <x v="0"/>
    <x v="0"/>
    <x v="0"/>
  </r>
  <r>
    <x v="3"/>
    <x v="0"/>
    <x v="0"/>
    <x v="0"/>
    <x v="0"/>
    <x v="2"/>
    <x v="2"/>
    <n v="20560"/>
    <s v="900397145"/>
    <s v="TILETRADE S.A.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DIVIDENDOS CUOTA 04 (USD 3718.47   / TRM 3195)"/>
    <n v="8.65"/>
    <n v="0"/>
    <n v="8.65"/>
    <x v="0"/>
    <x v="0"/>
    <x v="0"/>
    <n v="8.65"/>
    <n v="0"/>
    <n v="8.65"/>
    <x v="0"/>
    <x v="0"/>
    <x v="0"/>
    <n v="8.65"/>
    <n v="0"/>
    <n v="8.65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2"/>
    <n v="0"/>
    <n v="1694672"/>
    <x v="0"/>
    <x v="0"/>
    <x v="0"/>
    <n v="1694672"/>
    <n v="0"/>
    <n v="1694672"/>
    <x v="0"/>
    <x v="0"/>
    <x v="0"/>
    <n v="1694672"/>
    <n v="0"/>
    <n v="1694672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479651"/>
    <n v="0"/>
    <n v="479651"/>
    <x v="0"/>
    <x v="0"/>
    <x v="0"/>
    <n v="479651"/>
    <n v="0"/>
    <n v="479651"/>
    <x v="0"/>
    <x v="0"/>
    <x v="0"/>
    <n v="479651"/>
    <n v="0"/>
    <n v="47965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0"/>
    <n v="0"/>
    <n v="0"/>
    <x v="0"/>
    <x v="0"/>
    <x v="0"/>
    <n v="0"/>
    <n v="0"/>
    <n v="0"/>
    <x v="0"/>
    <x v="0"/>
    <x v="0"/>
    <n v="1113914"/>
    <n v="0"/>
    <n v="1113914"/>
    <x v="0"/>
    <x v="0"/>
    <x v="0"/>
    <x v="0"/>
    <x v="0"/>
  </r>
  <r>
    <x v="4"/>
    <x v="0"/>
    <x v="0"/>
    <x v="0"/>
    <x v="0"/>
    <x v="2"/>
    <x v="2"/>
    <n v="20687"/>
    <s v="900397145"/>
    <s v="TILETRADE S.A.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435.77 - TRM 3457.89)"/>
    <n v="11.73"/>
    <n v="0"/>
    <n v="11.73"/>
    <x v="0"/>
    <x v="0"/>
    <x v="0"/>
    <n v="11.73"/>
    <n v="0"/>
    <n v="11.73"/>
    <x v="0"/>
    <x v="0"/>
    <x v="0"/>
    <n v="11.73"/>
    <n v="0"/>
    <n v="11.73"/>
    <x v="0"/>
    <x v="0"/>
    <x v="0"/>
    <x v="0"/>
    <x v="0"/>
  </r>
  <r>
    <x v="4"/>
    <x v="0"/>
    <x v="0"/>
    <x v="0"/>
    <x v="0"/>
    <x v="2"/>
    <x v="2"/>
    <n v="20690"/>
    <s v="440000000330"/>
    <s v="BANCOLOMBIA CAYMAN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1707136"/>
    <s v="CODINGTON TRADING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865.24 - TRM 3457.89)"/>
    <n v="347884.34"/>
    <n v="0"/>
    <n v="347884.34"/>
    <x v="0"/>
    <x v="0"/>
    <x v="0"/>
    <n v="347884.34"/>
    <n v="0"/>
    <n v="347884.34"/>
    <x v="0"/>
    <x v="0"/>
    <x v="0"/>
    <n v="347884.34"/>
    <n v="0"/>
    <n v="347884.34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0"/>
    <n v="0"/>
    <n v="0"/>
    <x v="0"/>
    <x v="0"/>
    <x v="0"/>
    <n v="0"/>
    <n v="0"/>
    <n v="0"/>
    <x v="0"/>
    <x v="0"/>
    <x v="0"/>
    <n v="1593541"/>
    <n v="0"/>
    <n v="159354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01518"/>
    <n v="0"/>
    <n v="501518"/>
    <x v="0"/>
    <x v="0"/>
    <x v="0"/>
    <n v="501518"/>
    <n v="0"/>
    <n v="501518"/>
    <x v="0"/>
    <x v="0"/>
    <x v="0"/>
    <n v="501518"/>
    <n v="0"/>
    <n v="50151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0360.100000000006"/>
    <n v="0"/>
    <n v="70360.100000000006"/>
    <x v="0"/>
    <x v="0"/>
    <x v="0"/>
    <n v="70360.100000000006"/>
    <n v="0"/>
    <n v="70360.100000000006"/>
    <x v="0"/>
    <x v="0"/>
    <x v="0"/>
    <n v="70360.100000000006"/>
    <n v="0"/>
    <n v="70360.10000000000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15589.04"/>
    <n v="-15589.04"/>
    <x v="0"/>
    <x v="0"/>
    <x v="0"/>
    <n v="0"/>
    <n v="15589.04"/>
    <n v="-15589.04"/>
    <x v="0"/>
    <x v="0"/>
    <x v="0"/>
    <n v="0"/>
    <n v="15589.04"/>
    <n v="-15589.04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6391.51"/>
    <n v="-6391.51"/>
    <x v="0"/>
    <x v="0"/>
    <x v="0"/>
    <n v="0"/>
    <n v="6391.51"/>
    <n v="-6391.51"/>
    <x v="0"/>
    <x v="0"/>
    <x v="0"/>
    <n v="0"/>
    <n v="6391.51"/>
    <n v="-6391.5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2"/>
    <x v="2"/>
    <n v="20281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COLOMBIA -SERVIDOR PANTALLAS"/>
    <n v="18119.080000000002"/>
    <n v="0"/>
    <n v="18119.080000000002"/>
    <x v="0"/>
    <x v="0"/>
    <x v="0"/>
    <n v="18119.080000000002"/>
    <n v="0"/>
    <n v="18119.080000000002"/>
    <x v="0"/>
    <x v="0"/>
    <x v="0"/>
    <n v="18119.080000000002"/>
    <n v="0"/>
    <n v="18119.080000000002"/>
    <x v="0"/>
    <x v="0"/>
    <x v="0"/>
    <x v="0"/>
    <x v="0"/>
  </r>
  <r>
    <x v="6"/>
    <x v="0"/>
    <x v="0"/>
    <x v="0"/>
    <x v="0"/>
    <x v="2"/>
    <x v="2"/>
    <n v="20285"/>
    <s v="444444464"/>
    <s v="DANQ ENVIRONMENTAL TECHNOLOGY Co., LTD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4444437"/>
    <s v="PAYP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BANCOLOMBIA"/>
    <n v="740191.07"/>
    <n v="0"/>
    <n v="740191.07000000007"/>
    <x v="0"/>
    <x v="0"/>
    <x v="0"/>
    <n v="740191.07"/>
    <n v="0"/>
    <n v="740191.07000000007"/>
    <x v="0"/>
    <x v="0"/>
    <x v="0"/>
    <n v="740191.07"/>
    <n v="0"/>
    <n v="740191.07000000007"/>
    <x v="0"/>
    <x v="0"/>
    <x v="0"/>
    <x v="0"/>
    <x v="0"/>
  </r>
  <r>
    <x v="2"/>
    <x v="0"/>
    <x v="0"/>
    <x v="0"/>
    <x v="0"/>
    <x v="11"/>
    <x v="11"/>
    <n v="26433"/>
    <s v="4519543"/>
    <s v="GARCIA CASTAÑO FREDY JHOVANNY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0_x000d__x000a_CJM 255_x000d__x000a_GASTOS BANCARIOS"/>
    <n v="7940"/>
    <n v="0"/>
    <n v="7940"/>
    <x v="0"/>
    <x v="0"/>
    <x v="0"/>
    <n v="7940"/>
    <n v="0"/>
    <n v="7940"/>
    <x v="0"/>
    <x v="0"/>
    <x v="0"/>
    <n v="7940"/>
    <n v="0"/>
    <n v="7940"/>
    <x v="0"/>
    <x v="0"/>
    <x v="0"/>
    <x v="0"/>
    <x v="0"/>
  </r>
  <r>
    <x v="2"/>
    <x v="0"/>
    <x v="0"/>
    <x v="0"/>
    <x v="0"/>
    <x v="11"/>
    <x v="11"/>
    <n v="26434"/>
    <s v="71631400"/>
    <s v="CARRASQUILLA PIZARRO MARCO ANTONIO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3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35"/>
    <s v="1045717933"/>
    <s v="PALMA GUTIERREZ KETTY JANETH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5"/>
    <s v="71631400"/>
    <s v="CARRASQUILLA PIZARRO MARCO ANTONIO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83 + GASTOS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0"/>
    <x v="0"/>
    <x v="11"/>
    <x v="11"/>
    <n v="26446"/>
    <s v="1045717933"/>
    <s v="PALMA GUTIERREZ KETTY JANETH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76 - LAN 193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7"/>
    <s v="1018441067"/>
    <s v="ALONSO GUTIERREZ YINNETH CATALINA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0+GASTOS BANCARIOS"/>
    <n v="11484"/>
    <n v="0"/>
    <n v="11484"/>
    <x v="0"/>
    <x v="0"/>
    <x v="0"/>
    <n v="11484"/>
    <n v="0"/>
    <n v="11484"/>
    <x v="0"/>
    <x v="0"/>
    <x v="0"/>
    <n v="11484"/>
    <n v="0"/>
    <n v="11484"/>
    <x v="0"/>
    <x v="0"/>
    <x v="0"/>
    <x v="0"/>
    <x v="0"/>
  </r>
  <r>
    <x v="2"/>
    <x v="0"/>
    <x v="0"/>
    <x v="0"/>
    <x v="0"/>
    <x v="11"/>
    <x v="11"/>
    <n v="26448"/>
    <s v="1098657994"/>
    <s v="HERNANDEZ ROJAS JOHN EDISON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4+ GASTOS BANCARIOS"/>
    <n v="6739"/>
    <n v="0"/>
    <n v="6739"/>
    <x v="0"/>
    <x v="0"/>
    <x v="0"/>
    <n v="6739"/>
    <n v="0"/>
    <n v="6739"/>
    <x v="0"/>
    <x v="0"/>
    <x v="0"/>
    <n v="6739"/>
    <n v="0"/>
    <n v="6739"/>
    <x v="0"/>
    <x v="0"/>
    <x v="0"/>
    <x v="0"/>
    <x v="0"/>
  </r>
  <r>
    <x v="2"/>
    <x v="0"/>
    <x v="0"/>
    <x v="0"/>
    <x v="0"/>
    <x v="2"/>
    <x v="2"/>
    <n v="20310"/>
    <s v="860002964"/>
    <s v="BANCO DE BOGOTA S.A.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84981.45"/>
    <n v="0"/>
    <n v="84981.45"/>
    <x v="0"/>
    <x v="0"/>
    <x v="0"/>
    <n v="84981.45"/>
    <n v="0"/>
    <n v="84981.45"/>
    <x v="0"/>
    <x v="0"/>
    <x v="0"/>
    <n v="84981.45"/>
    <n v="0"/>
    <n v="84981.45"/>
    <x v="0"/>
    <x v="0"/>
    <x v="0"/>
    <x v="0"/>
    <x v="0"/>
  </r>
  <r>
    <x v="2"/>
    <x v="0"/>
    <x v="0"/>
    <x v="0"/>
    <x v="0"/>
    <x v="2"/>
    <x v="2"/>
    <n v="20322"/>
    <s v="890300279"/>
    <s v="BANCO DE OCCIDENTE."/>
    <s v="201906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135874"/>
    <n v="0"/>
    <n v="135874"/>
    <x v="0"/>
    <x v="0"/>
    <x v="0"/>
    <n v="135874"/>
    <n v="0"/>
    <n v="135874"/>
    <x v="0"/>
    <x v="0"/>
    <x v="0"/>
    <n v="135874"/>
    <n v="0"/>
    <n v="135874"/>
    <x v="0"/>
    <x v="0"/>
    <x v="0"/>
    <x v="0"/>
    <x v="0"/>
  </r>
  <r>
    <x v="2"/>
    <x v="0"/>
    <x v="0"/>
    <x v="0"/>
    <x v="0"/>
    <x v="11"/>
    <x v="11"/>
    <n v="26519"/>
    <s v="71631400"/>
    <s v="CARRASQUILLA PIZARRO MARCO ANTONIO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7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2"/>
    <x v="0"/>
    <x v="0"/>
    <x v="0"/>
    <x v="0"/>
    <x v="11"/>
    <x v="11"/>
    <n v="26520"/>
    <s v="1045717933"/>
    <s v="PALMA GUTIERREZ KETTY JANETH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4"/>
    <n v="2400"/>
    <n v="0"/>
    <n v="2400"/>
    <x v="0"/>
    <x v="0"/>
    <x v="0"/>
    <n v="2400"/>
    <n v="0"/>
    <n v="2400"/>
    <x v="0"/>
    <x v="0"/>
    <x v="0"/>
    <n v="2400"/>
    <n v="0"/>
    <n v="2400"/>
    <x v="0"/>
    <x v="0"/>
    <x v="0"/>
    <x v="0"/>
    <x v="0"/>
  </r>
  <r>
    <x v="2"/>
    <x v="0"/>
    <x v="0"/>
    <x v="0"/>
    <x v="0"/>
    <x v="11"/>
    <x v="11"/>
    <n v="26608"/>
    <s v="1045717933"/>
    <s v="PALMA GUTIERREZ KETTY JANETH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609"/>
    <s v="1018441067"/>
    <s v="ALONSO GUTIERREZ YINNETH CATALIN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2"/>
    <n v="3754"/>
    <n v="0"/>
    <n v="3754"/>
    <x v="0"/>
    <x v="0"/>
    <x v="0"/>
    <n v="3754"/>
    <n v="0"/>
    <n v="3754"/>
    <x v="0"/>
    <x v="0"/>
    <x v="0"/>
    <n v="3754"/>
    <n v="0"/>
    <n v="3754"/>
    <x v="0"/>
    <x v="0"/>
    <x v="0"/>
    <x v="0"/>
    <x v="0"/>
  </r>
  <r>
    <x v="2"/>
    <x v="0"/>
    <x v="0"/>
    <x v="0"/>
    <x v="0"/>
    <x v="11"/>
    <x v="11"/>
    <n v="26610"/>
    <s v="1036930909"/>
    <s v="ALZATE SANCHEZ NATACH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9"/>
    <n v="8506"/>
    <n v="0"/>
    <n v="8506"/>
    <x v="0"/>
    <x v="0"/>
    <x v="0"/>
    <n v="8506"/>
    <n v="0"/>
    <n v="8506"/>
    <x v="0"/>
    <x v="0"/>
    <x v="0"/>
    <n v="8506"/>
    <n v="0"/>
    <n v="8506"/>
    <x v="0"/>
    <x v="0"/>
    <x v="0"/>
    <x v="0"/>
    <x v="0"/>
  </r>
  <r>
    <x v="2"/>
    <x v="0"/>
    <x v="0"/>
    <x v="0"/>
    <x v="0"/>
    <x v="2"/>
    <x v="2"/>
    <n v="20378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8655.7000000000007"/>
    <n v="0"/>
    <n v="8655.7000000000007"/>
    <x v="0"/>
    <x v="0"/>
    <x v="0"/>
    <n v="8655.7000000000007"/>
    <n v="0"/>
    <n v="8655.7000000000007"/>
    <x v="0"/>
    <x v="0"/>
    <x v="0"/>
    <n v="8655.7000000000007"/>
    <n v="0"/>
    <n v="8655.700000000000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2"/>
    <x v="0"/>
    <x v="0"/>
    <x v="0"/>
    <x v="0"/>
    <x v="11"/>
    <x v="11"/>
    <n v="26491"/>
    <s v="1045717933"/>
    <s v="PALMA GUTIERREZ KETTY JANETH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3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512"/>
    <s v="31908098"/>
    <s v="LOPEZ GARCIA MARIA DEL SOCORRO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4"/>
    <n v="11250"/>
    <n v="0"/>
    <n v="11250"/>
    <x v="0"/>
    <x v="0"/>
    <x v="0"/>
    <n v="11250"/>
    <n v="0"/>
    <n v="11250"/>
    <x v="0"/>
    <x v="0"/>
    <x v="0"/>
    <n v="11250"/>
    <n v="0"/>
    <n v="11250"/>
    <x v="0"/>
    <x v="0"/>
    <x v="0"/>
    <x v="0"/>
    <x v="0"/>
  </r>
  <r>
    <x v="2"/>
    <x v="0"/>
    <x v="0"/>
    <x v="0"/>
    <x v="0"/>
    <x v="11"/>
    <x v="11"/>
    <n v="26513"/>
    <s v="1018441067"/>
    <s v="ALONSO GUTIERREZ YINNETH CATALINA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1"/>
    <n v="7687.01"/>
    <n v="0"/>
    <n v="7687.01"/>
    <x v="0"/>
    <x v="0"/>
    <x v="0"/>
    <n v="7687.01"/>
    <n v="0"/>
    <n v="7687.01"/>
    <x v="0"/>
    <x v="0"/>
    <x v="0"/>
    <n v="7687.01"/>
    <n v="0"/>
    <n v="7687.01"/>
    <x v="0"/>
    <x v="0"/>
    <x v="0"/>
    <x v="0"/>
    <x v="0"/>
  </r>
  <r>
    <x v="2"/>
    <x v="0"/>
    <x v="0"/>
    <x v="0"/>
    <x v="0"/>
    <x v="11"/>
    <x v="11"/>
    <n v="26526"/>
    <s v="1045717933"/>
    <s v="PALMA GUTIERREZ KETTY JANETH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7+ GASTOS BANCARIOS"/>
    <n v="5158"/>
    <n v="0"/>
    <n v="5158"/>
    <x v="0"/>
    <x v="0"/>
    <x v="0"/>
    <n v="5158"/>
    <n v="0"/>
    <n v="5158"/>
    <x v="0"/>
    <x v="0"/>
    <x v="0"/>
    <n v="5158"/>
    <n v="0"/>
    <n v="5158"/>
    <x v="0"/>
    <x v="0"/>
    <x v="0"/>
    <x v="0"/>
    <x v="0"/>
  </r>
  <r>
    <x v="6"/>
    <x v="0"/>
    <x v="0"/>
    <x v="0"/>
    <x v="0"/>
    <x v="2"/>
    <x v="2"/>
    <n v="2026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-  CONCILIACION BANCOLOMBIA"/>
    <n v="153000"/>
    <n v="0"/>
    <n v="153000"/>
    <x v="0"/>
    <x v="0"/>
    <x v="0"/>
    <n v="153000"/>
    <n v="0"/>
    <n v="153000"/>
    <x v="0"/>
    <x v="0"/>
    <x v="0"/>
    <n v="153000"/>
    <n v="0"/>
    <n v="153000"/>
    <x v="0"/>
    <x v="0"/>
    <x v="0"/>
    <x v="0"/>
    <x v="0"/>
  </r>
  <r>
    <x v="2"/>
    <x v="0"/>
    <x v="0"/>
    <x v="0"/>
    <x v="0"/>
    <x v="11"/>
    <x v="11"/>
    <n v="26490"/>
    <s v="71631400"/>
    <s v="CARRASQUILLA PIZARRO MARCO ANTONIO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5 + GAST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2"/>
    <x v="0"/>
    <x v="0"/>
    <x v="0"/>
    <x v="0"/>
    <x v="11"/>
    <x v="11"/>
    <n v="26531"/>
    <s v="1098657994"/>
    <s v="HERNANDEZ ROJAS JOHN EDISON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69893.9"/>
    <n v="0"/>
    <n v="169893.9"/>
    <x v="0"/>
    <x v="0"/>
    <x v="0"/>
    <n v="169893.9"/>
    <n v="0"/>
    <n v="169893.9"/>
    <x v="0"/>
    <x v="0"/>
    <x v="0"/>
    <n v="169893.9"/>
    <n v="0"/>
    <n v="169893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60000"/>
    <n v="0"/>
    <n v="60000"/>
    <x v="0"/>
    <x v="0"/>
    <x v="0"/>
    <n v="60000"/>
    <n v="0"/>
    <n v="60000"/>
    <x v="0"/>
    <x v="0"/>
    <x v="0"/>
    <n v="60000"/>
    <n v="0"/>
    <n v="6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605224"/>
    <n v="0"/>
    <n v="605224"/>
    <x v="0"/>
    <x v="0"/>
    <x v="0"/>
    <n v="605224"/>
    <n v="0"/>
    <n v="605224"/>
    <x v="0"/>
    <x v="0"/>
    <x v="0"/>
    <n v="605224"/>
    <n v="0"/>
    <n v="60522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3.79999999999"/>
    <n v="0"/>
    <n v="159013.80000000002"/>
    <x v="0"/>
    <x v="0"/>
    <x v="0"/>
    <n v="159013.79999999999"/>
    <n v="0"/>
    <n v="159013.80000000002"/>
    <x v="0"/>
    <x v="0"/>
    <x v="0"/>
    <n v="159013.79999999999"/>
    <n v="0"/>
    <n v="159013.8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4750.45"/>
    <n v="0"/>
    <n v="4750.45"/>
    <x v="0"/>
    <x v="0"/>
    <x v="0"/>
    <n v="4750.45"/>
    <n v="0"/>
    <n v="4750.45"/>
    <x v="0"/>
    <x v="0"/>
    <x v="0"/>
    <n v="4750.45"/>
    <n v="0"/>
    <n v="4750.4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42088"/>
    <n v="0"/>
    <n v="342088"/>
    <x v="0"/>
    <x v="0"/>
    <x v="0"/>
    <n v="342088"/>
    <n v="0"/>
    <n v="342088"/>
    <x v="0"/>
    <x v="0"/>
    <x v="0"/>
    <n v="342088"/>
    <n v="0"/>
    <n v="34208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2"/>
    <x v="2"/>
    <n v="20405"/>
    <s v="900406150"/>
    <s v="BANCO COOMEV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 DE GASTOS BANCARIOS BANCOOMEVA"/>
    <n v="0"/>
    <n v="57110.080000000002"/>
    <n v="-57110.080000000002"/>
    <x v="0"/>
    <x v="0"/>
    <x v="0"/>
    <n v="0"/>
    <n v="57110.080000000002"/>
    <n v="-57110.080000000002"/>
    <x v="0"/>
    <x v="0"/>
    <x v="0"/>
    <n v="0"/>
    <n v="57110.080000000002"/>
    <n v="-57110.080000000002"/>
    <x v="0"/>
    <x v="0"/>
    <x v="0"/>
    <x v="0"/>
    <x v="0"/>
  </r>
  <r>
    <x v="3"/>
    <x v="0"/>
    <x v="0"/>
    <x v="0"/>
    <x v="0"/>
    <x v="11"/>
    <x v="11"/>
    <n v="26672"/>
    <s v="1036930909"/>
    <s v="ALZATE SANCHEZ NATACHA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7"/>
    <n v="41500"/>
    <n v="0"/>
    <n v="41500"/>
    <x v="0"/>
    <x v="0"/>
    <x v="0"/>
    <n v="41500"/>
    <n v="0"/>
    <n v="41500"/>
    <x v="0"/>
    <x v="0"/>
    <x v="0"/>
    <n v="41500"/>
    <n v="0"/>
    <n v="41500"/>
    <x v="0"/>
    <x v="0"/>
    <x v="0"/>
    <x v="0"/>
    <x v="0"/>
  </r>
  <r>
    <x v="3"/>
    <x v="0"/>
    <x v="0"/>
    <x v="0"/>
    <x v="0"/>
    <x v="11"/>
    <x v="11"/>
    <n v="26673"/>
    <s v="66915560"/>
    <s v="PEREZ ARCE GRETTY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2"/>
    <x v="2"/>
    <n v="20455"/>
    <s v="860035827"/>
    <s v="BANCO AV VILLAS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0520-1 AV VILLAS"/>
    <n v="573457"/>
    <n v="0"/>
    <n v="573457"/>
    <x v="0"/>
    <x v="0"/>
    <x v="0"/>
    <n v="573457"/>
    <n v="0"/>
    <n v="573457"/>
    <x v="0"/>
    <x v="0"/>
    <x v="0"/>
    <n v="573457"/>
    <n v="0"/>
    <n v="573457"/>
    <x v="0"/>
    <x v="0"/>
    <x v="0"/>
    <x v="0"/>
    <x v="0"/>
  </r>
  <r>
    <x v="3"/>
    <x v="0"/>
    <x v="0"/>
    <x v="0"/>
    <x v="0"/>
    <x v="11"/>
    <x v="11"/>
    <n v="26686"/>
    <s v="1045717933"/>
    <s v="PALMA GUTIERREZ KETTY JANETH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687"/>
    <s v="1098657994"/>
    <s v="HERNANDEZ ROJAS JOHN EDISON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5"/>
    <n v="7218"/>
    <n v="0"/>
    <n v="7218"/>
    <x v="0"/>
    <x v="0"/>
    <x v="0"/>
    <n v="7218"/>
    <n v="0"/>
    <n v="7218"/>
    <x v="0"/>
    <x v="0"/>
    <x v="0"/>
    <n v="7218"/>
    <n v="0"/>
    <n v="7218"/>
    <x v="0"/>
    <x v="0"/>
    <x v="0"/>
    <x v="0"/>
    <x v="0"/>
  </r>
  <r>
    <x v="3"/>
    <x v="0"/>
    <x v="0"/>
    <x v="0"/>
    <x v="0"/>
    <x v="11"/>
    <x v="11"/>
    <n v="26688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1"/>
    <n v="2224"/>
    <n v="0"/>
    <n v="2224"/>
    <x v="0"/>
    <x v="0"/>
    <x v="0"/>
    <n v="2224"/>
    <n v="0"/>
    <n v="2224"/>
    <x v="0"/>
    <x v="0"/>
    <x v="0"/>
    <n v="2224"/>
    <n v="0"/>
    <n v="2224"/>
    <x v="0"/>
    <x v="0"/>
    <x v="0"/>
    <x v="0"/>
    <x v="0"/>
  </r>
  <r>
    <x v="3"/>
    <x v="0"/>
    <x v="0"/>
    <x v="0"/>
    <x v="0"/>
    <x v="11"/>
    <x v="11"/>
    <n v="26689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7"/>
    <n v="2468"/>
    <n v="0"/>
    <n v="2468"/>
    <x v="0"/>
    <x v="0"/>
    <x v="0"/>
    <n v="2468"/>
    <n v="0"/>
    <n v="2468"/>
    <x v="0"/>
    <x v="0"/>
    <x v="0"/>
    <n v="2468"/>
    <n v="0"/>
    <n v="2468"/>
    <x v="0"/>
    <x v="0"/>
    <x v="0"/>
    <x v="0"/>
    <x v="0"/>
  </r>
  <r>
    <x v="3"/>
    <x v="0"/>
    <x v="0"/>
    <x v="0"/>
    <x v="0"/>
    <x v="2"/>
    <x v="2"/>
    <n v="20465"/>
    <s v="860035827"/>
    <s v="BANCO AV VILLAS"/>
    <s v="201907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 OBLIGACION 7366-7"/>
    <n v="184383"/>
    <n v="0"/>
    <n v="184383"/>
    <x v="0"/>
    <x v="0"/>
    <x v="0"/>
    <n v="184383"/>
    <n v="0"/>
    <n v="184383"/>
    <x v="0"/>
    <x v="0"/>
    <x v="0"/>
    <n v="184383"/>
    <n v="0"/>
    <n v="184383"/>
    <x v="0"/>
    <x v="0"/>
    <x v="0"/>
    <x v="0"/>
    <x v="0"/>
  </r>
  <r>
    <x v="3"/>
    <x v="0"/>
    <x v="0"/>
    <x v="0"/>
    <x v="0"/>
    <x v="2"/>
    <x v="2"/>
    <n v="20469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7666-7  18490 DEL MES DE JUNIO ATRARZADA"/>
    <n v="194576"/>
    <n v="0"/>
    <n v="194576"/>
    <x v="0"/>
    <x v="0"/>
    <x v="0"/>
    <n v="194576"/>
    <n v="0"/>
    <n v="194576"/>
    <x v="0"/>
    <x v="0"/>
    <x v="0"/>
    <n v="194576"/>
    <n v="0"/>
    <n v="194576"/>
    <x v="0"/>
    <x v="0"/>
    <x v="0"/>
    <x v="0"/>
    <x v="0"/>
  </r>
  <r>
    <x v="3"/>
    <x v="0"/>
    <x v="0"/>
    <x v="0"/>
    <x v="0"/>
    <x v="2"/>
    <x v="2"/>
    <n v="20471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NIO DEL 2019"/>
    <n v="71722"/>
    <n v="0"/>
    <n v="71722"/>
    <x v="0"/>
    <x v="0"/>
    <x v="0"/>
    <n v="71722"/>
    <n v="0"/>
    <n v="71722"/>
    <x v="0"/>
    <x v="0"/>
    <x v="0"/>
    <n v="71722"/>
    <n v="0"/>
    <n v="71722"/>
    <x v="0"/>
    <x v="0"/>
    <x v="0"/>
    <x v="0"/>
    <x v="0"/>
  </r>
  <r>
    <x v="3"/>
    <x v="0"/>
    <x v="0"/>
    <x v="0"/>
    <x v="0"/>
    <x v="11"/>
    <x v="11"/>
    <n v="26753"/>
    <s v="31908098"/>
    <s v="LOPEZ GARCIA MARIA DEL SOCORRO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"/>
    <n v="8503"/>
    <n v="0"/>
    <n v="8503"/>
    <x v="0"/>
    <x v="0"/>
    <x v="0"/>
    <n v="8503"/>
    <n v="0"/>
    <n v="8503"/>
    <x v="0"/>
    <x v="0"/>
    <x v="0"/>
    <n v="8503"/>
    <n v="0"/>
    <n v="8503"/>
    <x v="0"/>
    <x v="0"/>
    <x v="0"/>
    <x v="0"/>
    <x v="0"/>
  </r>
  <r>
    <x v="3"/>
    <x v="0"/>
    <x v="0"/>
    <x v="0"/>
    <x v="0"/>
    <x v="11"/>
    <x v="11"/>
    <n v="26658"/>
    <s v="1018441067"/>
    <s v="ALONSO GUTIERREZ YINNETH CATALINA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3"/>
    <n v="7410"/>
    <n v="0"/>
    <n v="7410"/>
    <x v="0"/>
    <x v="0"/>
    <x v="0"/>
    <n v="7410"/>
    <n v="0"/>
    <n v="7410"/>
    <x v="0"/>
    <x v="0"/>
    <x v="0"/>
    <n v="7410"/>
    <n v="0"/>
    <n v="7410"/>
    <x v="0"/>
    <x v="0"/>
    <x v="0"/>
    <x v="0"/>
    <x v="0"/>
  </r>
  <r>
    <x v="3"/>
    <x v="0"/>
    <x v="0"/>
    <x v="0"/>
    <x v="0"/>
    <x v="11"/>
    <x v="11"/>
    <n v="26659"/>
    <s v="31908098"/>
    <s v="LOPEZ GARCIA MARIA DEL SOCORR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235"/>
    <n v="7032"/>
    <n v="0"/>
    <n v="7032"/>
    <x v="0"/>
    <x v="0"/>
    <x v="0"/>
    <n v="7032"/>
    <n v="0"/>
    <n v="7032"/>
    <x v="0"/>
    <x v="0"/>
    <x v="0"/>
    <n v="7032"/>
    <n v="0"/>
    <n v="7032"/>
    <x v="0"/>
    <x v="0"/>
    <x v="0"/>
    <x v="0"/>
    <x v="0"/>
  </r>
  <r>
    <x v="3"/>
    <x v="0"/>
    <x v="0"/>
    <x v="0"/>
    <x v="0"/>
    <x v="11"/>
    <x v="11"/>
    <n v="26660"/>
    <s v="71631400"/>
    <s v="CARRASQUILLA PIZARRO MARCO ANTONI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8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27"/>
    <s v="71631400"/>
    <s v="CARRASQUILLA PIZARRO MARCO ANTONIO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3"/>
    <x v="0"/>
    <x v="0"/>
    <x v="0"/>
    <x v="0"/>
    <x v="11"/>
    <x v="11"/>
    <n v="26728"/>
    <s v="1045717933"/>
    <s v="PALMA GUTIERREZ KETTY JANETH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1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49"/>
    <s v="1098657994"/>
    <s v="HERNANDEZ ROJAS JOHN EDISON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2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750"/>
    <s v="4519543"/>
    <s v="GARCIA CASTAÑO FREDY JHOVANNY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4 _x000d__x000a_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51"/>
    <s v="1018441067"/>
    <s v="ALONSO GUTIERREZ YINNETH CATALINA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4_x000d__x000a_AE 752"/>
    <n v="10073"/>
    <n v="0"/>
    <n v="10073"/>
    <x v="0"/>
    <x v="0"/>
    <x v="0"/>
    <n v="10073"/>
    <n v="0"/>
    <n v="10073"/>
    <x v="0"/>
    <x v="0"/>
    <x v="0"/>
    <n v="10073"/>
    <n v="0"/>
    <n v="10073"/>
    <x v="0"/>
    <x v="0"/>
    <x v="0"/>
    <x v="0"/>
    <x v="0"/>
  </r>
  <r>
    <x v="3"/>
    <x v="0"/>
    <x v="0"/>
    <x v="0"/>
    <x v="0"/>
    <x v="11"/>
    <x v="11"/>
    <n v="26752"/>
    <s v="1045717933"/>
    <s v="PALMA GUTIERREZ KETTY JANETH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SN 199"/>
    <n v="3968"/>
    <n v="0"/>
    <n v="3968"/>
    <x v="0"/>
    <x v="0"/>
    <x v="0"/>
    <n v="3968"/>
    <n v="0"/>
    <n v="3968"/>
    <x v="0"/>
    <x v="0"/>
    <x v="0"/>
    <n v="3968"/>
    <n v="0"/>
    <n v="396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2"/>
    <x v="2"/>
    <n v="20493"/>
    <s v="IE9692928F"/>
    <s v="FACEBOOK IRELAND LIMITED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CK"/>
    <n v="5082.54"/>
    <n v="0"/>
    <n v="5082.54"/>
    <x v="0"/>
    <x v="0"/>
    <x v="0"/>
    <n v="5082.54"/>
    <n v="0"/>
    <n v="5082.54"/>
    <x v="0"/>
    <x v="0"/>
    <x v="0"/>
    <n v="5082.54"/>
    <n v="0"/>
    <n v="5082.54"/>
    <x v="0"/>
    <x v="0"/>
    <x v="0"/>
    <x v="0"/>
    <x v="0"/>
  </r>
  <r>
    <x v="3"/>
    <x v="0"/>
    <x v="0"/>
    <x v="0"/>
    <x v="0"/>
    <x v="12"/>
    <x v="12"/>
    <n v="6925"/>
    <s v="860035827"/>
    <s v="BANCO AV VILLAS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credito 002527366-7_x000d__x000a_saldo         credito  002277483-7"/>
    <n v="16319"/>
    <n v="0"/>
    <n v="16319"/>
    <x v="0"/>
    <x v="0"/>
    <x v="0"/>
    <n v="16319"/>
    <n v="0"/>
    <n v="16319"/>
    <x v="0"/>
    <x v="0"/>
    <x v="0"/>
    <n v="16319"/>
    <n v="0"/>
    <n v="16319"/>
    <x v="0"/>
    <x v="0"/>
    <x v="0"/>
    <x v="0"/>
    <x v="0"/>
  </r>
  <r>
    <x v="3"/>
    <x v="0"/>
    <x v="0"/>
    <x v="0"/>
    <x v="0"/>
    <x v="2"/>
    <x v="2"/>
    <n v="20494"/>
    <s v="860002964"/>
    <s v="BANCO DE BOGOTA S.A.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0349 BANCO DE BOGOTA"/>
    <n v="17493"/>
    <n v="0"/>
    <n v="17493"/>
    <x v="0"/>
    <x v="0"/>
    <x v="0"/>
    <n v="17493"/>
    <n v="0"/>
    <n v="17493"/>
    <x v="0"/>
    <x v="0"/>
    <x v="0"/>
    <n v="17493"/>
    <n v="0"/>
    <n v="17493"/>
    <x v="0"/>
    <x v="0"/>
    <x v="0"/>
    <x v="0"/>
    <x v="0"/>
  </r>
  <r>
    <x v="3"/>
    <x v="0"/>
    <x v="0"/>
    <x v="0"/>
    <x v="0"/>
    <x v="2"/>
    <x v="2"/>
    <n v="20501"/>
    <s v="860002964"/>
    <s v="BANCO DE BOGOTA S.A."/>
    <s v="201907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DE BANCARIOS BANCO DE BOGOTA  - MES DE JUNIO"/>
    <n v="103984.24"/>
    <n v="0"/>
    <n v="103984.24"/>
    <x v="0"/>
    <x v="0"/>
    <x v="0"/>
    <n v="103984.24"/>
    <n v="0"/>
    <n v="103984.24"/>
    <x v="0"/>
    <x v="0"/>
    <x v="0"/>
    <n v="103984.24"/>
    <n v="0"/>
    <n v="103984.24"/>
    <x v="0"/>
    <x v="0"/>
    <x v="0"/>
    <x v="0"/>
    <x v="0"/>
  </r>
  <r>
    <x v="3"/>
    <x v="0"/>
    <x v="0"/>
    <x v="0"/>
    <x v="0"/>
    <x v="11"/>
    <x v="11"/>
    <n v="26763"/>
    <s v="32896574"/>
    <s v="DE PAZ DIAZ JOHADYS ELENA"/>
    <s v="2019071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6"/>
    <n v="10607"/>
    <n v="0"/>
    <n v="10607"/>
    <x v="0"/>
    <x v="0"/>
    <x v="0"/>
    <n v="10607"/>
    <n v="0"/>
    <n v="10607"/>
    <x v="0"/>
    <x v="0"/>
    <x v="0"/>
    <n v="10607"/>
    <n v="0"/>
    <n v="10607"/>
    <x v="0"/>
    <x v="0"/>
    <x v="0"/>
    <x v="0"/>
    <x v="0"/>
  </r>
  <r>
    <x v="3"/>
    <x v="0"/>
    <x v="0"/>
    <x v="0"/>
    <x v="0"/>
    <x v="11"/>
    <x v="11"/>
    <n v="26764"/>
    <s v="71631400"/>
    <s v="CARRASQUILLA PIZARRO MARCO ANTONIO"/>
    <s v="201907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5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70"/>
    <s v="71631400"/>
    <s v="CARRASQUILLA PIZARRO MARCO ANTONIO"/>
    <s v="201907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589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3"/>
    <x v="0"/>
    <x v="0"/>
    <x v="0"/>
    <x v="0"/>
    <x v="11"/>
    <x v="11"/>
    <n v="26771"/>
    <s v="71631400"/>
    <s v="CARRASQUILLA PIZARRO MARCO ANTONIO"/>
    <s v="201907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"/>
    <n v="6000"/>
    <n v="0"/>
    <n v="6000"/>
    <x v="0"/>
    <x v="0"/>
    <x v="0"/>
    <n v="6000"/>
    <n v="0"/>
    <n v="6000"/>
    <x v="0"/>
    <x v="0"/>
    <x v="0"/>
    <n v="6000"/>
    <n v="0"/>
    <n v="6000"/>
    <x v="0"/>
    <x v="0"/>
    <x v="0"/>
    <x v="0"/>
    <x v="0"/>
  </r>
  <r>
    <x v="3"/>
    <x v="0"/>
    <x v="0"/>
    <x v="0"/>
    <x v="0"/>
    <x v="11"/>
    <x v="11"/>
    <n v="26887"/>
    <s v="1045717933"/>
    <s v="PALMA GUTIERREZ KETTY JANETH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888"/>
    <s v="4519543"/>
    <s v="GARCIA CASTAÑO FREDY JHOVANNY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8"/>
    <n v="2560"/>
    <n v="0"/>
    <n v="2560"/>
    <x v="0"/>
    <x v="0"/>
    <x v="0"/>
    <n v="2560"/>
    <n v="0"/>
    <n v="2560"/>
    <x v="0"/>
    <x v="0"/>
    <x v="0"/>
    <n v="2560"/>
    <n v="0"/>
    <n v="2560"/>
    <x v="0"/>
    <x v="0"/>
    <x v="0"/>
    <x v="0"/>
    <x v="0"/>
  </r>
  <r>
    <x v="3"/>
    <x v="0"/>
    <x v="0"/>
    <x v="0"/>
    <x v="0"/>
    <x v="11"/>
    <x v="11"/>
    <n v="26889"/>
    <s v="31908098"/>
    <s v="LOPEZ GARCIA MARIA DEL SOCORRO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"/>
    <n v="8557"/>
    <n v="0"/>
    <n v="8557"/>
    <x v="0"/>
    <x v="0"/>
    <x v="0"/>
    <n v="8557"/>
    <n v="0"/>
    <n v="8557"/>
    <x v="0"/>
    <x v="0"/>
    <x v="0"/>
    <n v="8557"/>
    <n v="0"/>
    <n v="8557"/>
    <x v="0"/>
    <x v="0"/>
    <x v="0"/>
    <x v="0"/>
    <x v="0"/>
  </r>
  <r>
    <x v="3"/>
    <x v="0"/>
    <x v="0"/>
    <x v="0"/>
    <x v="0"/>
    <x v="11"/>
    <x v="11"/>
    <n v="26890"/>
    <s v="1098657994"/>
    <s v="HERNANDEZ ROJAS JOHN EDISON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6"/>
    <n v="6596"/>
    <n v="0"/>
    <n v="6596"/>
    <x v="0"/>
    <x v="0"/>
    <x v="0"/>
    <n v="6596"/>
    <n v="0"/>
    <n v="6596"/>
    <x v="0"/>
    <x v="0"/>
    <x v="0"/>
    <n v="6596"/>
    <n v="0"/>
    <n v="6596"/>
    <x v="0"/>
    <x v="0"/>
    <x v="0"/>
    <x v="0"/>
    <x v="0"/>
  </r>
  <r>
    <x v="3"/>
    <x v="0"/>
    <x v="0"/>
    <x v="0"/>
    <x v="0"/>
    <x v="11"/>
    <x v="11"/>
    <n v="26891"/>
    <s v="1018441067"/>
    <s v="ALONSO GUTIERREZ YINNETH CATALINA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5"/>
    <n v="10938"/>
    <n v="0"/>
    <n v="10938"/>
    <x v="0"/>
    <x v="0"/>
    <x v="0"/>
    <n v="10938"/>
    <n v="0"/>
    <n v="10938"/>
    <x v="0"/>
    <x v="0"/>
    <x v="0"/>
    <n v="10938"/>
    <n v="0"/>
    <n v="10938"/>
    <x v="0"/>
    <x v="0"/>
    <x v="0"/>
    <x v="0"/>
    <x v="0"/>
  </r>
  <r>
    <x v="3"/>
    <x v="0"/>
    <x v="0"/>
    <x v="0"/>
    <x v="0"/>
    <x v="2"/>
    <x v="2"/>
    <n v="20590"/>
    <s v="890300279"/>
    <s v="BANCO DE OCCIDENTE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141400.89000000001"/>
    <n v="0"/>
    <n v="141400.89000000001"/>
    <x v="0"/>
    <x v="0"/>
    <x v="0"/>
    <n v="141400.89000000001"/>
    <n v="0"/>
    <n v="141400.89000000001"/>
    <x v="0"/>
    <x v="0"/>
    <x v="0"/>
    <n v="141400.89000000001"/>
    <n v="0"/>
    <n v="141400.89000000001"/>
    <x v="0"/>
    <x v="0"/>
    <x v="0"/>
    <x v="0"/>
    <x v="0"/>
  </r>
  <r>
    <x v="3"/>
    <x v="0"/>
    <x v="0"/>
    <x v="0"/>
    <x v="0"/>
    <x v="2"/>
    <x v="2"/>
    <n v="20595"/>
    <s v="860002964"/>
    <s v="BANCO DE BOGOT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87363.27"/>
    <n v="0"/>
    <n v="87363.27"/>
    <x v="0"/>
    <x v="0"/>
    <x v="0"/>
    <n v="87363.27"/>
    <n v="0"/>
    <n v="87363.27"/>
    <x v="0"/>
    <x v="0"/>
    <x v="0"/>
    <n v="87363.27"/>
    <n v="0"/>
    <n v="87363.2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81282"/>
    <n v="0"/>
    <n v="381282"/>
    <x v="0"/>
    <x v="0"/>
    <x v="0"/>
    <n v="381282"/>
    <n v="0"/>
    <n v="381282"/>
    <x v="0"/>
    <x v="0"/>
    <x v="0"/>
    <n v="381282"/>
    <n v="0"/>
    <n v="381282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7999.88"/>
    <n v="0"/>
    <n v="17999.88"/>
    <x v="0"/>
    <x v="0"/>
    <x v="0"/>
    <n v="17999.88"/>
    <n v="0"/>
    <n v="17999.88"/>
    <x v="0"/>
    <x v="0"/>
    <x v="0"/>
    <n v="17999.88"/>
    <n v="0"/>
    <n v="1799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36906"/>
    <n v="0"/>
    <n v="436906"/>
    <x v="0"/>
    <x v="0"/>
    <x v="0"/>
    <n v="436906"/>
    <n v="0"/>
    <n v="436906"/>
    <x v="0"/>
    <x v="0"/>
    <x v="0"/>
    <n v="436906"/>
    <n v="0"/>
    <n v="4369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5508.399999999994"/>
    <n v="0"/>
    <n v="75508.400000000009"/>
    <x v="0"/>
    <x v="0"/>
    <x v="0"/>
    <n v="75508.399999999994"/>
    <n v="0"/>
    <n v="75508.400000000009"/>
    <x v="0"/>
    <x v="0"/>
    <x v="0"/>
    <n v="75508.399999999994"/>
    <n v="0"/>
    <n v="75508.4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403.68"/>
    <n v="0"/>
    <n v="50403.68"/>
    <x v="0"/>
    <x v="0"/>
    <x v="0"/>
    <n v="50403.68"/>
    <n v="0"/>
    <n v="50403.68"/>
    <x v="0"/>
    <x v="0"/>
    <x v="0"/>
    <n v="50403.68"/>
    <n v="0"/>
    <n v="50403.68"/>
    <x v="0"/>
    <x v="0"/>
    <x v="0"/>
    <x v="0"/>
    <x v="0"/>
  </r>
  <r>
    <x v="4"/>
    <x v="0"/>
    <x v="0"/>
    <x v="0"/>
    <x v="0"/>
    <x v="1"/>
    <x v="1"/>
    <n v="2439"/>
    <s v="900466196"/>
    <s v="BLUEFIELDS FINANCIAL COLOMBIA"/>
    <s v="2019080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66196"/>
    <s v="BLUEFIELDS FINANCIAL COLOM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VALOR PAGADO DOBLE A PROVEEDOR, ESTE SE HABIA PAGADO CON TC_x000d__x000a_(PEL 26239 - NI 20407)"/>
    <n v="6783"/>
    <n v="0"/>
    <n v="6783"/>
    <x v="0"/>
    <x v="0"/>
    <x v="0"/>
    <n v="6783"/>
    <n v="0"/>
    <n v="6783"/>
    <x v="0"/>
    <x v="0"/>
    <x v="0"/>
    <n v="6783"/>
    <n v="0"/>
    <n v="6783"/>
    <x v="0"/>
    <x v="0"/>
    <x v="0"/>
    <x v="0"/>
    <x v="0"/>
  </r>
  <r>
    <x v="4"/>
    <x v="0"/>
    <x v="0"/>
    <x v="0"/>
    <x v="0"/>
    <x v="11"/>
    <x v="11"/>
    <n v="26911"/>
    <s v="1045717933"/>
    <s v="PALMA GUTIERREZ KETTY JANETH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8"/>
    <n v="6877"/>
    <n v="0"/>
    <n v="6877"/>
    <x v="0"/>
    <x v="0"/>
    <x v="0"/>
    <n v="6877"/>
    <n v="0"/>
    <n v="6877"/>
    <x v="0"/>
    <x v="0"/>
    <x v="0"/>
    <n v="6877"/>
    <n v="0"/>
    <n v="6877"/>
    <x v="0"/>
    <x v="0"/>
    <x v="0"/>
    <x v="0"/>
    <x v="0"/>
  </r>
  <r>
    <x v="4"/>
    <x v="0"/>
    <x v="0"/>
    <x v="0"/>
    <x v="0"/>
    <x v="11"/>
    <x v="11"/>
    <n v="26912"/>
    <s v="1036930909"/>
    <s v="ALZATE SANCHEZ NATACHA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0"/>
    <n v="11603"/>
    <n v="0"/>
    <n v="11603"/>
    <x v="0"/>
    <x v="0"/>
    <x v="0"/>
    <n v="11603"/>
    <n v="0"/>
    <n v="11603"/>
    <x v="0"/>
    <x v="0"/>
    <x v="0"/>
    <n v="11603"/>
    <n v="0"/>
    <n v="11603"/>
    <x v="0"/>
    <x v="0"/>
    <x v="0"/>
    <x v="0"/>
    <x v="0"/>
  </r>
  <r>
    <x v="4"/>
    <x v="0"/>
    <x v="0"/>
    <x v="0"/>
    <x v="0"/>
    <x v="11"/>
    <x v="11"/>
    <n v="26913"/>
    <s v="4519543"/>
    <s v="GARCIA CASTAÑO FREDY JHOVANNY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8"/>
    <n v="6515.88"/>
    <n v="0"/>
    <n v="6515.88"/>
    <x v="0"/>
    <x v="0"/>
    <x v="0"/>
    <n v="6515.88"/>
    <n v="0"/>
    <n v="6515.88"/>
    <x v="0"/>
    <x v="0"/>
    <x v="0"/>
    <n v="6515.88"/>
    <n v="0"/>
    <n v="6515.88"/>
    <x v="0"/>
    <x v="0"/>
    <x v="0"/>
    <x v="0"/>
    <x v="0"/>
  </r>
  <r>
    <x v="4"/>
    <x v="0"/>
    <x v="0"/>
    <x v="0"/>
    <x v="0"/>
    <x v="11"/>
    <x v="11"/>
    <n v="26914"/>
    <s v="71631400"/>
    <s v="CARRASQUILLA PIZARRO MARCO ANTONIO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91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2"/>
    <x v="2"/>
    <n v="20582"/>
    <s v="860035827"/>
    <s v="BANCO AV VILLAS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 AV VILLAS"/>
    <n v="516768"/>
    <n v="0"/>
    <n v="516768"/>
    <x v="0"/>
    <x v="0"/>
    <x v="0"/>
    <n v="516768"/>
    <n v="0"/>
    <n v="516768"/>
    <x v="0"/>
    <x v="0"/>
    <x v="0"/>
    <n v="516768"/>
    <n v="0"/>
    <n v="516768"/>
    <x v="0"/>
    <x v="0"/>
    <x v="0"/>
    <x v="0"/>
    <x v="0"/>
  </r>
  <r>
    <x v="4"/>
    <x v="0"/>
    <x v="0"/>
    <x v="0"/>
    <x v="0"/>
    <x v="13"/>
    <x v="13"/>
    <n v="138"/>
    <s v="29873536"/>
    <s v="ZUÑIGA CEBALLOS CLAUDIA MARIA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V VILLAS - FALTANTE EN ULTIMA CUOTA CREDITO 22774837"/>
    <n v="13962"/>
    <n v="0"/>
    <n v="13962"/>
    <x v="0"/>
    <x v="0"/>
    <x v="0"/>
    <n v="13962"/>
    <n v="0"/>
    <n v="13962"/>
    <x v="0"/>
    <x v="0"/>
    <x v="0"/>
    <n v="13962"/>
    <n v="0"/>
    <n v="13962"/>
    <x v="0"/>
    <x v="0"/>
    <x v="0"/>
    <x v="0"/>
    <x v="0"/>
  </r>
  <r>
    <x v="4"/>
    <x v="0"/>
    <x v="0"/>
    <x v="0"/>
    <x v="0"/>
    <x v="2"/>
    <x v="2"/>
    <n v="20618"/>
    <s v="890300279"/>
    <s v="BANCO DE OCCIDENTE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ACION DE CUENTA BANCO DE OCCIDENTE PAGO DE OBLIGACION"/>
    <n v="215451.21"/>
    <n v="0"/>
    <n v="215451.21"/>
    <x v="0"/>
    <x v="0"/>
    <x v="0"/>
    <n v="215451.21"/>
    <n v="0"/>
    <n v="215451.21"/>
    <x v="0"/>
    <x v="0"/>
    <x v="0"/>
    <n v="215451.21"/>
    <n v="0"/>
    <n v="215451.21"/>
    <x v="0"/>
    <x v="0"/>
    <x v="0"/>
    <x v="0"/>
    <x v="0"/>
  </r>
  <r>
    <x v="4"/>
    <x v="0"/>
    <x v="0"/>
    <x v="0"/>
    <x v="0"/>
    <x v="2"/>
    <x v="2"/>
    <n v="20619"/>
    <s v="900406150"/>
    <s v="BANCO COOMEV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 JULIO BANCOOMEVA"/>
    <n v="69668"/>
    <n v="0"/>
    <n v="69668"/>
    <x v="0"/>
    <x v="0"/>
    <x v="0"/>
    <n v="69668"/>
    <n v="0"/>
    <n v="69668"/>
    <x v="0"/>
    <x v="0"/>
    <x v="0"/>
    <n v="69668"/>
    <n v="0"/>
    <n v="69668"/>
    <x v="0"/>
    <x v="0"/>
    <x v="0"/>
    <x v="0"/>
    <x v="0"/>
  </r>
  <r>
    <x v="4"/>
    <x v="0"/>
    <x v="0"/>
    <x v="0"/>
    <x v="0"/>
    <x v="2"/>
    <x v="2"/>
    <n v="20620"/>
    <s v="890903938"/>
    <s v="BANCOLOMBI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JULIO 9028"/>
    <n v="0"/>
    <n v="438.82"/>
    <n v="-438.82"/>
    <x v="0"/>
    <x v="0"/>
    <x v="0"/>
    <n v="0"/>
    <n v="438.82"/>
    <n v="-438.82"/>
    <x v="0"/>
    <x v="0"/>
    <x v="0"/>
    <n v="0"/>
    <n v="438.82"/>
    <n v="-438.82"/>
    <x v="0"/>
    <x v="0"/>
    <x v="0"/>
    <x v="0"/>
    <x v="0"/>
  </r>
  <r>
    <x v="4"/>
    <x v="0"/>
    <x v="0"/>
    <x v="0"/>
    <x v="0"/>
    <x v="11"/>
    <x v="11"/>
    <n v="27010"/>
    <s v="1018441067"/>
    <s v="ALONSO GUTIERREZ YINNETH CATALINA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1_x000d__x000a_CJM 246"/>
    <n v="15981"/>
    <n v="0"/>
    <n v="15981"/>
    <x v="0"/>
    <x v="0"/>
    <x v="0"/>
    <n v="15981"/>
    <n v="0"/>
    <n v="15981"/>
    <x v="0"/>
    <x v="0"/>
    <x v="0"/>
    <n v="15981"/>
    <n v="0"/>
    <n v="15981"/>
    <x v="0"/>
    <x v="0"/>
    <x v="0"/>
    <x v="0"/>
    <x v="0"/>
  </r>
  <r>
    <x v="4"/>
    <x v="0"/>
    <x v="0"/>
    <x v="0"/>
    <x v="0"/>
    <x v="2"/>
    <x v="2"/>
    <n v="20648"/>
    <s v="860007660"/>
    <s v="HELM BANK S.A.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115174.86"/>
    <n v="0"/>
    <n v="115174.86"/>
    <x v="0"/>
    <x v="0"/>
    <x v="0"/>
    <n v="115174.86"/>
    <n v="0"/>
    <n v="115174.86"/>
    <x v="0"/>
    <x v="0"/>
    <x v="0"/>
    <n v="115174.86"/>
    <n v="0"/>
    <n v="115174.86"/>
    <x v="0"/>
    <x v="0"/>
    <x v="0"/>
    <x v="0"/>
    <x v="0"/>
  </r>
  <r>
    <x v="4"/>
    <x v="0"/>
    <x v="0"/>
    <x v="0"/>
    <x v="0"/>
    <x v="11"/>
    <x v="11"/>
    <n v="27042"/>
    <s v="1045717933"/>
    <s v="PALMA GUTIERREZ KETTY JANETH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85"/>
    <n v="3420"/>
    <n v="0"/>
    <n v="3420"/>
    <x v="0"/>
    <x v="0"/>
    <x v="0"/>
    <n v="3420"/>
    <n v="0"/>
    <n v="3420"/>
    <x v="0"/>
    <x v="0"/>
    <x v="0"/>
    <n v="3420"/>
    <n v="0"/>
    <n v="3420"/>
    <x v="0"/>
    <x v="0"/>
    <x v="0"/>
    <x v="0"/>
    <x v="0"/>
  </r>
  <r>
    <x v="4"/>
    <x v="0"/>
    <x v="0"/>
    <x v="0"/>
    <x v="0"/>
    <x v="11"/>
    <x v="11"/>
    <n v="27043"/>
    <s v="4519543"/>
    <s v="GARCIA CASTAÑO FREDY JHOVANNY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AN 106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11"/>
    <x v="11"/>
    <n v="27044"/>
    <s v="1098657994"/>
    <s v="HERNANDEZ ROJAS JOHN EDISON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4_x000d__x000a_CJM 187"/>
    <n v="9356"/>
    <n v="0"/>
    <n v="9356"/>
    <x v="0"/>
    <x v="0"/>
    <x v="0"/>
    <n v="9356"/>
    <n v="0"/>
    <n v="9356"/>
    <x v="0"/>
    <x v="0"/>
    <x v="0"/>
    <n v="9356"/>
    <n v="0"/>
    <n v="9356"/>
    <x v="0"/>
    <x v="0"/>
    <x v="0"/>
    <x v="0"/>
    <x v="0"/>
  </r>
  <r>
    <x v="4"/>
    <x v="0"/>
    <x v="0"/>
    <x v="0"/>
    <x v="0"/>
    <x v="2"/>
    <x v="2"/>
    <n v="20689"/>
    <s v="440000000330"/>
    <s v="BANCOLOMBIA CAYMAN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GOSTO 2019  (TR 3427.29)"/>
    <n v="373403.25"/>
    <n v="0"/>
    <n v="373403.25"/>
    <x v="0"/>
    <x v="0"/>
    <x v="0"/>
    <n v="373403.25"/>
    <n v="0"/>
    <n v="373403.25"/>
    <x v="0"/>
    <x v="0"/>
    <x v="0"/>
    <n v="373403.25"/>
    <n v="0"/>
    <n v="373403.25"/>
    <x v="0"/>
    <x v="0"/>
    <x v="0"/>
    <x v="0"/>
    <x v="0"/>
  </r>
  <r>
    <x v="4"/>
    <x v="0"/>
    <x v="0"/>
    <x v="0"/>
    <x v="0"/>
    <x v="2"/>
    <x v="2"/>
    <n v="20740"/>
    <s v="860002964"/>
    <s v="BANCO DE BOGOT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BOGOTA MES DE AGOSTO DEL 2019"/>
    <n v="102214.69"/>
    <n v="0"/>
    <n v="102214.69"/>
    <x v="0"/>
    <x v="0"/>
    <x v="0"/>
    <n v="102214.69"/>
    <n v="0"/>
    <n v="102214.69"/>
    <x v="0"/>
    <x v="0"/>
    <x v="0"/>
    <n v="102214.69"/>
    <n v="0"/>
    <n v="102214.69"/>
    <x v="0"/>
    <x v="0"/>
    <x v="0"/>
    <x v="0"/>
    <x v="0"/>
  </r>
  <r>
    <x v="4"/>
    <x v="0"/>
    <x v="0"/>
    <x v="0"/>
    <x v="0"/>
    <x v="2"/>
    <x v="2"/>
    <n v="20729"/>
    <s v="900406150"/>
    <s v="BANCO COOMEV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A  GASTOS BANCARIOS MES DE AGOSTOS DEL 2019"/>
    <n v="0"/>
    <n v="23104"/>
    <n v="-23104"/>
    <x v="0"/>
    <x v="0"/>
    <x v="0"/>
    <n v="0"/>
    <n v="23104"/>
    <n v="-23104"/>
    <x v="0"/>
    <x v="0"/>
    <x v="0"/>
    <n v="0"/>
    <n v="23104"/>
    <n v="-23104"/>
    <x v="0"/>
    <x v="0"/>
    <x v="0"/>
    <x v="0"/>
    <x v="0"/>
  </r>
  <r>
    <x v="4"/>
    <x v="0"/>
    <x v="0"/>
    <x v="0"/>
    <x v="0"/>
    <x v="2"/>
    <x v="2"/>
    <n v="20730"/>
    <s v="890300279"/>
    <s v="BANCO DE OCCIDENTE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OS MES DE AGOSTO DEL 2019"/>
    <n v="31134.66"/>
    <n v="0"/>
    <n v="31134.66"/>
    <x v="0"/>
    <x v="0"/>
    <x v="0"/>
    <n v="31134.66"/>
    <n v="0"/>
    <n v="31134.66"/>
    <x v="0"/>
    <x v="0"/>
    <x v="0"/>
    <n v="31134.66"/>
    <n v="0"/>
    <n v="31134.66"/>
    <x v="0"/>
    <x v="0"/>
    <x v="0"/>
    <x v="0"/>
    <x v="0"/>
  </r>
  <r>
    <x v="4"/>
    <x v="0"/>
    <x v="0"/>
    <x v="0"/>
    <x v="0"/>
    <x v="2"/>
    <x v="2"/>
    <n v="20696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TARJETA DE CREDITO EN PESOS BANCOLOMBIA"/>
    <n v="3211.06"/>
    <n v="0"/>
    <n v="3211.06"/>
    <x v="0"/>
    <x v="0"/>
    <x v="0"/>
    <n v="3211.06"/>
    <n v="0"/>
    <n v="3211.06"/>
    <x v="0"/>
    <x v="0"/>
    <x v="0"/>
    <n v="3211.06"/>
    <n v="0"/>
    <n v="3211.06"/>
    <x v="0"/>
    <x v="0"/>
    <x v="0"/>
    <x v="0"/>
    <x v="0"/>
  </r>
  <r>
    <x v="4"/>
    <x v="0"/>
    <x v="0"/>
    <x v="0"/>
    <x v="0"/>
    <x v="2"/>
    <x v="2"/>
    <n v="20697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DE VALORES Y GASTOS BANCARIOS EN CONCILIACION DE AGOSTO DE 2019"/>
    <n v="62810"/>
    <n v="0"/>
    <n v="62810"/>
    <x v="0"/>
    <x v="0"/>
    <x v="0"/>
    <n v="62810"/>
    <n v="0"/>
    <n v="62810"/>
    <x v="0"/>
    <x v="0"/>
    <x v="0"/>
    <n v="62810"/>
    <n v="0"/>
    <n v="6281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1309.66"/>
    <n v="0"/>
    <n v="111309.66"/>
    <x v="0"/>
    <x v="0"/>
    <x v="0"/>
    <n v="111309.66"/>
    <n v="0"/>
    <n v="111309.66"/>
    <x v="0"/>
    <x v="0"/>
    <x v="0"/>
    <n v="111309.66"/>
    <n v="0"/>
    <n v="111309.6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11"/>
    <x v="11"/>
    <n v="26930"/>
    <s v="1098657994"/>
    <s v="HERNANDEZ ROJAS JOHN EDISON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4"/>
    <x v="0"/>
    <x v="0"/>
    <x v="0"/>
    <x v="0"/>
    <x v="11"/>
    <x v="11"/>
    <n v="26997"/>
    <s v="29873536"/>
    <s v="ZUÑIGA CEBALLOS CLAUDIA MARIA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7"/>
    <n v="10202"/>
    <n v="0"/>
    <n v="10202"/>
    <x v="0"/>
    <x v="0"/>
    <x v="0"/>
    <n v="10202"/>
    <n v="0"/>
    <n v="10202"/>
    <x v="0"/>
    <x v="0"/>
    <x v="0"/>
    <n v="10202"/>
    <n v="0"/>
    <n v="10202"/>
    <x v="0"/>
    <x v="0"/>
    <x v="0"/>
    <x v="0"/>
    <x v="0"/>
  </r>
  <r>
    <x v="4"/>
    <x v="0"/>
    <x v="0"/>
    <x v="0"/>
    <x v="0"/>
    <x v="11"/>
    <x v="11"/>
    <n v="26998"/>
    <s v="31908098"/>
    <s v="LOPEZ GARCIA MARIA DEL SOCORRO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"/>
    <n v="10749"/>
    <n v="0"/>
    <n v="10749"/>
    <x v="0"/>
    <x v="0"/>
    <x v="0"/>
    <n v="10749"/>
    <n v="0"/>
    <n v="10749"/>
    <x v="0"/>
    <x v="0"/>
    <x v="0"/>
    <n v="10749"/>
    <n v="0"/>
    <n v="10749"/>
    <x v="0"/>
    <x v="0"/>
    <x v="0"/>
    <x v="0"/>
    <x v="0"/>
  </r>
  <r>
    <x v="4"/>
    <x v="0"/>
    <x v="0"/>
    <x v="0"/>
    <x v="0"/>
    <x v="11"/>
    <x v="11"/>
    <n v="27089"/>
    <s v="71631400"/>
    <s v="CARRASQUILLA PIZARRO MARCO ANTONIO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2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37218"/>
    <n v="0"/>
    <n v="537218"/>
    <x v="0"/>
    <x v="0"/>
    <x v="0"/>
    <n v="537218"/>
    <n v="0"/>
    <n v="537218"/>
    <x v="0"/>
    <x v="0"/>
    <x v="0"/>
    <n v="537218"/>
    <n v="0"/>
    <n v="5372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7754.199999999997"/>
    <n v="0"/>
    <n v="37754.200000000004"/>
    <x v="0"/>
    <x v="0"/>
    <x v="0"/>
    <n v="37754.199999999997"/>
    <n v="0"/>
    <n v="37754.200000000004"/>
    <x v="0"/>
    <x v="0"/>
    <x v="0"/>
    <n v="37754.199999999997"/>
    <n v="0"/>
    <n v="37754.2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3495.7"/>
    <n v="0"/>
    <n v="63495.700000000004"/>
    <x v="0"/>
    <x v="0"/>
    <x v="0"/>
    <n v="63495.7"/>
    <n v="0"/>
    <n v="63495.700000000004"/>
    <x v="0"/>
    <x v="0"/>
    <x v="0"/>
    <n v="63495.7"/>
    <n v="0"/>
    <n v="63495.7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426756"/>
    <n v="0"/>
    <n v="426756"/>
    <x v="0"/>
    <x v="0"/>
    <x v="0"/>
    <n v="426756"/>
    <n v="0"/>
    <n v="426756"/>
    <x v="0"/>
    <x v="0"/>
    <x v="0"/>
    <n v="426756"/>
    <n v="0"/>
    <n v="426756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1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0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1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0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1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0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  <r>
    <x v="0"/>
    <x v="0"/>
    <x v="0"/>
    <x v="1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AF9918-199B-4278-87CB-1D65EB74E675}" name="UnoBiable: SmartZoom 000 en ctas" cacheId="0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C187:D195" firstHeaderRow="2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">
        <item x="1"/>
        <item x="2"/>
        <item x="4"/>
        <item x="0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VALOR_PRESUPUESTO" fld="30" baseField="0" baseItem="0"/>
  </dataFields>
  <formats count="14">
    <format dxfId="0">
      <pivotArea type="all" dataOnly="0" outline="0" fieldPosition="0"/>
    </format>
    <format dxfId="1">
      <pivotArea outline="0" collapsedLevelsAreSubtotals="1" fieldPosition="0"/>
    </format>
    <format dxfId="2">
      <pivotArea type="origin" dataOnly="0" labelOnly="1" outline="0" fieldPosition="0"/>
    </format>
    <format dxfId="3">
      <pivotArea field="4" type="button" dataOnly="0" labelOnly="1" outline="0" axis="axisRow" fieldPosition="0"/>
    </format>
    <format dxfId="4">
      <pivotArea dataOnly="0" labelOnly="1" outline="0" fieldPosition="0">
        <references count="1">
          <reference field="4" count="0"/>
        </references>
      </pivotArea>
    </format>
    <format dxfId="5">
      <pivotArea dataOnly="0" labelOnly="1" grandRow="1" outline="0" fieldPosition="0"/>
    </format>
    <format dxfId="6">
      <pivotArea type="topRight" dataOnly="0" labelOnly="1" outline="0" fieldPosition="0"/>
    </format>
    <format dxfId="7">
      <pivotArea type="all" dataOnly="0" outline="0" fieldPosition="0"/>
    </format>
    <format dxfId="8">
      <pivotArea outline="0" collapsedLevelsAreSubtotals="1" fieldPosition="0"/>
    </format>
    <format dxfId="9">
      <pivotArea type="origin" dataOnly="0" labelOnly="1" outline="0" fieldPosition="0"/>
    </format>
    <format dxfId="10">
      <pivotArea field="4" type="button" dataOnly="0" labelOnly="1" outline="0" axis="axisRow" fieldPosition="0"/>
    </format>
    <format dxfId="11">
      <pivotArea dataOnly="0" labelOnly="1" outline="0" fieldPosition="0">
        <references count="1">
          <reference field="4" count="0"/>
        </references>
      </pivotArea>
    </format>
    <format dxfId="12">
      <pivotArea dataOnly="0" labelOnly="1" grandRow="1" outline="0" fieldPosition="0"/>
    </format>
    <format dxfId="13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D454BD-9F61-49A2-81EE-CE7B3A4134FA}" name="UnoBiable: SmartZoom 001 en ctas" cacheId="1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126:G129" firstHeaderRow="2" firstDataRow="2" firstDataCol="2"/>
  <pivotFields count="10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">
        <item x="9"/>
        <item h="1" x="1"/>
        <item h="1" x="0"/>
        <item h="1" x="6"/>
        <item h="1" x="4"/>
        <item h="1" x="7"/>
        <item h="1" x="3"/>
        <item h="1" x="2"/>
        <item h="1" x="8"/>
        <item h="1" x="5"/>
      </items>
    </pivotField>
    <pivotField axis="axisRow" compact="0" outline="0" showAll="0">
      <items count="11">
        <item x="1"/>
        <item x="5"/>
        <item x="2"/>
        <item x="4"/>
        <item x="7"/>
        <item x="0"/>
        <item x="8"/>
        <item x="6"/>
        <item x="3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1"/>
    <field x="32"/>
  </rowFields>
  <rowItems count="2">
    <i>
      <x/>
      <x v="9"/>
    </i>
    <i t="grand">
      <x/>
    </i>
  </rowItems>
  <colItems count="1">
    <i/>
  </colItems>
  <dataFields count="1">
    <dataField name="Suma de MOVTO_LIBRO2" fld="96" baseField="0" baseItem="0" numFmtId="41"/>
  </dataFields>
  <formats count="19">
    <format dxfId="14">
      <pivotArea outline="0" collapsedLevelsAreSubtotals="1" fieldPosition="0"/>
    </format>
    <format dxfId="15">
      <pivotArea type="all" dataOnly="0" outline="0" fieldPosition="0"/>
    </format>
    <format dxfId="16">
      <pivotArea outline="0" collapsedLevelsAreSubtotals="1" fieldPosition="0"/>
    </format>
    <format dxfId="17">
      <pivotArea type="origin" dataOnly="0" labelOnly="1" outline="0" fieldPosition="0"/>
    </format>
    <format dxfId="18">
      <pivotArea field="31" type="button" dataOnly="0" labelOnly="1" outline="0" axis="axisRow" fieldPosition="0"/>
    </format>
    <format dxfId="19">
      <pivotArea field="32" type="button" dataOnly="0" labelOnly="1" outline="0" axis="axisRow" fieldPosition="1"/>
    </format>
    <format dxfId="20">
      <pivotArea dataOnly="0" labelOnly="1" outline="0" fieldPosition="0">
        <references count="1">
          <reference field="31" count="0"/>
        </references>
      </pivotArea>
    </format>
    <format dxfId="21">
      <pivotArea dataOnly="0" labelOnly="1" grandRow="1" outline="0" fieldPosition="0"/>
    </format>
    <format dxfId="22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23">
      <pivotArea type="topRight" dataOnly="0" labelOnly="1" outline="0" fieldPosition="0"/>
    </format>
    <format dxfId="24">
      <pivotArea type="all" dataOnly="0" outline="0" fieldPosition="0"/>
    </format>
    <format dxfId="25">
      <pivotArea outline="0" collapsedLevelsAreSubtotals="1" fieldPosition="0"/>
    </format>
    <format dxfId="26">
      <pivotArea type="origin" dataOnly="0" labelOnly="1" outline="0" fieldPosition="0"/>
    </format>
    <format dxfId="27">
      <pivotArea field="31" type="button" dataOnly="0" labelOnly="1" outline="0" axis="axisRow" fieldPosition="0"/>
    </format>
    <format dxfId="28">
      <pivotArea field="32" type="button" dataOnly="0" labelOnly="1" outline="0" axis="axisRow" fieldPosition="1"/>
    </format>
    <format dxfId="29">
      <pivotArea dataOnly="0" labelOnly="1" outline="0" fieldPosition="0">
        <references count="1">
          <reference field="31" count="0"/>
        </references>
      </pivotArea>
    </format>
    <format dxfId="30">
      <pivotArea dataOnly="0" labelOnly="1" grandRow="1" outline="0" fieldPosition="0"/>
    </format>
    <format dxfId="31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32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CEF7FA-3D8F-485A-A62E-4757BD4A0EE9}" name="UnoBiable: SmartZoom 002 en ctas" cacheId="2" applyNumberFormats="0" applyBorderFormats="0" applyFontFormats="0" applyPatternFormats="0" applyAlignmentFormats="0" applyWidthHeightFormats="1" dataCaption="Valores" updatedVersion="8" minRefreshableVersion="3" showCalcMbrs="0" useAutoFormatting="1" itemPrintTitles="1" createdVersion="3" indent="0" compact="0" compactData="0" gridDropZones="1" multipleFieldFilters="0">
  <location ref="E542:G547" firstHeaderRow="2" firstDataRow="2" firstDataCol="2" rowPageCount="1" colPageCount="1"/>
  <pivotFields count="33">
    <pivotField axis="axisPage" compact="0" outline="0" showAll="0">
      <items count="11">
        <item m="1" x="9"/>
        <item x="0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">
        <item x="2"/>
        <item x="1"/>
        <item m="1" x="3"/>
        <item x="0"/>
      </items>
    </pivotField>
    <pivotField axis="axisRow" compact="0" outline="0" showAll="0">
      <items count="5">
        <item x="2"/>
        <item x="1"/>
        <item m="1" x="3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5"/>
    <field x="6"/>
  </rowFields>
  <rowItems count="4">
    <i>
      <x/>
      <x/>
    </i>
    <i>
      <x v="1"/>
      <x v="1"/>
    </i>
    <i>
      <x v="3"/>
      <x v="3"/>
    </i>
    <i t="grand">
      <x/>
    </i>
  </rowItems>
  <colItems count="1">
    <i/>
  </colItems>
  <pageFields count="1">
    <pageField fld="0" hier="-1"/>
  </pageFields>
  <dataFields count="1">
    <dataField name="Suma de Valor Presupuesto" fld="32" baseField="0" baseItem="0" numFmtId="41"/>
  </dataFields>
  <formats count="23">
    <format dxfId="33">
      <pivotArea outline="0" collapsedLevelsAreSubtotals="1" fieldPosition="0"/>
    </format>
    <format dxfId="34">
      <pivotArea type="all" dataOnly="0" outline="0" fieldPosition="0"/>
    </format>
    <format dxfId="35">
      <pivotArea outline="0" collapsedLevelsAreSubtotals="1" fieldPosition="0"/>
    </format>
    <format dxfId="36">
      <pivotArea type="origin" dataOnly="0" labelOnly="1" outline="0" fieldPosition="0"/>
    </format>
    <format dxfId="37">
      <pivotArea field="5" type="button" dataOnly="0" labelOnly="1" outline="0" axis="axisRow" fieldPosition="0"/>
    </format>
    <format dxfId="38">
      <pivotArea field="6" type="button" dataOnly="0" labelOnly="1" outline="0" axis="axisRow" fieldPosition="1"/>
    </format>
    <format dxfId="39">
      <pivotArea dataOnly="0" labelOnly="1" outline="0" fieldPosition="0">
        <references count="1">
          <reference field="5" count="0"/>
        </references>
      </pivotArea>
    </format>
    <format dxfId="40">
      <pivotArea dataOnly="0" labelOnly="1" grandRow="1" outline="0" fieldPosition="0"/>
    </format>
    <format dxfId="41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42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43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44">
      <pivotArea type="topRight" dataOnly="0" labelOnly="1" outline="0" fieldPosition="0"/>
    </format>
    <format dxfId="45">
      <pivotArea type="all" dataOnly="0" outline="0" fieldPosition="0"/>
    </format>
    <format dxfId="46">
      <pivotArea outline="0" collapsedLevelsAreSubtotals="1" fieldPosition="0"/>
    </format>
    <format dxfId="47">
      <pivotArea type="origin" dataOnly="0" labelOnly="1" outline="0" fieldPosition="0"/>
    </format>
    <format dxfId="48">
      <pivotArea field="5" type="button" dataOnly="0" labelOnly="1" outline="0" axis="axisRow" fieldPosition="0"/>
    </format>
    <format dxfId="49">
      <pivotArea field="6" type="button" dataOnly="0" labelOnly="1" outline="0" axis="axisRow" fieldPosition="1"/>
    </format>
    <format dxfId="50">
      <pivotArea dataOnly="0" labelOnly="1" outline="0" fieldPosition="0">
        <references count="1">
          <reference field="5" count="0"/>
        </references>
      </pivotArea>
    </format>
    <format dxfId="51">
      <pivotArea dataOnly="0" labelOnly="1" grandRow="1" outline="0" fieldPosition="0"/>
    </format>
    <format dxfId="52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53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54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55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C2A5C-DABA-466A-889D-C7DA6E6C6E39}">
  <dimension ref="A2:G33"/>
  <sheetViews>
    <sheetView showGridLines="0" workbookViewId="0"/>
  </sheetViews>
  <sheetFormatPr baseColWidth="10" defaultRowHeight="12.75" x14ac:dyDescent="0.2"/>
  <cols>
    <col min="1" max="1" width="12.5703125" style="1" customWidth="1"/>
    <col min="2" max="2" width="16.5703125" style="1" customWidth="1"/>
    <col min="3" max="3" width="5" style="1" bestFit="1" customWidth="1"/>
    <col min="4" max="16384" width="11.42578125" style="1"/>
  </cols>
  <sheetData>
    <row r="2" spans="1:7" x14ac:dyDescent="0.2">
      <c r="A2" s="1" t="s">
        <v>0</v>
      </c>
      <c r="B2" s="1" t="s">
        <v>1</v>
      </c>
      <c r="D2" s="1" t="s">
        <v>2</v>
      </c>
      <c r="E2" s="1" t="s">
        <v>3</v>
      </c>
      <c r="F2" s="1" t="s">
        <v>4</v>
      </c>
      <c r="G2" s="1" t="s">
        <v>5</v>
      </c>
    </row>
    <row r="3" spans="1:7" x14ac:dyDescent="0.2">
      <c r="A3" s="2" t="str">
        <f>VLOOKUP(D3,B22:E33,4,0)</f>
        <v>202301</v>
      </c>
      <c r="B3" s="3" t="str">
        <f>VLOOKUP(D3,B22:D33,3,0)</f>
        <v>202401</v>
      </c>
      <c r="C3" s="3"/>
      <c r="D3" s="4" t="s">
        <v>6</v>
      </c>
      <c r="E3" s="4" t="s">
        <v>7</v>
      </c>
      <c r="F3" s="5">
        <v>2024</v>
      </c>
      <c r="G3" s="6">
        <v>3933.56</v>
      </c>
    </row>
    <row r="4" spans="1:7" x14ac:dyDescent="0.2">
      <c r="A4" s="2" t="str">
        <f>VLOOKUP(E4,B22:E33,4,0)</f>
        <v>202302</v>
      </c>
      <c r="B4" s="3" t="str">
        <f>VLOOKUP(E3,B22:D33,3,0)</f>
        <v>202402</v>
      </c>
      <c r="C4" s="3"/>
      <c r="D4" s="7" t="str">
        <f>+D3</f>
        <v>ENERO</v>
      </c>
      <c r="E4" s="7" t="str">
        <f>+E3</f>
        <v>FEBRERO</v>
      </c>
      <c r="F4" s="5">
        <v>2023</v>
      </c>
      <c r="G4" s="8">
        <v>4808.1400000000003</v>
      </c>
    </row>
    <row r="5" spans="1:7" x14ac:dyDescent="0.2">
      <c r="A5" s="2"/>
      <c r="B5" s="3">
        <f>+B4-1</f>
        <v>202401</v>
      </c>
      <c r="C5" s="3"/>
      <c r="E5" s="1" t="s">
        <v>8</v>
      </c>
      <c r="G5" s="8">
        <v>4300</v>
      </c>
    </row>
    <row r="22" spans="2:5" x14ac:dyDescent="0.2">
      <c r="B22" s="1" t="s">
        <v>6</v>
      </c>
      <c r="C22" s="1">
        <v>1</v>
      </c>
      <c r="D22" s="1" t="str">
        <f t="shared" ref="D22:D30" si="0">$F$3&amp;0&amp;C22</f>
        <v>202401</v>
      </c>
      <c r="E22" s="1" t="str">
        <f t="shared" ref="E22:E30" si="1">$F$4&amp;0&amp;C22</f>
        <v>202301</v>
      </c>
    </row>
    <row r="23" spans="2:5" x14ac:dyDescent="0.2">
      <c r="B23" s="1" t="s">
        <v>7</v>
      </c>
      <c r="C23" s="1">
        <v>2</v>
      </c>
      <c r="D23" s="1" t="str">
        <f t="shared" si="0"/>
        <v>202402</v>
      </c>
      <c r="E23" s="1" t="str">
        <f t="shared" si="1"/>
        <v>202302</v>
      </c>
    </row>
    <row r="24" spans="2:5" x14ac:dyDescent="0.2">
      <c r="B24" s="1" t="s">
        <v>9</v>
      </c>
      <c r="C24" s="1">
        <v>3</v>
      </c>
      <c r="D24" s="1" t="str">
        <f t="shared" si="0"/>
        <v>202403</v>
      </c>
      <c r="E24" s="1" t="str">
        <f t="shared" si="1"/>
        <v>202303</v>
      </c>
    </row>
    <row r="25" spans="2:5" x14ac:dyDescent="0.2">
      <c r="B25" s="1" t="s">
        <v>10</v>
      </c>
      <c r="C25" s="1">
        <v>4</v>
      </c>
      <c r="D25" s="1" t="str">
        <f t="shared" si="0"/>
        <v>202404</v>
      </c>
      <c r="E25" s="1" t="str">
        <f t="shared" si="1"/>
        <v>202304</v>
      </c>
    </row>
    <row r="26" spans="2:5" x14ac:dyDescent="0.2">
      <c r="B26" s="1" t="s">
        <v>11</v>
      </c>
      <c r="C26" s="1">
        <v>5</v>
      </c>
      <c r="D26" s="1" t="str">
        <f t="shared" si="0"/>
        <v>202405</v>
      </c>
      <c r="E26" s="1" t="str">
        <f t="shared" si="1"/>
        <v>202305</v>
      </c>
    </row>
    <row r="27" spans="2:5" x14ac:dyDescent="0.2">
      <c r="B27" s="1" t="s">
        <v>12</v>
      </c>
      <c r="C27" s="1">
        <v>6</v>
      </c>
      <c r="D27" s="1" t="str">
        <f t="shared" si="0"/>
        <v>202406</v>
      </c>
      <c r="E27" s="1" t="str">
        <f t="shared" si="1"/>
        <v>202306</v>
      </c>
    </row>
    <row r="28" spans="2:5" x14ac:dyDescent="0.2">
      <c r="B28" s="1" t="s">
        <v>13</v>
      </c>
      <c r="C28" s="1">
        <v>7</v>
      </c>
      <c r="D28" s="1" t="str">
        <f t="shared" si="0"/>
        <v>202407</v>
      </c>
      <c r="E28" s="1" t="str">
        <f t="shared" si="1"/>
        <v>202307</v>
      </c>
    </row>
    <row r="29" spans="2:5" x14ac:dyDescent="0.2">
      <c r="B29" s="1" t="s">
        <v>14</v>
      </c>
      <c r="C29" s="1">
        <v>8</v>
      </c>
      <c r="D29" s="1" t="str">
        <f t="shared" si="0"/>
        <v>202408</v>
      </c>
      <c r="E29" s="1" t="str">
        <f t="shared" si="1"/>
        <v>202308</v>
      </c>
    </row>
    <row r="30" spans="2:5" x14ac:dyDescent="0.2">
      <c r="B30" s="1" t="s">
        <v>15</v>
      </c>
      <c r="C30" s="1">
        <v>9</v>
      </c>
      <c r="D30" s="1" t="str">
        <f t="shared" si="0"/>
        <v>202409</v>
      </c>
      <c r="E30" s="1" t="str">
        <f t="shared" si="1"/>
        <v>202309</v>
      </c>
    </row>
    <row r="31" spans="2:5" x14ac:dyDescent="0.2">
      <c r="B31" s="1" t="s">
        <v>16</v>
      </c>
      <c r="C31" s="1">
        <v>10</v>
      </c>
      <c r="D31" s="1" t="str">
        <f>$F$3&amp;C31</f>
        <v>202410</v>
      </c>
      <c r="E31" s="1" t="str">
        <f>$F$4&amp;C31</f>
        <v>202310</v>
      </c>
    </row>
    <row r="32" spans="2:5" x14ac:dyDescent="0.2">
      <c r="B32" s="1" t="s">
        <v>17</v>
      </c>
      <c r="C32" s="1">
        <v>11</v>
      </c>
      <c r="D32" s="1" t="str">
        <f>$F$3&amp;C32</f>
        <v>202411</v>
      </c>
      <c r="E32" s="1" t="str">
        <f>$F$4&amp;C32</f>
        <v>202311</v>
      </c>
    </row>
    <row r="33" spans="2:5" x14ac:dyDescent="0.2">
      <c r="B33" s="1" t="s">
        <v>18</v>
      </c>
      <c r="C33" s="1">
        <v>12</v>
      </c>
      <c r="D33" s="1" t="str">
        <f>$F$3&amp;C33</f>
        <v>202412</v>
      </c>
      <c r="E33" s="1" t="str">
        <f>$F$4&amp;C33</f>
        <v>202312</v>
      </c>
    </row>
  </sheetData>
  <dataValidations count="1">
    <dataValidation type="list" allowBlank="1" showInputMessage="1" showErrorMessage="1" sqref="D3:E3" xr:uid="{2D013E3B-CA38-4A98-AC1E-2D8C7331ABBC}">
      <formula1>$B$22:$B$33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E46CB-7A60-49FF-9B27-7D946F449EA1}">
  <dimension ref="A1:AK46"/>
  <sheetViews>
    <sheetView showGridLines="0" topLeftCell="S1" workbookViewId="0">
      <selection activeCell="AM34" sqref="AM34"/>
    </sheetView>
  </sheetViews>
  <sheetFormatPr baseColWidth="10" defaultRowHeight="12.75" x14ac:dyDescent="0.2"/>
  <cols>
    <col min="1" max="1" width="4.5703125" style="2" customWidth="1"/>
    <col min="2" max="2" width="35.7109375" style="2" customWidth="1"/>
    <col min="3" max="3" width="7.85546875" style="2" customWidth="1"/>
    <col min="4" max="4" width="8.5703125" style="2" customWidth="1"/>
    <col min="5" max="5" width="10.42578125" style="2" customWidth="1"/>
    <col min="6" max="6" width="5.85546875" style="2" customWidth="1"/>
    <col min="7" max="7" width="11.140625" style="2" customWidth="1"/>
    <col min="8" max="8" width="13.140625" style="2" customWidth="1"/>
    <col min="9" max="9" width="7.42578125" style="2" customWidth="1"/>
    <col min="10" max="10" width="9.5703125" style="2" customWidth="1"/>
    <col min="11" max="11" width="11.7109375" style="2" customWidth="1"/>
    <col min="12" max="12" width="8.42578125" style="2" customWidth="1"/>
    <col min="13" max="13" width="9.85546875" style="2" customWidth="1"/>
    <col min="14" max="14" width="6.7109375" style="2" customWidth="1"/>
    <col min="15" max="15" width="9.42578125" style="2" customWidth="1"/>
    <col min="16" max="16" width="11.28515625" style="2" customWidth="1"/>
    <col min="17" max="18" width="9.5703125" style="2" customWidth="1"/>
    <col min="19" max="19" width="11.5703125" style="31" bestFit="1" customWidth="1"/>
    <col min="20" max="21" width="11.42578125" style="31" customWidth="1"/>
    <col min="22" max="22" width="34.140625" style="2" customWidth="1"/>
    <col min="23" max="28" width="11.5703125" style="2" bestFit="1" customWidth="1"/>
    <col min="29" max="29" width="11.85546875" style="2" bestFit="1" customWidth="1"/>
    <col min="30" max="30" width="9.85546875" style="2" customWidth="1"/>
    <col min="31" max="31" width="10" style="2" customWidth="1"/>
    <col min="32" max="32" width="11.42578125" style="2"/>
    <col min="33" max="33" width="14.28515625" style="2" customWidth="1"/>
    <col min="34" max="37" width="11.5703125" style="2" bestFit="1" customWidth="1"/>
    <col min="38" max="16384" width="11.42578125" style="2"/>
  </cols>
  <sheetData>
    <row r="1" spans="1:37" s="53" customFormat="1" x14ac:dyDescent="0.2">
      <c r="B1" s="49"/>
      <c r="S1" s="31"/>
      <c r="T1" s="31"/>
      <c r="U1" s="31"/>
    </row>
    <row r="2" spans="1:37" x14ac:dyDescent="0.2">
      <c r="A2" s="53"/>
      <c r="Y2" s="53"/>
      <c r="Z2" s="53"/>
      <c r="AA2" s="53"/>
      <c r="AB2" s="53"/>
    </row>
    <row r="3" spans="1:37" ht="18" x14ac:dyDescent="0.25">
      <c r="B3" s="15" t="s">
        <v>129</v>
      </c>
      <c r="T3" s="116"/>
      <c r="V3" s="2" t="str">
        <f>+B3</f>
        <v>MUSICAR S.A. COLOMBIA CONSOLIDADO USD</v>
      </c>
    </row>
    <row r="4" spans="1:37" x14ac:dyDescent="0.2">
      <c r="B4" s="2" t="s">
        <v>20</v>
      </c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V4" s="53"/>
      <c r="W4" s="53"/>
      <c r="X4" s="53"/>
      <c r="Y4" s="53"/>
      <c r="Z4" s="53"/>
      <c r="AA4" s="53"/>
      <c r="AB4" s="53"/>
      <c r="AC4" s="53"/>
      <c r="AD4" s="53"/>
      <c r="AE4" s="53"/>
    </row>
    <row r="5" spans="1:37" x14ac:dyDescent="0.2">
      <c r="B5" s="3" t="s">
        <v>90</v>
      </c>
      <c r="V5" s="53"/>
      <c r="W5" s="2">
        <f>+'COLOMB$ '!U6:W6</f>
        <v>0</v>
      </c>
      <c r="Z5" s="2">
        <f>+'COLOMB$ '!X6:AB6</f>
        <v>0</v>
      </c>
      <c r="AC5" s="2" t="s">
        <v>26</v>
      </c>
      <c r="AD5" s="2" t="s">
        <v>24</v>
      </c>
      <c r="AE5" s="2" t="s">
        <v>25</v>
      </c>
    </row>
    <row r="6" spans="1:37" ht="15.75" customHeight="1" thickBot="1" x14ac:dyDescent="0.25">
      <c r="B6" s="19" t="str">
        <f>+'COL. CONS.$'!B6</f>
        <v>FEBRERO de 2024</v>
      </c>
      <c r="C6" s="90"/>
      <c r="K6" s="20" t="s">
        <v>23</v>
      </c>
      <c r="L6" s="20"/>
      <c r="M6" s="20"/>
      <c r="N6" s="20"/>
      <c r="O6" s="20"/>
      <c r="P6" s="20"/>
      <c r="Q6" s="20"/>
      <c r="R6" s="20"/>
      <c r="V6" s="3" t="s">
        <v>90</v>
      </c>
      <c r="W6" s="53" t="str">
        <f>+C8</f>
        <v>Valor</v>
      </c>
      <c r="X6" s="53" t="str">
        <f>+E8</f>
        <v>Valor</v>
      </c>
      <c r="Y6" s="53" t="str">
        <f>+O8</f>
        <v>%</v>
      </c>
      <c r="Z6" s="53" t="str">
        <f>+W6</f>
        <v>Valor</v>
      </c>
      <c r="AA6" s="53" t="str">
        <f>+X6</f>
        <v>Valor</v>
      </c>
      <c r="AB6" s="53" t="str">
        <f>+G8</f>
        <v>%</v>
      </c>
      <c r="AC6" s="53" t="s">
        <v>26</v>
      </c>
      <c r="AD6" s="53" t="s">
        <v>24</v>
      </c>
      <c r="AE6" s="53" t="s">
        <v>25</v>
      </c>
    </row>
    <row r="7" spans="1:37" x14ac:dyDescent="0.2">
      <c r="B7" s="60"/>
      <c r="C7" s="60"/>
      <c r="D7" s="60" t="s">
        <v>130</v>
      </c>
      <c r="E7" s="60"/>
      <c r="F7" s="60" t="s">
        <v>131</v>
      </c>
      <c r="G7" s="61" t="s">
        <v>24</v>
      </c>
      <c r="H7" s="60"/>
      <c r="I7" s="60" t="s">
        <v>132</v>
      </c>
      <c r="J7" s="61" t="s">
        <v>25</v>
      </c>
      <c r="K7" s="61"/>
      <c r="L7" s="60" t="str">
        <f>+D7</f>
        <v>Ppto 2022</v>
      </c>
      <c r="M7" s="61"/>
      <c r="N7" s="60" t="str">
        <f>+F7</f>
        <v>Real 2022</v>
      </c>
      <c r="O7" s="61" t="s">
        <v>24</v>
      </c>
      <c r="P7" s="61" t="str">
        <f>+I7</f>
        <v>Real 2021</v>
      </c>
      <c r="Q7" s="61"/>
      <c r="R7" s="61" t="s">
        <v>25</v>
      </c>
      <c r="V7" s="3" t="str">
        <f>+'COLOMB$ '!T4</f>
        <v xml:space="preserve">Flujo de Caja </v>
      </c>
      <c r="W7" s="53" t="s">
        <v>28</v>
      </c>
      <c r="X7" s="53" t="s">
        <v>28</v>
      </c>
      <c r="Y7" s="53" t="s">
        <v>28</v>
      </c>
      <c r="Z7" s="2" t="s">
        <v>133</v>
      </c>
      <c r="AC7" s="53" t="s">
        <v>28</v>
      </c>
      <c r="AD7" s="53" t="s">
        <v>30</v>
      </c>
      <c r="AE7" s="53" t="s">
        <v>30</v>
      </c>
    </row>
    <row r="8" spans="1:37" ht="13.5" thickBot="1" x14ac:dyDescent="0.25">
      <c r="B8" s="64" t="s">
        <v>27</v>
      </c>
      <c r="C8" s="65" t="s">
        <v>28</v>
      </c>
      <c r="D8" s="65" t="s">
        <v>29</v>
      </c>
      <c r="E8" s="65" t="s">
        <v>28</v>
      </c>
      <c r="F8" s="65" t="s">
        <v>29</v>
      </c>
      <c r="G8" s="65" t="s">
        <v>30</v>
      </c>
      <c r="H8" s="65" t="s">
        <v>28</v>
      </c>
      <c r="I8" s="65" t="s">
        <v>29</v>
      </c>
      <c r="J8" s="65" t="s">
        <v>30</v>
      </c>
      <c r="K8" s="65" t="s">
        <v>28</v>
      </c>
      <c r="L8" s="65" t="s">
        <v>29</v>
      </c>
      <c r="M8" s="65" t="s">
        <v>28</v>
      </c>
      <c r="N8" s="65" t="s">
        <v>29</v>
      </c>
      <c r="O8" s="65" t="s">
        <v>30</v>
      </c>
      <c r="P8" s="65" t="s">
        <v>28</v>
      </c>
      <c r="Q8" s="65" t="s">
        <v>29</v>
      </c>
      <c r="R8" s="65" t="s">
        <v>30</v>
      </c>
      <c r="V8" s="3" t="s">
        <v>31</v>
      </c>
      <c r="W8" s="31">
        <f>'COLOMBIA USD'!W10+'EL SALVADOR USD'!V10+'VENEZUELA USD'!W9+'PANAMA USD'!U10</f>
        <v>24578.767441860466</v>
      </c>
      <c r="X8" s="31">
        <f>'COLOMBIA USD'!Y10+'EL SALVADOR USD'!X10+'VENEZUELA USD'!X9+'PANAMA USD'!W10</f>
        <v>26300.826598767922</v>
      </c>
      <c r="Y8" s="31">
        <f>'COLOMBIA USD'!X10+'EL SALVADOR USD'!W10+'VENEZUELA USD'!Y9+'PANAMA USD'!V10</f>
        <v>26839.96637946288</v>
      </c>
      <c r="Z8" s="31">
        <f>'COLOMBIA USD'!Z10+'EL SALVADOR USD'!Y10+'VENEZUELA USD'!Z9+'PANAMA USD'!X10</f>
        <v>25807.767441860466</v>
      </c>
      <c r="AA8" s="31">
        <f>'COLOMBIA USD'!AD10+'EL SALVADOR USD'!AC10+'VENEZUELA USD'!AA9+'PANAMA USD'!AB10</f>
        <v>27811.632159338122</v>
      </c>
      <c r="AB8" s="31">
        <f>'COLOMBIA USD'!AA10+'EL SALVADOR USD'!Z10+'VENEZUELA USD'!AB9+'PANAMA USD'!Y10</f>
        <v>26798.939911937279</v>
      </c>
      <c r="AC8" s="62">
        <f>+AB8-Z8</f>
        <v>991.17247007681362</v>
      </c>
      <c r="AD8" s="67">
        <f>IF(Z8=0,"",(AB8-Z8)/ABS(Z8)+1)</f>
        <v>1.0384059749573349</v>
      </c>
      <c r="AE8" s="67">
        <f>IF(X8=0,"",(AB8-AA8)/ABS(AA8))</f>
        <v>-3.6412542838152623E-2</v>
      </c>
      <c r="AF8" s="54"/>
      <c r="AG8" s="54">
        <f>+'COLOMBIA USD'!Y10+'EL SALVADOR USD'!X10+'VENEZUELA USD'!X9+'PANAMA USD'!W10</f>
        <v>26300.826598767922</v>
      </c>
      <c r="AH8" s="54">
        <f>+'COLOMBIA USD'!X10+'EL SALVADOR USD'!W10+'VENEZUELA USD'!Y9+'PANAMA USD'!V10</f>
        <v>26839.96637946288</v>
      </c>
      <c r="AI8" s="54">
        <f>+'COLOMBIA USD'!Z10+'EL SALVADOR USD'!Y10+'VENEZUELA USD'!Z9+'PANAMA USD'!X10</f>
        <v>25807.767441860466</v>
      </c>
      <c r="AJ8" s="54">
        <f>+'COLOMBIA USD'!AD10+'EL SALVADOR USD'!AC10+'VENEZUELA USD'!AA9+'PANAMA USD'!AB10</f>
        <v>27811.632159338122</v>
      </c>
      <c r="AK8" s="54">
        <f>+'COLOMBIA USD'!AA10+'EL SALVADOR USD'!Z10+'VENEZUELA USD'!AB9+'PANAMA USD'!Y10</f>
        <v>26798.939911937279</v>
      </c>
    </row>
    <row r="9" spans="1:37" x14ac:dyDescent="0.2">
      <c r="B9" s="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V9" s="3" t="s">
        <v>32</v>
      </c>
      <c r="W9" s="31">
        <f>'COLOMBIA USD'!W11+'EL SALVADOR USD'!V11+'VENEZUELA USD'!W10+'PANAMA USD'!U11</f>
        <v>253198.92644279898</v>
      </c>
      <c r="X9" s="31">
        <f>'COLOMBIA USD'!Y11+'EL SALVADOR USD'!X11+'VENEZUELA USD'!X10+'PANAMA USD'!W11</f>
        <v>235259.19509053446</v>
      </c>
      <c r="Y9" s="31">
        <f>'COLOMBIA USD'!X11+'EL SALVADOR USD'!W11+'VENEZUELA USD'!Y10+'PANAMA USD'!V11</f>
        <v>265976.54861845699</v>
      </c>
      <c r="Z9" s="31">
        <f>'COLOMBIA USD'!Z11+'EL SALVADOR USD'!Y11+'VENEZUELA USD'!Z10+'PANAMA USD'!X11</f>
        <v>538184.78564115462</v>
      </c>
      <c r="AA9" s="31">
        <f>'COLOMBIA USD'!AD11+'EL SALVADOR USD'!AC11+'VENEZUELA USD'!AA10+'PANAMA USD'!AB11</f>
        <v>537955.34720965126</v>
      </c>
      <c r="AB9" s="31">
        <f>'COLOMBIA USD'!AA11+'EL SALVADOR USD'!Z11+'VENEZUELA USD'!AB10+'PANAMA USD'!Y11</f>
        <v>572144.51973205816</v>
      </c>
      <c r="AC9" s="62">
        <f>+AB9-Z9</f>
        <v>33959.734090903541</v>
      </c>
      <c r="AD9" s="67">
        <f>IF(Z9=0,"",(AB9-Z9)/ABS(Z9)+1)</f>
        <v>1.0631005093361128</v>
      </c>
      <c r="AE9" s="67">
        <f>IF(AA9=0,"",(AB9-AA9)/ABS(AA9))</f>
        <v>6.355392264384864E-2</v>
      </c>
      <c r="AF9" s="54"/>
      <c r="AG9" s="54">
        <f>+'COLOMBIA USD'!Y11+'EL SALVADOR USD'!X11+'VENEZUELA USD'!X10+'PANAMA USD'!W11</f>
        <v>235259.19509053446</v>
      </c>
      <c r="AH9" s="54">
        <f>+'COLOMBIA USD'!X11+'EL SALVADOR USD'!W11+'VENEZUELA USD'!Y10+'PANAMA USD'!V11</f>
        <v>265976.54861845699</v>
      </c>
      <c r="AI9" s="54">
        <f>+'COLOMBIA USD'!AB11+'EL SALVADOR USD'!AA11+'VENEZUELA USD'!AC10+'PANAMA USD'!Z11</f>
        <v>33459.452766383409</v>
      </c>
      <c r="AK9" s="54">
        <f>+'COLOMBIA USD'!AA11+'EL SALVADOR USD'!Z11+'VENEZUELA USD'!AB10+'PANAMA USD'!Y11</f>
        <v>572144.51973205816</v>
      </c>
    </row>
    <row r="10" spans="1:37" x14ac:dyDescent="0.2">
      <c r="B10" s="3" t="s">
        <v>65</v>
      </c>
      <c r="C10" s="31">
        <f>+'COLOMBIA USD'!C10+'EL SALVADOR USD'!C10+'VENEZUELA USD'!C10+'PANAMA USD'!C10</f>
        <v>91418.348837209298</v>
      </c>
      <c r="D10" s="33">
        <f t="shared" ref="D10:D15" si="0">+C10/$C$20</f>
        <v>0.36912147060058043</v>
      </c>
      <c r="E10" s="31">
        <f>+'COLOMBIA USD'!E10+'EL SALVADOR USD'!E10+'VENEZUELA USD'!E10+'PANAMA USD'!E10</f>
        <v>105393.13442006205</v>
      </c>
      <c r="F10" s="33">
        <f t="shared" ref="F10:F20" si="1">+E10/$E$20</f>
        <v>0.40758966201285085</v>
      </c>
      <c r="G10" s="33">
        <f t="shared" ref="G10:G20" si="2">IF(C10=0,"",(E10-C10)/ABS(C10)+1)</f>
        <v>1.1528663092322742</v>
      </c>
      <c r="H10" s="31">
        <f>+'COLOMBIA USD'!H10+'EL SALVADOR USD'!H10+'VENEZUELA USD'!H10+'PANAMA USD'!H10</f>
        <v>83600.948536126511</v>
      </c>
      <c r="I10" s="33">
        <f t="shared" ref="I10:I18" si="3">+H10/$H$20</f>
        <v>0.420613848696407</v>
      </c>
      <c r="J10" s="33">
        <f t="shared" ref="J10:J20" si="4">IF(H10=0,"",(E10-H10)/ABS(H10))</f>
        <v>0.26066912236669748</v>
      </c>
      <c r="K10" s="31">
        <f>+'COLOMBIA USD'!K10+'EL SALVADOR USD'!K10+'VENEZUELA USD'!K10+'PANAMA USD'!K10</f>
        <v>199040.55813953487</v>
      </c>
      <c r="L10" s="33">
        <f t="shared" ref="L10:L46" si="5">+K10/$K$20</f>
        <v>0.41706774719958334</v>
      </c>
      <c r="M10" s="31">
        <f>+'COLOMBIA USD'!M10+'EL SALVADOR USD'!M10+'VENEZUELA USD'!M10+'PANAMA USD'!M10</f>
        <v>223593.11031842994</v>
      </c>
      <c r="N10" s="33">
        <f t="shared" ref="N10:N20" si="6">+M10/$M$20</f>
        <v>0.43443484558929496</v>
      </c>
      <c r="O10" s="33">
        <f t="shared" ref="O10:O18" si="7">IF(K10=0,"",(M10-K10)/ABS(K10)+1)</f>
        <v>1.123354518337327</v>
      </c>
      <c r="P10" s="31">
        <f>+'COLOMBIA USD'!P10+'EL SALVADOR USD'!P10+'VENEZUELA USD'!P10+'PANAMA USD'!P10</f>
        <v>191968.98842198192</v>
      </c>
      <c r="Q10" s="33">
        <f t="shared" ref="Q10:Q46" si="8">+P10/$P$20</f>
        <v>0.46167363140472623</v>
      </c>
      <c r="R10" s="33">
        <f t="shared" ref="R10:R18" si="9">IF(P10=0,"",(M10-P10)/ABS(P10))</f>
        <v>0.16473557607613468</v>
      </c>
      <c r="V10" s="3" t="s">
        <v>33</v>
      </c>
      <c r="W10" s="31">
        <f>'COLOMBIA USD'!W13+'EL SALVADOR USD'!V13+'VENEZUELA USD'!W11+'PANAMA USD'!U13</f>
        <v>55702.387485360545</v>
      </c>
      <c r="X10" s="31">
        <f>'COLOMBIA USD'!Y13+'EL SALVADOR USD'!X13+'VENEZUELA USD'!X11+'PANAMA USD'!W13</f>
        <v>27275.341816170079</v>
      </c>
      <c r="Y10" s="31">
        <f>'COLOMBIA USD'!X13+'EL SALVADOR USD'!W13+'VENEZUELA USD'!Y11+'PANAMA USD'!V13</f>
        <v>62580.306747731411</v>
      </c>
      <c r="Z10" s="31">
        <f>'COLOMBIA USD'!Z13+'EL SALVADOR USD'!Y13+'VENEZUELA USD'!Z11+'PANAMA USD'!X13</f>
        <v>96146.519873801939</v>
      </c>
      <c r="AA10" s="31" t="e">
        <f>'COLOMBIA USD'!AD13+'EL SALVADOR USD'!AC13+'VENEZUELA USD'!AA11+'PANAMA USD'!AB13</f>
        <v>#VALUE!</v>
      </c>
      <c r="AB10" s="31">
        <f>'COLOMBIA USD'!AA13+'EL SALVADOR USD'!Z13+'VENEZUELA USD'!AB11+'PANAMA USD'!Y13</f>
        <v>87181.137944202856</v>
      </c>
      <c r="AC10" s="62">
        <f>+Z10-AB10</f>
        <v>8965.3819295990834</v>
      </c>
      <c r="AD10" s="67">
        <f>IF(Z10=0,"",(AB10-Z10)/ABS(Z10)+1)</f>
        <v>0.90675292312850553</v>
      </c>
      <c r="AE10" s="67" t="e">
        <f t="shared" ref="AE10:AE22" si="10">IF(AA10=0,"",(AB10-AA10)/ABS(AA10))</f>
        <v>#VALUE!</v>
      </c>
      <c r="AF10" s="54"/>
      <c r="AG10" s="54">
        <f>+'COLOMBIA USD'!Y13+'EL SALVADOR USD'!X13+'VENEZUELA USD'!X11+'PANAMA USD'!W13</f>
        <v>27275.341816170079</v>
      </c>
      <c r="AH10" s="54">
        <f>+'COLOMBIA USD'!X13+'EL SALVADOR USD'!W13+'VENEZUELA USD'!Y11+'PANAMA USD'!V13</f>
        <v>62580.306747731411</v>
      </c>
      <c r="AI10" s="54">
        <f>+'COLOMBIA USD'!AB13+'EL SALVADOR USD'!AA13+'VENEZUELA USD'!AC11+'PANAMA USD'!Z13</f>
        <v>-84.57488622122159</v>
      </c>
      <c r="AK10" s="54">
        <f>+'COLOMBIA USD'!AA13+'EL SALVADOR USD'!Z13+'VENEZUELA USD'!AB11+'PANAMA USD'!Y13</f>
        <v>87181.137944202856</v>
      </c>
    </row>
    <row r="11" spans="1:37" x14ac:dyDescent="0.2">
      <c r="B11" s="3" t="s">
        <v>67</v>
      </c>
      <c r="C11" s="31">
        <f>+'COLOMBIA USD'!C11+'EL SALVADOR USD'!C11+'VENEZUELA USD'!C11+'PANAMA USD'!C11</f>
        <v>22182.093023255813</v>
      </c>
      <c r="D11" s="33">
        <f t="shared" si="0"/>
        <v>8.9565026079429788E-2</v>
      </c>
      <c r="E11" s="31">
        <f>+'COLOMBIA USD'!E11+'EL SALVADOR USD'!E11+'VENEZUELA USD'!E11+'PANAMA USD'!E11</f>
        <v>3628.3120383945266</v>
      </c>
      <c r="F11" s="33">
        <f t="shared" si="1"/>
        <v>1.4031867308473131E-2</v>
      </c>
      <c r="G11" s="33">
        <f t="shared" si="2"/>
        <v>0.16356941766453637</v>
      </c>
      <c r="H11" s="31">
        <f>+'COLOMBIA USD'!H11+'EL SALVADOR USD'!H11+'VENEZUELA USD'!H11+'PANAMA USD'!H11</f>
        <v>8044.2847823332022</v>
      </c>
      <c r="I11" s="33">
        <f t="shared" si="3"/>
        <v>4.0472478381569768E-2</v>
      </c>
      <c r="J11" s="33">
        <f t="shared" si="4"/>
        <v>-0.54895778349829205</v>
      </c>
      <c r="K11" s="31">
        <f>+'COLOMBIA USD'!K11+'EL SALVADOR USD'!K11+'VENEZUELA USD'!K11+'PANAMA USD'!K11</f>
        <v>32239.511627906973</v>
      </c>
      <c r="L11" s="33">
        <f t="shared" si="5"/>
        <v>6.7554374903027264E-2</v>
      </c>
      <c r="M11" s="31">
        <f>+'COLOMBIA USD'!M11+'EL SALVADOR USD'!M11+'VENEZUELA USD'!M11+'PANAMA USD'!M11</f>
        <v>15043.897256555751</v>
      </c>
      <c r="N11" s="33">
        <f t="shared" si="6"/>
        <v>2.9229850474396798E-2</v>
      </c>
      <c r="O11" s="33">
        <f t="shared" si="7"/>
        <v>0.46662919184959195</v>
      </c>
      <c r="P11" s="31">
        <f>+'COLOMBIA USD'!P11+'EL SALVADOR USD'!P11+'VENEZUELA USD'!P11+'PANAMA USD'!P11</f>
        <v>17128.435174368955</v>
      </c>
      <c r="Q11" s="33">
        <f t="shared" si="8"/>
        <v>4.1192835010667082E-2</v>
      </c>
      <c r="R11" s="33">
        <f t="shared" si="9"/>
        <v>-0.12170042952508081</v>
      </c>
      <c r="V11" s="3" t="s">
        <v>34</v>
      </c>
      <c r="W11" s="31">
        <f>'COLOMBIA USD'!W14+'EL SALVADOR USD'!V14+'VENEZUELA USD'!W12+'PANAMA USD'!U14</f>
        <v>2821.1627906976746</v>
      </c>
      <c r="X11" s="31">
        <f>'COLOMBIA USD'!Y14+'EL SALVADOR USD'!X14+'VENEZUELA USD'!X12+'PANAMA USD'!W14</f>
        <v>2092.50645779865</v>
      </c>
      <c r="Y11" s="31">
        <f>'COLOMBIA USD'!X14+'EL SALVADOR USD'!W14+'VENEZUELA USD'!Y12+'PANAMA USD'!V14</f>
        <v>3491.603534711559</v>
      </c>
      <c r="Z11" s="31">
        <f>'COLOMBIA USD'!Z14+'EL SALVADOR USD'!Y14+'VENEZUELA USD'!Z12+'PANAMA USD'!X14</f>
        <v>5544.6511627906975</v>
      </c>
      <c r="AA11" s="31">
        <f>'COLOMBIA USD'!AD14+'EL SALVADOR USD'!AC14+'VENEZUELA USD'!AA12+'PANAMA USD'!AB14</f>
        <v>4243.2745302757412</v>
      </c>
      <c r="AB11" s="31">
        <f>'COLOMBIA USD'!AA14+'EL SALVADOR USD'!Z14+'VENEZUELA USD'!AB12+'PANAMA USD'!Y14</f>
        <v>6468.7395133161817</v>
      </c>
      <c r="AC11" s="62">
        <f>+Z11-AB11</f>
        <v>-924.0883505254842</v>
      </c>
      <c r="AD11" s="67">
        <f t="shared" ref="AD11:AD22" si="11">IF(Z11=0,"",(AB11-Z11)/ABS(Z11)+1)</f>
        <v>1.1666630277350718</v>
      </c>
      <c r="AE11" s="67">
        <f t="shared" si="10"/>
        <v>0.52446877220923593</v>
      </c>
      <c r="AF11" s="54"/>
      <c r="AG11" s="54">
        <f>+'COLOMBIA USD'!Y14+'EL SALVADOR USD'!X14+'VENEZUELA USD'!X12+'PANAMA USD'!W14</f>
        <v>2092.50645779865</v>
      </c>
      <c r="AH11" s="54">
        <f>+'COLOMBIA USD'!X14+'EL SALVADOR USD'!W14+'VENEZUELA USD'!Y12+'PANAMA USD'!V14</f>
        <v>3491.603534711559</v>
      </c>
      <c r="AI11" s="54">
        <f>+'COLOMBIA USD'!AB14+'EL SALVADOR USD'!AA14+'VENEZUELA USD'!AC12+'PANAMA USD'!Z14</f>
        <v>-924.0883505254842</v>
      </c>
      <c r="AK11" s="54">
        <f>+'COLOMBIA USD'!AA14+'EL SALVADOR USD'!Z14+'VENEZUELA USD'!AB12+'PANAMA USD'!Y14</f>
        <v>6468.7395133161817</v>
      </c>
    </row>
    <row r="12" spans="1:37" x14ac:dyDescent="0.2">
      <c r="B12" s="3" t="s">
        <v>69</v>
      </c>
      <c r="C12" s="31">
        <f>+'COLOMBIA USD'!C12+'EL SALVADOR USD'!C12+'VENEZUELA USD'!C12+'PANAMA USD'!C12</f>
        <v>15903.046511627907</v>
      </c>
      <c r="D12" s="33">
        <f t="shared" si="0"/>
        <v>6.4212009843391968E-2</v>
      </c>
      <c r="E12" s="31">
        <f>+'COLOMBIA USD'!E12+'EL SALVADOR USD'!E12+'VENEZUELA USD'!E12+'PANAMA USD'!E12</f>
        <v>20230.782048054782</v>
      </c>
      <c r="F12" s="33">
        <f t="shared" si="1"/>
        <v>7.823903959775072E-2</v>
      </c>
      <c r="G12" s="33">
        <f t="shared" si="2"/>
        <v>1.272132483122812</v>
      </c>
      <c r="H12" s="31">
        <f>+'COLOMBIA USD'!H12+'EL SALVADOR USD'!H12+'VENEZUELA USD'!H12+'PANAMA USD'!H12</f>
        <v>19548.632283726358</v>
      </c>
      <c r="I12" s="33">
        <f t="shared" si="3"/>
        <v>9.8353255621924138E-2</v>
      </c>
      <c r="J12" s="33">
        <f t="shared" si="4"/>
        <v>3.4895012317372846E-2</v>
      </c>
      <c r="K12" s="31">
        <f>+'COLOMBIA USD'!K12+'EL SALVADOR USD'!K12+'VENEZUELA USD'!K12+'PANAMA USD'!K12</f>
        <v>34104.883720930229</v>
      </c>
      <c r="L12" s="33">
        <f t="shared" si="5"/>
        <v>7.1463058358289602E-2</v>
      </c>
      <c r="M12" s="31">
        <f>+'COLOMBIA USD'!M12+'EL SALVADOR USD'!M12+'VENEZUELA USD'!M12+'PANAMA USD'!M12</f>
        <v>43178.070437624025</v>
      </c>
      <c r="N12" s="33">
        <f t="shared" si="6"/>
        <v>8.3893722560138911E-2</v>
      </c>
      <c r="O12" s="33">
        <f t="shared" si="7"/>
        <v>1.2660377554996782</v>
      </c>
      <c r="P12" s="31">
        <f>+'COLOMBIA USD'!P12+'EL SALVADOR USD'!P12+'VENEZUELA USD'!P12+'PANAMA USD'!P12</f>
        <v>45885.685706820594</v>
      </c>
      <c r="Q12" s="33">
        <f t="shared" si="8"/>
        <v>0.11035225701766552</v>
      </c>
      <c r="R12" s="33">
        <f t="shared" si="9"/>
        <v>-5.9007841497595852E-2</v>
      </c>
      <c r="V12" s="3" t="s">
        <v>35</v>
      </c>
      <c r="W12" s="31">
        <f>'COLOMBIA USD'!W15+'EL SALVADOR USD'!V15+'VENEZUELA USD'!W13+'PANAMA USD'!U15</f>
        <v>156117.00746911741</v>
      </c>
      <c r="X12" s="31">
        <f>'COLOMBIA USD'!Y15+'EL SALVADOR USD'!X15+'VENEZUELA USD'!X13+'PANAMA USD'!W15</f>
        <v>100069.61798491723</v>
      </c>
      <c r="Y12" s="31">
        <f>'COLOMBIA USD'!X15+'EL SALVADOR USD'!W15+'VENEZUELA USD'!Y13+'PANAMA USD'!V15</f>
        <v>147126.46856282855</v>
      </c>
      <c r="Z12" s="31">
        <f>'COLOMBIA USD'!Z15+'EL SALVADOR USD'!Y15+'VENEZUELA USD'!Z13+'PANAMA USD'!X15</f>
        <v>261183.12374818721</v>
      </c>
      <c r="AA12" s="31" t="e">
        <f>'COLOMBIA USD'!AD15+'EL SALVADOR USD'!AC15+'VENEZUELA USD'!AA13+'PANAMA USD'!AB15</f>
        <v>#VALUE!</v>
      </c>
      <c r="AB12" s="31">
        <f>'COLOMBIA USD'!AA15+'EL SALVADOR USD'!Z15+'VENEZUELA USD'!AB13+'PANAMA USD'!Y15</f>
        <v>260523.45512970441</v>
      </c>
      <c r="AC12" s="62">
        <f>+Z12-AB12</f>
        <v>659.6686184827995</v>
      </c>
      <c r="AD12" s="67">
        <f t="shared" si="11"/>
        <v>0.99747430611512711</v>
      </c>
      <c r="AE12" s="67" t="e">
        <f t="shared" si="10"/>
        <v>#VALUE!</v>
      </c>
      <c r="AF12" s="54"/>
      <c r="AG12" s="54">
        <f>+'COLOMBIA USD'!Y15+'EL SALVADOR USD'!X15+'VENEZUELA USD'!X13+'PANAMA USD'!W15</f>
        <v>100069.61798491723</v>
      </c>
      <c r="AH12" s="54">
        <f>+'COLOMBIA USD'!X15+'EL SALVADOR USD'!W15+'VENEZUELA USD'!Y13+'PANAMA USD'!V15</f>
        <v>147126.46856282855</v>
      </c>
      <c r="AI12" s="54" t="e">
        <f>+'COLOMBIA USD'!AB15+'EL SALVADOR USD'!AA15+'VENEZUELA USD'!AC13+'PANAMA USD'!Z15</f>
        <v>#VALUE!</v>
      </c>
      <c r="AK12" s="54">
        <f>+'COLOMBIA USD'!AA15+'EL SALVADOR USD'!Z15+'VENEZUELA USD'!AB13+'PANAMA USD'!Y15</f>
        <v>260523.45512970441</v>
      </c>
    </row>
    <row r="13" spans="1:37" x14ac:dyDescent="0.2">
      <c r="B13" s="3" t="s">
        <v>71</v>
      </c>
      <c r="C13" s="31">
        <f>+'COLOMBIA USD'!C13+'EL SALVADOR USD'!C13+'VENEZUELA USD'!C13+'PANAMA USD'!C13</f>
        <v>48896.511627906977</v>
      </c>
      <c r="D13" s="33">
        <f t="shared" si="0"/>
        <v>0.19743030265697778</v>
      </c>
      <c r="E13" s="31">
        <f>+'COLOMBIA USD'!E13+'EL SALVADOR USD'!E13+'VENEZUELA USD'!E13+'PANAMA USD'!E13</f>
        <v>53939.253897828748</v>
      </c>
      <c r="F13" s="33">
        <f t="shared" si="1"/>
        <v>0.20860070616949417</v>
      </c>
      <c r="G13" s="33">
        <f t="shared" si="2"/>
        <v>1.1031309208373814</v>
      </c>
      <c r="H13" s="31">
        <f>+'COLOMBIA USD'!H13+'EL SALVADOR USD'!H13+'VENEZUELA USD'!H13+'PANAMA USD'!H13</f>
        <v>17144.894872331002</v>
      </c>
      <c r="I13" s="33">
        <f t="shared" si="3"/>
        <v>8.6259550208693858E-2</v>
      </c>
      <c r="J13" s="33">
        <f t="shared" si="4"/>
        <v>2.1460825102449417</v>
      </c>
      <c r="K13" s="31">
        <f>+'COLOMBIA USD'!K13+'EL SALVADOR USD'!K13+'VENEZUELA USD'!K13+'PANAMA USD'!K13</f>
        <v>70762.30232558139</v>
      </c>
      <c r="L13" s="33">
        <f t="shared" si="5"/>
        <v>0.14827467473687742</v>
      </c>
      <c r="M13" s="31">
        <f>+'COLOMBIA USD'!M13+'EL SALVADOR USD'!M13+'VENEZUELA USD'!M13+'PANAMA USD'!M13</f>
        <v>79692.93487205838</v>
      </c>
      <c r="N13" s="33">
        <f t="shared" si="6"/>
        <v>0.15484103157916806</v>
      </c>
      <c r="O13" s="33">
        <f t="shared" si="7"/>
        <v>1.1262060765827917</v>
      </c>
      <c r="P13" s="31">
        <f>+'COLOMBIA USD'!P13+'EL SALVADOR USD'!P13+'VENEZUELA USD'!P13+'PANAMA USD'!P13</f>
        <v>41305.749099299414</v>
      </c>
      <c r="Q13" s="33">
        <f t="shared" si="8"/>
        <v>9.9337790657349864E-2</v>
      </c>
      <c r="R13" s="33">
        <f t="shared" si="9"/>
        <v>0.92934244287582846</v>
      </c>
      <c r="V13" s="3" t="s">
        <v>36</v>
      </c>
      <c r="W13" s="31">
        <f>'COLOMBIA USD'!W16+'EL SALVADOR USD'!V16+'VENEZUELA USD'!W14+'PANAMA USD'!U16</f>
        <v>88595.916707751938</v>
      </c>
      <c r="X13" s="31">
        <f>'COLOMBIA USD'!Y16+'EL SALVADOR USD'!X16+'VENEZUELA USD'!X14+'PANAMA USD'!W16</f>
        <v>60463.539677297245</v>
      </c>
      <c r="Y13" s="31">
        <f>'COLOMBIA USD'!X16+'EL SALVADOR USD'!W16+'VENEZUELA USD'!Y14+'PANAMA USD'!V16</f>
        <v>70737.46656311331</v>
      </c>
      <c r="Z13" s="31">
        <f>'COLOMBIA USD'!Z16+'EL SALVADOR USD'!Y16+'VENEZUELA USD'!Z14+'PANAMA USD'!X16</f>
        <v>150374.77717286823</v>
      </c>
      <c r="AA13" s="31" t="e">
        <f>'COLOMBIA USD'!AD16+'EL SALVADOR USD'!AC16+'VENEZUELA USD'!AA14+'PANAMA USD'!AB16</f>
        <v>#VALUE!</v>
      </c>
      <c r="AB13" s="31">
        <f>'COLOMBIA USD'!AA16+'EL SALVADOR USD'!Z16+'VENEZUELA USD'!AB14+'PANAMA USD'!Y16</f>
        <v>138135.59747760295</v>
      </c>
      <c r="AC13" s="62">
        <f>+Z13-AB13</f>
        <v>12239.17969526528</v>
      </c>
      <c r="AD13" s="67">
        <f t="shared" si="11"/>
        <v>0.91860882572616998</v>
      </c>
      <c r="AE13" s="67" t="e">
        <f t="shared" si="10"/>
        <v>#VALUE!</v>
      </c>
      <c r="AF13" s="54"/>
      <c r="AG13" s="54">
        <f>+'COLOMBIA USD'!Y16+'EL SALVADOR USD'!X16+'VENEZUELA USD'!X14+'PANAMA USD'!W16</f>
        <v>60463.539677297245</v>
      </c>
      <c r="AH13" s="54">
        <f>+'COLOMBIA USD'!X16+'EL SALVADOR USD'!W16+'VENEZUELA USD'!Y14+'PANAMA USD'!V16</f>
        <v>70737.46656311331</v>
      </c>
      <c r="AI13" s="54" t="e">
        <f>+'COLOMBIA USD'!AB16+'EL SALVADOR USD'!AA16+'VENEZUELA USD'!AC14+'PANAMA USD'!Z16</f>
        <v>#VALUE!</v>
      </c>
      <c r="AK13" s="54">
        <f>+'COLOMBIA USD'!AA16+'EL SALVADOR USD'!Z16+'VENEZUELA USD'!AB14+'PANAMA USD'!Y16</f>
        <v>138135.59747760295</v>
      </c>
    </row>
    <row r="14" spans="1:37" x14ac:dyDescent="0.2">
      <c r="B14" s="3" t="s">
        <v>72</v>
      </c>
      <c r="C14" s="31">
        <f>+'COLOMBIA USD'!C14+'EL SALVADOR USD'!C14+'VENEZUELA USD'!C14+'PANAMA USD'!C14</f>
        <v>0</v>
      </c>
      <c r="D14" s="33">
        <f t="shared" si="0"/>
        <v>0</v>
      </c>
      <c r="E14" s="31">
        <f>+'COLOMBIA USD'!E14+'EL SALVADOR USD'!E14+'VENEZUELA USD'!E14+'PANAMA USD'!E14</f>
        <v>0</v>
      </c>
      <c r="F14" s="33">
        <f t="shared" si="1"/>
        <v>0</v>
      </c>
      <c r="G14" s="33" t="str">
        <f t="shared" si="2"/>
        <v/>
      </c>
      <c r="H14" s="31">
        <f>+'COLOMBIA USD'!H14+'EL SALVADOR USD'!H14+'VENEZUELA USD'!H14+'PANAMA USD'!H14</f>
        <v>0</v>
      </c>
      <c r="I14" s="33">
        <f t="shared" si="3"/>
        <v>0</v>
      </c>
      <c r="J14" s="33" t="str">
        <f t="shared" si="4"/>
        <v/>
      </c>
      <c r="K14" s="31">
        <f>+'COLOMBIA USD'!K14+'EL SALVADOR USD'!K14+'VENEZUELA USD'!K14+'PANAMA USD'!K14</f>
        <v>0</v>
      </c>
      <c r="L14" s="33">
        <f t="shared" si="5"/>
        <v>0</v>
      </c>
      <c r="M14" s="31">
        <f>+'COLOMBIA USD'!M14+'EL SALVADOR USD'!M14+'VENEZUELA USD'!M14+'PANAMA USD'!M14</f>
        <v>0</v>
      </c>
      <c r="N14" s="33">
        <f t="shared" si="6"/>
        <v>0</v>
      </c>
      <c r="O14" s="33" t="str">
        <f t="shared" si="7"/>
        <v/>
      </c>
      <c r="P14" s="31">
        <f>+'COLOMBIA USD'!P14+'EL SALVADOR USD'!P14+'VENEZUELA USD'!P14+'PANAMA USD'!P14</f>
        <v>0</v>
      </c>
      <c r="Q14" s="33">
        <f t="shared" si="8"/>
        <v>0</v>
      </c>
      <c r="R14" s="33" t="str">
        <f t="shared" si="9"/>
        <v/>
      </c>
      <c r="V14" s="3" t="s">
        <v>37</v>
      </c>
      <c r="W14" s="31">
        <f>SUM(W10:W13)</f>
        <v>303236.47445292753</v>
      </c>
      <c r="X14" s="31">
        <f>SUM(X10:X13)</f>
        <v>189901.00593618321</v>
      </c>
      <c r="Y14" s="31">
        <f>SUM(Y10:Y13)</f>
        <v>283935.84540838486</v>
      </c>
      <c r="Z14" s="31">
        <f>'COLOMBIA USD'!Z17+'EL SALVADOR USD'!Y17+'VENEZUELA USD'!Z15+'PANAMA USD'!X17</f>
        <v>496921.01440369122</v>
      </c>
      <c r="AA14" s="31" t="e">
        <f>'COLOMBIA USD'!AD17+'EL SALVADOR USD'!AC17+'VENEZUELA USD'!AA15+'PANAMA USD'!AB17</f>
        <v>#VALUE!</v>
      </c>
      <c r="AB14" s="31">
        <f>'COLOMBIA USD'!AA17+'EL SALVADOR USD'!Z17+'VENEZUELA USD'!AB15+'PANAMA USD'!Y17</f>
        <v>489793.69882124988</v>
      </c>
      <c r="AC14" s="62">
        <f>+AB14-Z14</f>
        <v>-7127.3155824413407</v>
      </c>
      <c r="AD14" s="67">
        <f t="shared" si="11"/>
        <v>0.98565704533346377</v>
      </c>
      <c r="AE14" s="67" t="e">
        <f t="shared" si="10"/>
        <v>#VALUE!</v>
      </c>
      <c r="AF14" s="54"/>
      <c r="AG14" s="54">
        <f>+'COLOMBIA USD'!Y17+'EL SALVADOR USD'!X17+'VENEZUELA USD'!X15+'PANAMA USD'!W17</f>
        <v>189901.00593618321</v>
      </c>
      <c r="AH14" s="54">
        <f>+'COLOMBIA USD'!X17+'EL SALVADOR USD'!W17+'VENEZUELA USD'!Y15+'PANAMA USD'!V17</f>
        <v>275362.25856357499</v>
      </c>
      <c r="AI14" s="54">
        <f>+'COLOMBIA USD'!AB17+'EL SALVADOR USD'!AA17+'VENEZUELA USD'!AC15+'PANAMA USD'!Z17</f>
        <v>-11884.130004052828</v>
      </c>
      <c r="AK14" s="54">
        <f>+'COLOMBIA USD'!AA17+'EL SALVADOR USD'!Z17+'VENEZUELA USD'!AB15+'PANAMA USD'!Y17</f>
        <v>489793.69882124988</v>
      </c>
    </row>
    <row r="15" spans="1:37" x14ac:dyDescent="0.2">
      <c r="B15" s="3" t="s">
        <v>74</v>
      </c>
      <c r="C15" s="31">
        <f>+'COLOMBIA USD'!C15+'EL SALVADOR USD'!C15+'VENEZUELA USD'!C15+'PANAMA USD'!C15</f>
        <v>32023.976744186049</v>
      </c>
      <c r="D15" s="33">
        <f t="shared" si="0"/>
        <v>0.12930377260851861</v>
      </c>
      <c r="E15" s="31">
        <f>+'COLOMBIA USD'!E15+'EL SALVADOR USD'!E15+'VENEZUELA USD'!E15+'PANAMA USD'!E15</f>
        <v>35532.624258146738</v>
      </c>
      <c r="F15" s="33">
        <f t="shared" si="1"/>
        <v>0.13741625952677616</v>
      </c>
      <c r="G15" s="33">
        <f t="shared" si="2"/>
        <v>1.1095631420790888</v>
      </c>
      <c r="H15" s="31">
        <f>+'COLOMBIA USD'!H15+'EL SALVADOR USD'!H15+'VENEZUELA USD'!H15+'PANAMA USD'!H15</f>
        <v>28231.079198312218</v>
      </c>
      <c r="I15" s="33">
        <f t="shared" si="3"/>
        <v>0.14203646109737494</v>
      </c>
      <c r="J15" s="33">
        <f t="shared" si="4"/>
        <v>0.25863499615243329</v>
      </c>
      <c r="K15" s="31">
        <f>+'COLOMBIA USD'!K15+'EL SALVADOR USD'!K15+'VENEZUELA USD'!K15+'PANAMA USD'!K15</f>
        <v>68230.232558139527</v>
      </c>
      <c r="L15" s="33">
        <f t="shared" si="5"/>
        <v>0.14296899913221583</v>
      </c>
      <c r="M15" s="31">
        <f>+'COLOMBIA USD'!M15+'EL SALVADOR USD'!M15+'VENEZUELA USD'!M15+'PANAMA USD'!M15</f>
        <v>76105.872468286107</v>
      </c>
      <c r="N15" s="33">
        <f t="shared" si="6"/>
        <v>0.1478714746939731</v>
      </c>
      <c r="O15" s="33">
        <f t="shared" si="7"/>
        <v>1.1154274229306735</v>
      </c>
      <c r="P15" s="31">
        <f>+'COLOMBIA USD'!P15+'EL SALVADOR USD'!P15+'VENEZUELA USD'!P15+'PANAMA USD'!P15</f>
        <v>62667.327381300798</v>
      </c>
      <c r="Q15" s="33">
        <f t="shared" si="8"/>
        <v>0.15071107495215125</v>
      </c>
      <c r="R15" s="33">
        <f t="shared" si="9"/>
        <v>0.21444260747260166</v>
      </c>
      <c r="V15" s="3" t="s">
        <v>38</v>
      </c>
      <c r="W15" s="31">
        <f>W9-W14</f>
        <v>-50037.54801012855</v>
      </c>
      <c r="X15" s="31">
        <f>X9-X14</f>
        <v>45358.189154351247</v>
      </c>
      <c r="Y15" s="31">
        <f t="shared" ref="Y15:AB15" si="12">Y9-Y14</f>
        <v>-17959.296789927874</v>
      </c>
      <c r="Z15" s="31">
        <f t="shared" si="12"/>
        <v>41263.771237463399</v>
      </c>
      <c r="AA15" s="31" t="e">
        <f>AA9-AA14</f>
        <v>#VALUE!</v>
      </c>
      <c r="AB15" s="31">
        <f t="shared" si="12"/>
        <v>82350.820910808281</v>
      </c>
      <c r="AC15" s="62">
        <f>+AB15-Z15</f>
        <v>41087.049673344882</v>
      </c>
      <c r="AD15" s="67">
        <f t="shared" si="11"/>
        <v>1.9957172706512565</v>
      </c>
      <c r="AE15" s="67" t="e">
        <f t="shared" si="10"/>
        <v>#VALUE!</v>
      </c>
      <c r="AF15" s="54"/>
      <c r="AG15" s="54">
        <f>+'COLOMBIA USD'!Y19+'EL SALVADOR USD'!X19+'VENEZUELA USD'!X16+'PANAMA USD'!W19</f>
        <v>39277.716389705791</v>
      </c>
      <c r="AH15" s="54">
        <f>+'COLOMBIA USD'!X19+'EL SALVADOR USD'!W19+'VENEZUELA USD'!Y16+'PANAMA USD'!V19</f>
        <v>-11972.40059260001</v>
      </c>
      <c r="AI15" s="54">
        <f>+'COLOMBIA USD'!AB19+'EL SALVADOR USD'!AA19+'VENEZUELA USD'!AC16+'PANAMA USD'!Z19</f>
        <v>45340.16058851601</v>
      </c>
      <c r="AK15" s="54">
        <f>+'COLOMBIA USD'!AA19+'EL SALVADOR USD'!Z19+'VENEZUELA USD'!AB16+'PANAMA USD'!Y19</f>
        <v>83619.818855309903</v>
      </c>
    </row>
    <row r="16" spans="1:37" x14ac:dyDescent="0.2">
      <c r="B16" s="3" t="s">
        <v>75</v>
      </c>
      <c r="C16" s="31">
        <f>+'COLOMBIA USD'!C16+'EL SALVADOR USD'!C16+'VENEZUELA USD'!C16+'PANAMA USD'!C16</f>
        <v>0</v>
      </c>
      <c r="D16" s="33"/>
      <c r="E16" s="31">
        <f>+'COLOMBIA USD'!E16+'EL SALVADOR USD'!E16+'VENEZUELA USD'!E16+'PANAMA USD'!E16</f>
        <v>0</v>
      </c>
      <c r="F16" s="33">
        <f t="shared" si="1"/>
        <v>0</v>
      </c>
      <c r="G16" s="33" t="str">
        <f t="shared" si="2"/>
        <v/>
      </c>
      <c r="H16" s="31">
        <f>+'COLOMBIA USD'!H16+'EL SALVADOR USD'!H16+'VENEZUELA USD'!H16+'PANAMA USD'!H16</f>
        <v>0</v>
      </c>
      <c r="I16" s="33">
        <f t="shared" si="3"/>
        <v>0</v>
      </c>
      <c r="J16" s="33" t="str">
        <f t="shared" si="4"/>
        <v/>
      </c>
      <c r="K16" s="31">
        <f>+'COLOMBIA USD'!K16+'EL SALVADOR USD'!K16+'VENEZUELA USD'!K16+'PANAMA USD'!K16</f>
        <v>0</v>
      </c>
      <c r="L16" s="33">
        <f t="shared" si="5"/>
        <v>0</v>
      </c>
      <c r="M16" s="31">
        <f>+'COLOMBIA USD'!M16+'EL SALVADOR USD'!M16+'VENEZUELA USD'!M16+'PANAMA USD'!M16</f>
        <v>0</v>
      </c>
      <c r="N16" s="33">
        <f t="shared" si="6"/>
        <v>0</v>
      </c>
      <c r="O16" s="33" t="str">
        <f t="shared" si="7"/>
        <v/>
      </c>
      <c r="P16" s="31">
        <f>+'COLOMBIA USD'!P16+'EL SALVADOR USD'!P16+'VENEZUELA USD'!P16+'PANAMA USD'!P16</f>
        <v>0</v>
      </c>
      <c r="Q16" s="33">
        <f t="shared" si="8"/>
        <v>0</v>
      </c>
      <c r="R16" s="33" t="str">
        <f t="shared" si="9"/>
        <v/>
      </c>
      <c r="V16" s="3"/>
      <c r="W16" s="31"/>
      <c r="X16" s="31"/>
      <c r="Y16" s="31"/>
      <c r="Z16" s="31"/>
      <c r="AA16" s="31"/>
      <c r="AB16" s="31"/>
      <c r="AC16" s="62"/>
      <c r="AD16" s="67"/>
      <c r="AE16" s="67"/>
      <c r="AF16" s="54"/>
      <c r="AG16" s="54"/>
      <c r="AH16" s="54"/>
      <c r="AI16" s="54"/>
      <c r="AK16" s="54"/>
    </row>
    <row r="17" spans="2:37" x14ac:dyDescent="0.2">
      <c r="B17" s="3" t="s">
        <v>76</v>
      </c>
      <c r="C17" s="31">
        <f>+'COLOMBIA USD'!C17+'EL SALVADOR USD'!C17+'VENEZUELA USD'!C17+'PANAMA USD'!C17</f>
        <v>2325.8139534883721</v>
      </c>
      <c r="D17" s="33">
        <f>+C17/$C$20</f>
        <v>9.3909797953553292E-3</v>
      </c>
      <c r="E17" s="31">
        <f>+'COLOMBIA USD'!E17+'EL SALVADOR USD'!E17+'VENEZUELA USD'!E17+'PANAMA USD'!E17</f>
        <v>2756.692665168448</v>
      </c>
      <c r="F17" s="33">
        <f t="shared" si="1"/>
        <v>1.0661030605570741E-2</v>
      </c>
      <c r="G17" s="33">
        <f t="shared" si="2"/>
        <v>1.1852593200904236</v>
      </c>
      <c r="H17" s="31">
        <f>+'COLOMBIA USD'!H17+'EL SALVADOR USD'!H17+'VENEZUELA USD'!H17+'PANAMA USD'!H17</f>
        <v>3192.2063417454565</v>
      </c>
      <c r="I17" s="33">
        <f t="shared" si="3"/>
        <v>1.6060657429675201E-2</v>
      </c>
      <c r="J17" s="33">
        <f t="shared" si="4"/>
        <v>-0.13643030241549967</v>
      </c>
      <c r="K17" s="31">
        <f>+'COLOMBIA USD'!K17+'EL SALVADOR USD'!K17+'VENEZUELA USD'!K17+'PANAMA USD'!K17</f>
        <v>4541.6279069767443</v>
      </c>
      <c r="L17" s="33">
        <f t="shared" si="5"/>
        <v>9.5164851700911546E-3</v>
      </c>
      <c r="M17" s="31">
        <f>+'COLOMBIA USD'!M17+'EL SALVADOR USD'!M17+'VENEZUELA USD'!M17+'PANAMA USD'!M17</f>
        <v>5527.9337292427217</v>
      </c>
      <c r="N17" s="33">
        <f t="shared" si="6"/>
        <v>1.0740612859990561E-2</v>
      </c>
      <c r="O17" s="33">
        <f t="shared" si="7"/>
        <v>1.2171701078264991</v>
      </c>
      <c r="P17" s="31">
        <f>+'COLOMBIA USD'!P17+'EL SALVADOR USD'!P17+'VENEZUELA USD'!P17+'PANAMA USD'!P17</f>
        <v>6341.168518387567</v>
      </c>
      <c r="Q17" s="33">
        <f t="shared" si="8"/>
        <v>1.5250120976821737E-2</v>
      </c>
      <c r="R17" s="33">
        <f t="shared" si="9"/>
        <v>-0.12824683444174337</v>
      </c>
      <c r="V17" s="3"/>
      <c r="W17" s="31"/>
      <c r="X17" s="31"/>
      <c r="Y17" s="31"/>
      <c r="Z17" s="31"/>
      <c r="AA17" s="31"/>
      <c r="AB17" s="31"/>
      <c r="AC17" s="62"/>
      <c r="AD17" s="67"/>
      <c r="AE17" s="67" t="str">
        <f t="shared" si="10"/>
        <v/>
      </c>
      <c r="AF17" s="54"/>
      <c r="AG17" s="54"/>
      <c r="AH17" s="54"/>
      <c r="AI17" s="54"/>
      <c r="AK17" s="54" t="e">
        <f>+'COLOMBIA USD'!AA20+'EL SALVADOR USD'!#REF!+'VENEZUELA USD'!AB18+'PANAMA USD'!Y20</f>
        <v>#REF!</v>
      </c>
    </row>
    <row r="18" spans="2:37" x14ac:dyDescent="0.2">
      <c r="B18" s="3" t="s">
        <v>78</v>
      </c>
      <c r="C18" s="31">
        <f>+'COLOMBIA USD'!C18+'EL SALVADOR USD'!C18+'VENEZUELA USD'!C18+'PANAMA USD'!C18</f>
        <v>34914.883720930236</v>
      </c>
      <c r="D18" s="40">
        <f t="shared" ref="D18:D46" si="13">+C18/$C$20</f>
        <v>0.14097643841574614</v>
      </c>
      <c r="E18" s="31">
        <f>+'COLOMBIA USD'!E18+'EL SALVADOR USD'!E18+'VENEZUELA USD'!E18+'PANAMA USD'!E18</f>
        <v>37095.764905073265</v>
      </c>
      <c r="F18" s="33">
        <f t="shared" si="1"/>
        <v>0.14346143477908421</v>
      </c>
      <c r="G18" s="40">
        <f t="shared" si="2"/>
        <v>1.0624627938495945</v>
      </c>
      <c r="H18" s="31">
        <f>+'COLOMBIA USD'!H18+'EL SALVADOR USD'!H18+'VENEZUELA USD'!H18+'PANAMA USD'!H18</f>
        <v>27041.684726318283</v>
      </c>
      <c r="I18" s="33">
        <f t="shared" si="3"/>
        <v>0.13605236886823696</v>
      </c>
      <c r="J18" s="40">
        <f t="shared" si="4"/>
        <v>0.37179932687292455</v>
      </c>
      <c r="K18" s="31">
        <f>+'COLOMBIA USD'!K18+'EL SALVADOR USD'!K18+'VENEZUELA USD'!K18+'PANAMA USD'!K18</f>
        <v>68318.837209302335</v>
      </c>
      <c r="L18" s="33">
        <f t="shared" si="5"/>
        <v>0.14315466049991543</v>
      </c>
      <c r="M18" s="31">
        <f>+'COLOMBIA USD'!M18+'EL SALVADOR USD'!M18+'VENEZUELA USD'!M18+'PANAMA USD'!M18</f>
        <v>71534.000752499007</v>
      </c>
      <c r="N18" s="33">
        <f t="shared" si="6"/>
        <v>0.13898846224303749</v>
      </c>
      <c r="O18" s="33">
        <f t="shared" si="7"/>
        <v>1.0470611572815074</v>
      </c>
      <c r="P18" s="31">
        <f>+'COLOMBIA USD'!P18+'EL SALVADOR USD'!P18+'VENEZUELA USD'!P18+'PANAMA USD'!P18</f>
        <v>50513.676182473879</v>
      </c>
      <c r="Q18" s="33">
        <f t="shared" si="8"/>
        <v>0.12148228998061819</v>
      </c>
      <c r="R18" s="40">
        <f t="shared" si="9"/>
        <v>0.41613135607260154</v>
      </c>
      <c r="V18" s="3" t="s">
        <v>40</v>
      </c>
      <c r="W18" s="31">
        <f>W8+W15</f>
        <v>-25458.780568268085</v>
      </c>
      <c r="X18" s="31">
        <f>'COLOMBIA USD'!Y21+'EL SALVADOR USD'!X21+'VENEZUELA USD'!X19+'PANAMA USD'!W21</f>
        <v>65578.54298847371</v>
      </c>
      <c r="Y18" s="31">
        <f t="shared" ref="Y18" si="14">Y8+Y15</f>
        <v>8880.6695895350058</v>
      </c>
      <c r="Z18" s="31">
        <f>Z8+Z15</f>
        <v>67071.538679323858</v>
      </c>
      <c r="AA18" s="31" t="e">
        <f>AA8+AA15</f>
        <v>#VALUE!</v>
      </c>
      <c r="AB18" s="31">
        <f>AB8+AB15</f>
        <v>109149.76082274556</v>
      </c>
      <c r="AC18" s="62">
        <f>+AB18-Z18</f>
        <v>42078.222143421706</v>
      </c>
      <c r="AD18" s="67">
        <f t="shared" si="11"/>
        <v>1.6273633044949536</v>
      </c>
      <c r="AE18" s="67" t="e">
        <f t="shared" si="10"/>
        <v>#VALUE!</v>
      </c>
      <c r="AF18" s="54"/>
      <c r="AG18" s="54">
        <f>+'COLOMBIA USD'!Y21+'EL SALVADOR USD'!X21+'VENEZUELA USD'!X19+'PANAMA USD'!W21</f>
        <v>65578.54298847371</v>
      </c>
      <c r="AH18" s="54">
        <f>+'COLOMBIA USD'!X21+'EL SALVADOR USD'!W21+'VENEZUELA USD'!Y19+'PANAMA USD'!V21</f>
        <v>23317.668561785787</v>
      </c>
      <c r="AI18" s="54">
        <f>+'COLOMBIA USD'!AB21+'EL SALVADOR USD'!AA21+'VENEZUELA USD'!AC19+'PANAMA USD'!Z21</f>
        <v>46338.513379649688</v>
      </c>
      <c r="AK18" s="54">
        <f>+'COLOMBIA USD'!AA21+'EL SALVADOR USD'!Z21+'VENEZUELA USD'!AB19+'PANAMA USD'!Y21</f>
        <v>110259.26236436948</v>
      </c>
    </row>
    <row r="19" spans="2:37" x14ac:dyDescent="0.2">
      <c r="B19" s="3" t="s">
        <v>80</v>
      </c>
      <c r="C19" s="31">
        <f>+'COLOMBIA USD'!C19+'EL SALVADOR USD'!C19+'VENEZUELA USD'!C19+'PANAMA USD'!C19</f>
        <v>0</v>
      </c>
      <c r="D19" s="33">
        <f t="shared" si="13"/>
        <v>0</v>
      </c>
      <c r="E19" s="31">
        <f>+'COLOMBIA USD'!E19+'EL SALVADOR USD'!E19+'VENEZUELA USD'!E19+'PANAMA USD'!E19</f>
        <v>0</v>
      </c>
      <c r="F19" s="33">
        <f t="shared" si="1"/>
        <v>0</v>
      </c>
      <c r="G19" s="33" t="str">
        <f t="shared" si="2"/>
        <v/>
      </c>
      <c r="H19" s="31">
        <f>+'COLOMBIA USD'!H19+'EL SALVADOR USD'!H19+'VENEZUELA USD'!H19+'PANAMA USD'!H19</f>
        <v>11955.651041774991</v>
      </c>
      <c r="I19" s="33"/>
      <c r="J19" s="33">
        <f t="shared" si="4"/>
        <v>-1</v>
      </c>
      <c r="K19" s="31">
        <f>+'COLOMBIA USD'!K19+'EL SALVADOR USD'!K19+'VENEZUELA USD'!K19+'PANAMA USD'!K19</f>
        <v>0</v>
      </c>
      <c r="L19" s="33">
        <f t="shared" si="5"/>
        <v>0</v>
      </c>
      <c r="M19" s="31">
        <f>+'COLOMBIA USD'!M19+'EL SALVADOR USD'!M19+'VENEZUELA USD'!M19+'PANAMA USD'!M19</f>
        <v>0</v>
      </c>
      <c r="N19" s="33">
        <f t="shared" si="6"/>
        <v>0</v>
      </c>
      <c r="O19" s="33"/>
      <c r="P19" s="31">
        <f>+'COLOMBIA USD'!P19+'EL SALVADOR USD'!P19+'VENEZUELA USD'!P19+'PANAMA USD'!P19</f>
        <v>0</v>
      </c>
      <c r="Q19" s="33">
        <f t="shared" si="8"/>
        <v>0</v>
      </c>
      <c r="R19" s="33"/>
      <c r="V19" s="3" t="s">
        <v>42</v>
      </c>
      <c r="W19" s="31">
        <f>'COLOMBIA USD'!W23+'EL SALVADOR USD'!V23+'VENEZUELA USD'!W20+'PANAMA USD'!U23</f>
        <v>0</v>
      </c>
      <c r="X19" s="31">
        <f>'COLOMBIA USD'!Y23+'EL SALVADOR USD'!X23+'VENEZUELA USD'!X20+'PANAMA USD'!W23</f>
        <v>7631.1013344037401</v>
      </c>
      <c r="Y19" s="31">
        <f>'COLOMBIA USD'!X23+'EL SALVADOR USD'!W23+'VENEZUELA USD'!Y20+'PANAMA USD'!V23</f>
        <v>17314.695878542589</v>
      </c>
      <c r="Z19" s="31">
        <f>'COLOMBIA USD'!Z23+'EL SALVADOR USD'!Y23+'VENEZUELA USD'!Z20+'PANAMA USD'!X23</f>
        <v>8078.6046511627919</v>
      </c>
      <c r="AA19" s="31">
        <f>'COLOMBIA USD'!AD23+'EL SALVADOR USD'!AC23+'VENEZUELA USD'!AA20+'PANAMA USD'!AB23</f>
        <v>7710.1013344037401</v>
      </c>
      <c r="AB19" s="31">
        <f>'COLOMBIA USD'!AA23+'EL SALVADOR USD'!Z23+'VENEZUELA USD'!AB20+'PANAMA USD'!Y23</f>
        <v>26730.831732578125</v>
      </c>
      <c r="AC19" s="62">
        <f t="shared" ref="AC19:AC22" si="15">+AB19-Z19</f>
        <v>18652.227081415331</v>
      </c>
      <c r="AD19" s="67">
        <f t="shared" si="11"/>
        <v>3.308842663656109</v>
      </c>
      <c r="AE19" s="67">
        <f t="shared" si="10"/>
        <v>2.4669883796858487</v>
      </c>
      <c r="AF19" s="54"/>
      <c r="AG19" s="54">
        <f>+'COLOMBIA USD'!Y23+'EL SALVADOR USD'!X23+'VENEZUELA USD'!X20+'PANAMA USD'!W23</f>
        <v>7631.1013344037401</v>
      </c>
      <c r="AH19" s="54">
        <f>+'COLOMBIA USD'!X23+'EL SALVADOR USD'!W23+'VENEZUELA USD'!Y20+'PANAMA USD'!V23</f>
        <v>17314.695878542589</v>
      </c>
      <c r="AI19" s="54" t="e">
        <f>+'COLOMBIA USD'!AB23+'EL SALVADOR USD'!AA23+'VENEZUELA USD'!AC20+'PANAMA USD'!Z23</f>
        <v>#VALUE!</v>
      </c>
      <c r="AK19" s="54">
        <f>+'COLOMBIA USD'!AA23+'EL SALVADOR USD'!Z23+'VENEZUELA USD'!AB20+'PANAMA USD'!Y23</f>
        <v>26730.831732578125</v>
      </c>
    </row>
    <row r="20" spans="2:37" x14ac:dyDescent="0.2">
      <c r="B20" s="19" t="s">
        <v>39</v>
      </c>
      <c r="C20" s="68">
        <f>SUM(C10:C19)</f>
        <v>247664.67441860464</v>
      </c>
      <c r="D20" s="44">
        <f t="shared" si="13"/>
        <v>1</v>
      </c>
      <c r="E20" s="68">
        <f>SUM(E10:E19)</f>
        <v>258576.56423272856</v>
      </c>
      <c r="F20" s="44">
        <f t="shared" si="1"/>
        <v>1</v>
      </c>
      <c r="G20" s="44">
        <f t="shared" si="2"/>
        <v>1.0440591288997501</v>
      </c>
      <c r="H20" s="68">
        <f>SUM(H10:H19)</f>
        <v>198759.381782668</v>
      </c>
      <c r="I20" s="44">
        <f>+H22/$H$22</f>
        <v>1</v>
      </c>
      <c r="J20" s="44">
        <f t="shared" si="4"/>
        <v>0.30095274956865797</v>
      </c>
      <c r="K20" s="68">
        <f>SUM(K10:K19)</f>
        <v>477237.95348837203</v>
      </c>
      <c r="L20" s="44">
        <f t="shared" si="5"/>
        <v>1</v>
      </c>
      <c r="M20" s="68">
        <f>SUM(M10:M19)</f>
        <v>514675.81983469601</v>
      </c>
      <c r="N20" s="44">
        <f t="shared" si="6"/>
        <v>1</v>
      </c>
      <c r="O20" s="44">
        <f>IF(K20=0,"",(M20-K20)/ABS(K20)+1)</f>
        <v>1.078446959368323</v>
      </c>
      <c r="P20" s="68">
        <f>SUM(P10:P19)</f>
        <v>415811.03048463317</v>
      </c>
      <c r="Q20" s="44">
        <f t="shared" si="8"/>
        <v>1</v>
      </c>
      <c r="R20" s="44">
        <f>IF(P20=0,"",(M20-P20)/ABS(P20))</f>
        <v>0.23776374867890024</v>
      </c>
      <c r="V20" s="3" t="s">
        <v>44</v>
      </c>
      <c r="W20" s="31">
        <f>'COLOMBIA USD'!W25+'EL SALVADOR USD'!V25+'VENEZUELA USD'!W21+'PANAMA USD'!U25</f>
        <v>18595.078062565983</v>
      </c>
      <c r="X20" s="31">
        <f>'COLOMBIA USD'!Y25+'EL SALVADOR USD'!X25+'VENEZUELA USD'!X21+'PANAMA USD'!W25</f>
        <v>19482.742263869659</v>
      </c>
      <c r="Y20" s="31">
        <f>'COLOMBIA USD'!X25+'EL SALVADOR USD'!W25+'VENEZUELA USD'!Y21+'PANAMA USD'!V25</f>
        <v>29594.069726638394</v>
      </c>
      <c r="Z20" s="31">
        <f>'COLOMBIA USD'!Z25+'EL SALVADOR USD'!Y25+'VENEZUELA USD'!Z21+'PANAMA USD'!X25</f>
        <v>100769.51930160134</v>
      </c>
      <c r="AA20" s="31">
        <f>'COLOMBIA USD'!AD25+'EL SALVADOR USD'!AC25+'VENEZUELA USD'!AA21+'PANAMA USD'!AB25</f>
        <v>84392.54977153767</v>
      </c>
      <c r="AB20" s="31">
        <f>'COLOMBIA USD'!AA25+'EL SALVADOR USD'!Z25+'VENEZUELA USD'!AB21+'PANAMA USD'!Y25</f>
        <v>98991.273375066128</v>
      </c>
      <c r="AC20" s="62">
        <f t="shared" si="15"/>
        <v>-1778.2459265352081</v>
      </c>
      <c r="AD20" s="67">
        <f t="shared" si="11"/>
        <v>0.98235333522617141</v>
      </c>
      <c r="AE20" s="67">
        <f t="shared" si="10"/>
        <v>0.17298592877036215</v>
      </c>
      <c r="AF20" s="54"/>
      <c r="AG20" s="54">
        <f>+'COLOMBIA USD'!Y25+'EL SALVADOR USD'!X25+'VENEZUELA USD'!X21+'PANAMA USD'!W25</f>
        <v>19482.742263869659</v>
      </c>
      <c r="AH20" s="54">
        <f>+'COLOMBIA USD'!X25+'EL SALVADOR USD'!W25+'VENEZUELA USD'!Y21+'PANAMA USD'!V25</f>
        <v>29594.069726638394</v>
      </c>
      <c r="AI20" s="54">
        <f>+'COLOMBIA USD'!AB25+'EL SALVADOR USD'!AA25+'VENEZUELA USD'!AC21+'PANAMA USD'!Z25</f>
        <v>5055.653167521843</v>
      </c>
      <c r="AK20" s="54">
        <f>+'COLOMBIA USD'!AA25+'EL SALVADOR USD'!Z25+'VENEZUELA USD'!AB21+'PANAMA USD'!Y25</f>
        <v>98991.273375066128</v>
      </c>
    </row>
    <row r="21" spans="2:37" x14ac:dyDescent="0.2">
      <c r="B21" s="3"/>
      <c r="C21" s="31"/>
      <c r="D21" s="33"/>
      <c r="E21" s="31"/>
      <c r="F21" s="33"/>
      <c r="G21" s="33"/>
      <c r="H21" s="31"/>
      <c r="I21" s="33"/>
      <c r="J21" s="33"/>
      <c r="K21" s="31"/>
      <c r="L21" s="33"/>
      <c r="M21" s="31"/>
      <c r="N21" s="33"/>
      <c r="O21" s="33"/>
      <c r="P21" s="31"/>
      <c r="Q21" s="33"/>
      <c r="R21" s="33"/>
      <c r="V21" s="3" t="s">
        <v>47</v>
      </c>
      <c r="W21" s="31">
        <f>'COLOMBIA USD'!W27+'EL SALVADOR USD'!V27+'VENEZUELA USD'!W22+'PANAMA USD'!U27</f>
        <v>-61218.604651162794</v>
      </c>
      <c r="X21" s="31">
        <f>'COLOMBIA USD'!Y27+'EL SALVADOR USD'!X27+'VENEZUELA USD'!X22+'PANAMA USD'!W27</f>
        <v>5501.5036999754575</v>
      </c>
      <c r="Y21" s="31">
        <f>'COLOMBIA USD'!X27+'EL SALVADOR USD'!W27+'VENEZUELA USD'!Y22+'PANAMA USD'!V27</f>
        <v>-49758.215138449654</v>
      </c>
      <c r="Z21" s="31">
        <f>'COLOMBIA USD'!Z27+'EL SALVADOR USD'!Y27+'VENEZUELA USD'!Z22+'PANAMA USD'!X27</f>
        <v>-58882.790697674413</v>
      </c>
      <c r="AA21" s="31">
        <f>'COLOMBIA USD'!AD27+'EL SALVADOR USD'!AC27+'VENEZUELA USD'!AA22+'PANAMA USD'!AB27</f>
        <v>32124.480568369472</v>
      </c>
      <c r="AB21" s="31">
        <f>'COLOMBIA USD'!AA27+'EL SALVADOR USD'!Z27+'VENEZUELA USD'!AB22+'PANAMA USD'!Y27</f>
        <v>-47204.567872359898</v>
      </c>
      <c r="AC21" s="62">
        <f t="shared" si="15"/>
        <v>11678.222825314515</v>
      </c>
      <c r="AD21" s="67">
        <f t="shared" si="11"/>
        <v>1.1983299821041897</v>
      </c>
      <c r="AE21" s="67">
        <f t="shared" si="10"/>
        <v>-2.4694266502425144</v>
      </c>
      <c r="AF21" s="54"/>
      <c r="AG21" s="54">
        <f>+'COLOMBIA USD'!Y27+'EL SALVADOR USD'!X27+'VENEZUELA USD'!X22+'PANAMA USD'!W27</f>
        <v>5501.5036999754575</v>
      </c>
      <c r="AH21" s="54">
        <f>+'COLOMBIA USD'!X27+'EL SALVADOR USD'!W27+'VENEZUELA USD'!Y22+'PANAMA USD'!V27</f>
        <v>-49758.215138449654</v>
      </c>
      <c r="AI21" s="54">
        <f>+'COLOMBIA USD'!AB27+'EL SALVADOR USD'!AA27+'VENEZUELA USD'!AC22+'PANAMA USD'!Z27</f>
        <v>11678.222825314515</v>
      </c>
      <c r="AK21" s="54">
        <f>+'COLOMBIA USD'!AA27+'EL SALVADOR USD'!Z27+'VENEZUELA USD'!AB22+'PANAMA USD'!Y27</f>
        <v>-47204.567872359898</v>
      </c>
    </row>
    <row r="22" spans="2:37" x14ac:dyDescent="0.2">
      <c r="B22" s="3" t="s">
        <v>41</v>
      </c>
      <c r="C22" s="31">
        <f>+'COLOMBIA USD'!C22+'EL SALVADOR USD'!C22+'VENEZUELA USD'!C22+'PANAMA USD'!C22</f>
        <v>36741.813953488374</v>
      </c>
      <c r="D22" s="33">
        <f t="shared" si="13"/>
        <v>0.14835306666055689</v>
      </c>
      <c r="E22" s="31">
        <f>+'COLOMBIA USD'!E22+'EL SALVADOR USD'!E22+'VENEZUELA USD'!E22+'PANAMA USD'!E22</f>
        <v>41288.689192690588</v>
      </c>
      <c r="F22" s="33">
        <f>+E22/$E$20</f>
        <v>0.15967684200308743</v>
      </c>
      <c r="G22" s="33">
        <f>IF(C22=0,"",(E22-C22)/ABS(C22)+1)</f>
        <v>1.1237520620227985</v>
      </c>
      <c r="H22" s="31">
        <f>+'COLOMBIA USD'!H22+'EL SALVADOR USD'!H22+'VENEZUELA USD'!H22+'PANAMA USD'!H22</f>
        <v>12891.220201574828</v>
      </c>
      <c r="I22" s="33">
        <f t="shared" ref="I22:I46" si="16">+H22/$H$20</f>
        <v>6.4858423717933669E-2</v>
      </c>
      <c r="J22" s="33">
        <f>IF(H22=0,"",(E22-H22)/ABS(H22))</f>
        <v>2.2028534573978225</v>
      </c>
      <c r="K22" s="31">
        <f>+'COLOMBIA USD'!K22+'EL SALVADOR USD'!K22+'VENEZUELA USD'!K22+'PANAMA USD'!K22</f>
        <v>57993.813953488367</v>
      </c>
      <c r="L22" s="33">
        <f t="shared" si="5"/>
        <v>0.12151970213094419</v>
      </c>
      <c r="M22" s="31">
        <f>+'COLOMBIA USD'!M22+'EL SALVADOR USD'!M22+'VENEZUELA USD'!M22+'PANAMA USD'!M22</f>
        <v>68547.345554866319</v>
      </c>
      <c r="N22" s="33">
        <f>+M22/$M$20</f>
        <v>0.13318547892318394</v>
      </c>
      <c r="O22" s="33">
        <f>IF(K22=0,"",(M22-K22)/ABS(K22)+1)</f>
        <v>1.1819768503213461</v>
      </c>
      <c r="P22" s="31">
        <f>+'COLOMBIA USD'!P22+'EL SALVADOR USD'!P22+'VENEZUELA USD'!P22+'PANAMA USD'!P22</f>
        <v>32354.416988690005</v>
      </c>
      <c r="Q22" s="33">
        <f t="shared" si="8"/>
        <v>7.781038648970065E-2</v>
      </c>
      <c r="R22" s="33">
        <f>IF(P22=0,"",(M22-P22)/ABS(P22))</f>
        <v>1.118639491443413</v>
      </c>
      <c r="V22" s="3" t="s">
        <v>49</v>
      </c>
      <c r="W22" s="31">
        <f>'COLOMBIA USD'!W28+'EL SALVADOR USD'!V28+'VENEZUELA USD'!W23+'PANAMA USD'!U28</f>
        <v>0</v>
      </c>
      <c r="X22" s="31">
        <f>'COLOMBIA USD'!Y28+'EL SALVADOR USD'!X28+'VENEZUELA USD'!X23+'PANAMA USD'!W28</f>
        <v>0</v>
      </c>
      <c r="Y22" s="31">
        <f>'COLOMBIA USD'!X28+'EL SALVADOR USD'!W28+'VENEZUELA USD'!Y23+'PANAMA USD'!V28</f>
        <v>0</v>
      </c>
      <c r="Z22" s="31">
        <f>'COLOMBIA USD'!Z28+'EL SALVADOR USD'!Y28+'VENEZUELA USD'!Z23+'PANAMA USD'!X28</f>
        <v>0</v>
      </c>
      <c r="AA22" s="31" t="e">
        <f>'COLOMBIA USD'!AD28+'EL SALVADOR USD'!AC28+'VENEZUELA USD'!AA23+'PANAMA USD'!AB28</f>
        <v>#VALUE!</v>
      </c>
      <c r="AB22" s="31">
        <f>'COLOMBIA USD'!AA28+'EL SALVADOR USD'!Z28+'VENEZUELA USD'!AB23+'PANAMA USD'!Y28</f>
        <v>0</v>
      </c>
      <c r="AC22" s="62">
        <f t="shared" si="15"/>
        <v>0</v>
      </c>
      <c r="AD22" s="67" t="str">
        <f t="shared" si="11"/>
        <v/>
      </c>
      <c r="AE22" s="67" t="e">
        <f t="shared" si="10"/>
        <v>#VALUE!</v>
      </c>
      <c r="AF22" s="54"/>
      <c r="AG22" s="54">
        <f>+'COLOMBIA USD'!Y28+'EL SALVADOR USD'!X28+'VENEZUELA USD'!X23+'PANAMA USD'!W28</f>
        <v>0</v>
      </c>
      <c r="AH22" s="54">
        <f>+'COLOMBIA USD'!X28+'EL SALVADOR USD'!W28+'VENEZUELA USD'!Y23+'PANAMA USD'!V28</f>
        <v>0</v>
      </c>
      <c r="AI22" s="54" t="e">
        <f>+'COLOMBIA USD'!AB28+'EL SALVADOR USD'!AA28+'VENEZUELA USD'!AC23+'PANAMA USD'!Z28</f>
        <v>#VALUE!</v>
      </c>
      <c r="AK22" s="54">
        <f>+'COLOMBIA USD'!AA28+'EL SALVADOR USD'!Z28+'VENEZUELA USD'!AB23+'PANAMA USD'!Y28</f>
        <v>0</v>
      </c>
    </row>
    <row r="23" spans="2:37" x14ac:dyDescent="0.2">
      <c r="B23" s="3"/>
      <c r="C23" s="31"/>
      <c r="D23" s="33"/>
      <c r="E23" s="31"/>
      <c r="F23" s="33"/>
      <c r="G23" s="33"/>
      <c r="H23" s="31"/>
      <c r="I23" s="33"/>
      <c r="J23" s="33"/>
      <c r="K23" s="31"/>
      <c r="L23" s="33"/>
      <c r="M23" s="31"/>
      <c r="N23" s="33"/>
      <c r="O23" s="33"/>
      <c r="P23" s="31"/>
      <c r="Q23" s="33"/>
      <c r="R23" s="33"/>
      <c r="V23" s="3" t="s">
        <v>51</v>
      </c>
      <c r="W23" s="31">
        <f>W18-W19-W20-W21-W22</f>
        <v>17164.746020328726</v>
      </c>
      <c r="X23" s="31">
        <f t="shared" ref="X23:AB23" si="17">X18-X19-X20-X21-X22</f>
        <v>32963.195690224849</v>
      </c>
      <c r="Y23" s="31">
        <f t="shared" si="17"/>
        <v>11730.119122803677</v>
      </c>
      <c r="Z23" s="31">
        <f t="shared" si="17"/>
        <v>17106.20542423414</v>
      </c>
      <c r="AA23" s="31" t="e">
        <f t="shared" si="17"/>
        <v>#VALUE!</v>
      </c>
      <c r="AB23" s="31">
        <f t="shared" si="17"/>
        <v>30632.223587461209</v>
      </c>
      <c r="AC23" s="62">
        <f t="shared" ref="AC23" si="18">Y23-W23</f>
        <v>-5434.6268975250496</v>
      </c>
      <c r="AD23" s="67">
        <f t="shared" ref="AD23" si="19">IF(W23=0,"",(Y23-W23)/ABS(W23)+1)</f>
        <v>0.68338436868866825</v>
      </c>
      <c r="AE23" s="67">
        <f t="shared" ref="AE23" si="20">IF(X23=0,"",(Y23-X23)/ABS(X23))</f>
        <v>-0.64414496600879589</v>
      </c>
      <c r="AF23" s="54"/>
      <c r="AG23" s="54">
        <f>+'COLOMBIA USD'!Y30+'EL SALVADOR USD'!X30+'VENEZUELA USD'!X24+'PANAMA USD'!W30</f>
        <v>39043.668454870276</v>
      </c>
      <c r="AH23" s="54">
        <f>+'COLOMBIA USD'!X30+'EL SALVADOR USD'!W30+'VENEZUELA USD'!Y24+'PANAMA USD'!V30</f>
        <v>32692.786132053428</v>
      </c>
      <c r="AI23" s="54">
        <f>+'COLOMBIA USD'!AB30+'EL SALVADOR USD'!AA30+'VENEZUELA USD'!AC24+'PANAMA USD'!Z30</f>
        <v>10952.246323556083</v>
      </c>
      <c r="AK23" s="54">
        <f>+'COLOMBIA USD'!AA30+'EL SALVADOR USD'!Z30+'VENEZUELA USD'!AB24+'PANAMA USD'!Y30</f>
        <v>32693.061203083085</v>
      </c>
    </row>
    <row r="24" spans="2:37" x14ac:dyDescent="0.2">
      <c r="B24" s="3" t="s">
        <v>43</v>
      </c>
      <c r="C24" s="31">
        <f>+C20-C22</f>
        <v>210922.86046511628</v>
      </c>
      <c r="D24" s="33">
        <f t="shared" si="13"/>
        <v>0.85164693333944319</v>
      </c>
      <c r="E24" s="31">
        <f>+E20-E22</f>
        <v>217287.87504003796</v>
      </c>
      <c r="F24" s="33">
        <f>+E24/$E$20</f>
        <v>0.84032315799691248</v>
      </c>
      <c r="G24" s="33">
        <f>IF(C24=0,"",(E24-C24)/ABS(C24)+1)</f>
        <v>1.0301769782606109</v>
      </c>
      <c r="H24" s="31">
        <f>+H20-H22</f>
        <v>185868.16158109318</v>
      </c>
      <c r="I24" s="33">
        <f t="shared" si="16"/>
        <v>0.9351415762820664</v>
      </c>
      <c r="J24" s="33">
        <f>IF(H24=0,"",(E24-H24)/ABS(H24))</f>
        <v>0.16904300979614814</v>
      </c>
      <c r="K24" s="31">
        <f>+K20-K22</f>
        <v>419244.13953488367</v>
      </c>
      <c r="L24" s="33">
        <f t="shared" si="5"/>
        <v>0.87848029786905579</v>
      </c>
      <c r="M24" s="31">
        <f>+M20-M22</f>
        <v>446128.47427982971</v>
      </c>
      <c r="N24" s="33">
        <f>+M24/$M$20</f>
        <v>0.86681452107681611</v>
      </c>
      <c r="O24" s="33">
        <f>IF(K24=0,"",(M24-K24)/ABS(K24)+1)</f>
        <v>1.0641257258235546</v>
      </c>
      <c r="P24" s="31">
        <f>+P20-P22</f>
        <v>383456.61349594314</v>
      </c>
      <c r="Q24" s="33">
        <f t="shared" si="8"/>
        <v>0.92218961351029927</v>
      </c>
      <c r="R24" s="33">
        <f>IF(P24=0,"",(M24-P24)/ABS(P24))</f>
        <v>0.1634392486088902</v>
      </c>
      <c r="W24" s="54">
        <f>+'COLOMBIA USD'!W30+'EL SALVADOR USD'!V30+'VENEZUELA USD'!W24+'PANAMA USD'!U30</f>
        <v>21740.81487952701</v>
      </c>
      <c r="X24" s="54">
        <f>+'COLOMBIA USD'!Y30+'EL SALVADOR USD'!X30+'VENEZUELA USD'!X24+'PANAMA USD'!W30</f>
        <v>39043.668454870276</v>
      </c>
      <c r="Y24" s="54">
        <f>+'COLOMBIA USD'!X30+'EL SALVADOR USD'!W30+'VENEZUELA USD'!Y24+'PANAMA USD'!V30</f>
        <v>32692.786132053428</v>
      </c>
      <c r="Z24" s="54">
        <f>+'COLOMBIA USD'!Z30+'EL SALVADOR USD'!Y30+'VENEZUELA USD'!Z24+'PANAMA USD'!X30</f>
        <v>21740.814879527003</v>
      </c>
      <c r="AA24" s="54">
        <f>+'COLOMBIA USD'!AD30+'EL SALVADOR USD'!AC30+'VENEZUELA USD'!AA24+'PANAMA USD'!AB30</f>
        <v>39043.665882149828</v>
      </c>
      <c r="AB24" s="54">
        <f>+'COLOMBIA USD'!AA30+'EL SALVADOR USD'!Z30+'VENEZUELA USD'!AB24+'PANAMA USD'!Y30</f>
        <v>32693.061203083085</v>
      </c>
      <c r="AC24" s="54">
        <f>+'COLOMBIA USD'!AB30+'EL SALVADOR USD'!AA30+'VENEZUELA USD'!AC24+'PANAMA USD'!Z30</f>
        <v>10952.246323556083</v>
      </c>
      <c r="AE24" s="54"/>
      <c r="AF24" s="54"/>
      <c r="AK24" s="54" t="e">
        <f>+'COLOMBIA USD'!#REF!+'EL SALVADOR USD'!Z31+'VENEZUELA USD'!AB25+'PANAMA USD'!#REF!</f>
        <v>#REF!</v>
      </c>
    </row>
    <row r="25" spans="2:37" x14ac:dyDescent="0.2">
      <c r="B25" s="3"/>
      <c r="C25" s="31"/>
      <c r="D25" s="33"/>
      <c r="E25" s="31"/>
      <c r="F25" s="33"/>
      <c r="G25" s="33"/>
      <c r="H25" s="31"/>
      <c r="I25" s="33"/>
      <c r="J25" s="33"/>
      <c r="K25" s="31"/>
      <c r="L25" s="33"/>
      <c r="M25" s="31"/>
      <c r="N25" s="33"/>
      <c r="O25" s="33"/>
      <c r="P25" s="31"/>
      <c r="Q25" s="33"/>
      <c r="R25" s="33"/>
      <c r="AB25" s="54"/>
      <c r="AE25" s="54"/>
      <c r="AF25" s="54"/>
      <c r="AK25" s="54" t="e">
        <f>+'COLOMBIA USD'!#REF!+'EL SALVADOR USD'!AA32+'VENEZUELA USD'!AB26+'PANAMA USD'!#REF!</f>
        <v>#REF!</v>
      </c>
    </row>
    <row r="26" spans="2:37" x14ac:dyDescent="0.2">
      <c r="B26" s="3" t="s">
        <v>45</v>
      </c>
      <c r="C26" s="31">
        <f>+'COLOMBIA USD'!C26+'EL SALVADOR USD'!C26+'VENEZUELA USD'!C26+'PANAMA USD'!C26</f>
        <v>73632.883720930244</v>
      </c>
      <c r="D26" s="33">
        <f t="shared" si="13"/>
        <v>0.29730878613909795</v>
      </c>
      <c r="E26" s="31">
        <f>+'COLOMBIA USD'!E26+'EL SALVADOR USD'!E26+'VENEZUELA USD'!E26+'PANAMA USD'!E26</f>
        <v>62541.504459382886</v>
      </c>
      <c r="F26" s="33">
        <f>+E26/$E$20</f>
        <v>0.24186841775456958</v>
      </c>
      <c r="G26" s="33">
        <f>IF(C26=0,"",(E26-C26)/ABS(C26)+1)</f>
        <v>0.84936921248957387</v>
      </c>
      <c r="H26" s="31">
        <f>+'COLOMBIA USD'!H26+'EL SALVADOR USD'!H26+'VENEZUELA USD'!H26+'PANAMA USD'!H26</f>
        <v>43273.298279187919</v>
      </c>
      <c r="I26" s="33">
        <f t="shared" si="16"/>
        <v>0.21771700983908671</v>
      </c>
      <c r="J26" s="33">
        <f>IF(H26=0,"",(E26-H26)/ABS(H26))</f>
        <v>0.44526779668796168</v>
      </c>
      <c r="K26" s="31">
        <f>+'COLOMBIA USD'!K26+'EL SALVADOR USD'!K26+'VENEZUELA USD'!K26+'PANAMA USD'!K26</f>
        <v>123445.93023255814</v>
      </c>
      <c r="L26" s="33">
        <f t="shared" si="5"/>
        <v>0.2586674620705034</v>
      </c>
      <c r="M26" s="31">
        <f>+'COLOMBIA USD'!M26+'EL SALVADOR USD'!M26+'VENEZUELA USD'!M26+'PANAMA USD'!M26</f>
        <v>104071.02675198101</v>
      </c>
      <c r="N26" s="33">
        <f>+M26/$M$20</f>
        <v>0.20220694802683101</v>
      </c>
      <c r="O26" s="33">
        <f>IF(K26=0,"",(M26-K26)/ABS(K26)+1)</f>
        <v>0.84304947563619959</v>
      </c>
      <c r="P26" s="31">
        <f>+'COLOMBIA USD'!P26+'EL SALVADOR USD'!P26+'VENEZUELA USD'!P26+'PANAMA USD'!P26</f>
        <v>79794.093384716136</v>
      </c>
      <c r="Q26" s="33">
        <f t="shared" si="8"/>
        <v>0.19189989570915203</v>
      </c>
      <c r="R26" s="33">
        <f>IF(P26=0,"",(M26-P26)/ABS(P26))</f>
        <v>0.30424474215424713</v>
      </c>
      <c r="W26" s="54"/>
      <c r="X26" s="54"/>
      <c r="Y26" s="54"/>
      <c r="Z26" s="54"/>
      <c r="AA26" s="54"/>
      <c r="AB26" s="54"/>
      <c r="AC26" s="54"/>
      <c r="AF26" s="54"/>
      <c r="AK26" s="54" t="e">
        <f>+'COLOMBIA USD'!#REF!+'EL SALVADOR USD'!AB33+'VENEZUELA USD'!AB27+'PANAMA USD'!#REF!</f>
        <v>#REF!</v>
      </c>
    </row>
    <row r="27" spans="2:37" x14ac:dyDescent="0.2">
      <c r="B27" s="3" t="s">
        <v>46</v>
      </c>
      <c r="C27" s="31">
        <f>+'COLOMBIA USD'!C27+'EL SALVADOR USD'!C27+'VENEZUELA USD'!C27+'PANAMA USD'!C27</f>
        <v>83835.325581395344</v>
      </c>
      <c r="D27" s="33">
        <f t="shared" si="13"/>
        <v>0.3385033645924661</v>
      </c>
      <c r="E27" s="31">
        <f>+'COLOMBIA USD'!E27+'EL SALVADOR USD'!E27+'VENEZUELA USD'!E27+'PANAMA USD'!E27</f>
        <v>89717.728944351693</v>
      </c>
      <c r="F27" s="33">
        <f>+E27/$E$20</f>
        <v>0.34696775096602483</v>
      </c>
      <c r="G27" s="33">
        <f>IF(C27=0,"",(E27-C27)/ABS(C27)+1)</f>
        <v>1.0701661658991848</v>
      </c>
      <c r="H27" s="31">
        <f>+'COLOMBIA USD'!H27+'EL SALVADOR USD'!H27+'VENEZUELA USD'!H27+'PANAMA USD'!H27</f>
        <v>66593.36528129653</v>
      </c>
      <c r="I27" s="33">
        <f t="shared" si="16"/>
        <v>0.33504514194007989</v>
      </c>
      <c r="J27" s="33">
        <f>IF(H27=0,"",(E27-H27)/ABS(H27))</f>
        <v>0.34724726052476418</v>
      </c>
      <c r="K27" s="31">
        <f>+'COLOMBIA USD'!K27+'EL SALVADOR USD'!K27+'VENEZUELA USD'!K27+'PANAMA USD'!K27</f>
        <v>163000.5581395349</v>
      </c>
      <c r="L27" s="33">
        <f t="shared" si="5"/>
        <v>0.34154986406274251</v>
      </c>
      <c r="M27" s="31">
        <f>+'COLOMBIA USD'!M27+'EL SALVADOR USD'!M27+'VENEZUELA USD'!M27+'PANAMA USD'!M27</f>
        <v>172171.95820429214</v>
      </c>
      <c r="N27" s="33">
        <f>+M27/$M$20</f>
        <v>0.33452505746158906</v>
      </c>
      <c r="O27" s="33">
        <f>IF(K27=0,"",(M27-K27)/ABS(K27)+1)</f>
        <v>1.0562660654014826</v>
      </c>
      <c r="P27" s="31">
        <f>+'COLOMBIA USD'!P27+'EL SALVADOR USD'!P27+'VENEZUELA USD'!P27+'PANAMA USD'!P27</f>
        <v>126889.75857486564</v>
      </c>
      <c r="Q27" s="33">
        <f t="shared" si="8"/>
        <v>0.30516207909870496</v>
      </c>
      <c r="R27" s="33">
        <f>IF(P27=0,"",(M27-P27)/ABS(P27))</f>
        <v>0.35686252490353471</v>
      </c>
      <c r="W27" s="54"/>
      <c r="X27" s="54"/>
      <c r="Y27" s="54"/>
      <c r="Z27" s="54"/>
      <c r="AA27" s="54"/>
      <c r="AB27" s="54"/>
      <c r="AC27" s="54"/>
      <c r="AF27" s="54"/>
    </row>
    <row r="28" spans="2:37" x14ac:dyDescent="0.2">
      <c r="B28" s="3" t="s">
        <v>48</v>
      </c>
      <c r="C28" s="31">
        <f>SUM(C26:C27)</f>
        <v>157468.20930232559</v>
      </c>
      <c r="D28" s="33">
        <f t="shared" si="13"/>
        <v>0.63581215073156405</v>
      </c>
      <c r="E28" s="31">
        <f>SUM(E26:E27)</f>
        <v>152259.23340373457</v>
      </c>
      <c r="F28" s="33">
        <f>+E28/$E$20</f>
        <v>0.58883616872059441</v>
      </c>
      <c r="G28" s="33">
        <f>IF(C28=0,"",(E28-C28)/ABS(C28)+1)</f>
        <v>0.96692046018895006</v>
      </c>
      <c r="H28" s="31">
        <f>SUM(H26:H27)</f>
        <v>109866.66356048445</v>
      </c>
      <c r="I28" s="33">
        <f t="shared" si="16"/>
        <v>0.55276215177916654</v>
      </c>
      <c r="J28" s="33">
        <f>IF(H28=0,"",(E28-H28)/ABS(H28))</f>
        <v>0.38585471215217082</v>
      </c>
      <c r="K28" s="31">
        <f>SUM(K26:K27)</f>
        <v>286446.48837209307</v>
      </c>
      <c r="L28" s="33">
        <f t="shared" si="5"/>
        <v>0.60021732613324597</v>
      </c>
      <c r="M28" s="31">
        <f>SUM(M26:M27)</f>
        <v>276242.98495627317</v>
      </c>
      <c r="N28" s="33">
        <f>+M28/$M$20</f>
        <v>0.53673200548842004</v>
      </c>
      <c r="O28" s="33">
        <f>IF(K28=0,"",(M28-K28)/ABS(K28)+1)</f>
        <v>0.96437902425054145</v>
      </c>
      <c r="P28" s="31">
        <f>SUM(P26:P27)</f>
        <v>206683.85195958178</v>
      </c>
      <c r="Q28" s="33">
        <f t="shared" si="8"/>
        <v>0.49706197480785697</v>
      </c>
      <c r="R28" s="33">
        <f>IF(P28=0,"",(M28-P28)/ABS(P28))</f>
        <v>0.33654846441653352</v>
      </c>
      <c r="W28" s="54"/>
      <c r="X28" s="54"/>
      <c r="Y28" s="54"/>
      <c r="Z28" s="54"/>
      <c r="AA28" s="54"/>
      <c r="AB28" s="54"/>
      <c r="AC28" s="54"/>
      <c r="AD28" s="54"/>
      <c r="AE28" s="54"/>
    </row>
    <row r="29" spans="2:37" x14ac:dyDescent="0.2">
      <c r="B29" s="3"/>
      <c r="C29" s="31"/>
      <c r="D29" s="33"/>
      <c r="E29" s="31"/>
      <c r="F29" s="33"/>
      <c r="G29" s="33"/>
      <c r="H29" s="31"/>
      <c r="I29" s="33"/>
      <c r="J29" s="33"/>
      <c r="K29" s="31"/>
      <c r="L29" s="33"/>
      <c r="M29" s="31"/>
      <c r="N29" s="33"/>
      <c r="O29" s="33"/>
      <c r="P29" s="31"/>
      <c r="Q29" s="33"/>
      <c r="R29" s="33"/>
      <c r="W29" s="54"/>
      <c r="X29" s="54"/>
      <c r="Y29" s="54"/>
      <c r="Z29" s="54"/>
      <c r="AA29" s="54"/>
      <c r="AB29" s="54"/>
      <c r="AC29" s="54"/>
    </row>
    <row r="30" spans="2:37" x14ac:dyDescent="0.2">
      <c r="B30" s="3" t="s">
        <v>50</v>
      </c>
      <c r="C30" s="31">
        <f>+'COLOMBIA USD'!C30+'EL SALVADOR USD'!C30+'VENEZUELA USD'!C30+'PANAMA USD'!C30</f>
        <v>22134.511627906977</v>
      </c>
      <c r="D30" s="33">
        <f t="shared" si="13"/>
        <v>8.9372905844840284E-2</v>
      </c>
      <c r="E30" s="31">
        <f>+'COLOMBIA USD'!E30+'EL SALVADOR USD'!E30+'VENEZUELA USD'!E30+'PANAMA USD'!E30</f>
        <v>23742.473076852879</v>
      </c>
      <c r="F30" s="33">
        <f>+E30/$E$20</f>
        <v>9.1819895384965225E-2</v>
      </c>
      <c r="G30" s="33">
        <f>IF(C30=0,"",(E30-C30)/ABS(C30)+1)</f>
        <v>1.072644993301709</v>
      </c>
      <c r="H30" s="31">
        <f>+'COLOMBIA USD'!H30+'EL SALVADOR USD'!H30+'VENEZUELA USD'!H30+'PANAMA USD'!H30</f>
        <v>20155.814725772587</v>
      </c>
      <c r="I30" s="33">
        <f t="shared" si="16"/>
        <v>0.10140811741813434</v>
      </c>
      <c r="J30" s="33">
        <f>IF(H30=0,"",(E30-H30)/ABS(H30))</f>
        <v>0.17794658265508603</v>
      </c>
      <c r="K30" s="31">
        <f>+'COLOMBIA USD'!K30+'EL SALVADOR USD'!K30+'VENEZUELA USD'!K30+'PANAMA USD'!K30</f>
        <v>41542.279069767443</v>
      </c>
      <c r="L30" s="33">
        <f t="shared" si="5"/>
        <v>8.7047307880930361E-2</v>
      </c>
      <c r="M30" s="31">
        <f>+'COLOMBIA USD'!M30+'EL SALVADOR USD'!M30+'VENEZUELA USD'!M30+'PANAMA USD'!M30</f>
        <v>46913.734536657168</v>
      </c>
      <c r="N30" s="33">
        <f>+M30/$M$20</f>
        <v>9.1152008174242488E-2</v>
      </c>
      <c r="O30" s="33">
        <f>IF(K30=0,"",(M30-K30)/ABS(K30)+1)</f>
        <v>1.1293009335830788</v>
      </c>
      <c r="P30" s="31">
        <f>+'COLOMBIA USD'!P30+'EL SALVADOR USD'!P30+'VENEZUELA USD'!P30+'PANAMA USD'!P30</f>
        <v>39844.668296084579</v>
      </c>
      <c r="Q30" s="33">
        <f t="shared" si="8"/>
        <v>9.5823981027259184E-2</v>
      </c>
      <c r="R30" s="33">
        <f>IF(P30=0,"",(M30-P30)/ABS(P30))</f>
        <v>0.17741561275005635</v>
      </c>
      <c r="W30" s="54"/>
      <c r="X30" s="54"/>
      <c r="Y30" s="54"/>
      <c r="Z30" s="54"/>
      <c r="AA30" s="54"/>
      <c r="AB30" s="54"/>
      <c r="AC30" s="54"/>
    </row>
    <row r="31" spans="2:37" x14ac:dyDescent="0.2">
      <c r="B31" s="3" t="s">
        <v>52</v>
      </c>
      <c r="C31" s="31">
        <f>+'COLOMBIA USD'!C31+'EL SALVADOR USD'!C31+'VENEZUELA USD'!C31+'PANAMA USD'!C31</f>
        <v>0</v>
      </c>
      <c r="D31" s="33">
        <f t="shared" si="13"/>
        <v>0</v>
      </c>
      <c r="E31" s="31">
        <f>+'COLOMBIA USD'!E31+'EL SALVADOR USD'!E31+'VENEZUELA USD'!E31+'PANAMA USD'!E31</f>
        <v>918.62795477903387</v>
      </c>
      <c r="F31" s="33">
        <f>+E31/$E$20</f>
        <v>3.5526342362265841E-3</v>
      </c>
      <c r="G31" s="33" t="str">
        <f>IF(C31=0,"",(E31-C31)/ABS(C31)+1)</f>
        <v/>
      </c>
      <c r="H31" s="31">
        <f>+'COLOMBIA USD'!H31+'EL SALVADOR USD'!H31+'VENEZUELA USD'!H31+'PANAMA USD'!H31</f>
        <v>938.5244482907832</v>
      </c>
      <c r="I31" s="33">
        <f t="shared" si="16"/>
        <v>4.7219126960105252E-3</v>
      </c>
      <c r="J31" s="33">
        <f>IF(H31=0,"",(E31-H31)/ABS(H31))</f>
        <v>-2.1199760483580705E-2</v>
      </c>
      <c r="K31" s="31">
        <f>+'COLOMBIA USD'!K31+'EL SALVADOR USD'!K31+'VENEZUELA USD'!K31+'PANAMA USD'!K31</f>
        <v>0</v>
      </c>
      <c r="L31" s="33">
        <f t="shared" si="5"/>
        <v>0</v>
      </c>
      <c r="M31" s="31">
        <f>+'COLOMBIA USD'!M31+'EL SALVADOR USD'!M31+'VENEZUELA USD'!M31+'PANAMA USD'!M31</f>
        <v>1798.9465570400821</v>
      </c>
      <c r="N31" s="33">
        <f>+M31/$M$20</f>
        <v>3.4953003185925254E-3</v>
      </c>
      <c r="O31" s="33" t="str">
        <f>IF(K31=0,"",(M31-K31)/ABS(K31)+1)</f>
        <v/>
      </c>
      <c r="P31" s="31">
        <f>+'COLOMBIA USD'!P31+'EL SALVADOR USD'!P31+'VENEZUELA USD'!P31+'PANAMA USD'!P31</f>
        <v>1593.8900908697535</v>
      </c>
      <c r="Q31" s="33">
        <f t="shared" si="8"/>
        <v>3.8332078132031606E-3</v>
      </c>
      <c r="R31" s="33">
        <f>IF(P31=0,"",(M31-P31)/ABS(P31))</f>
        <v>0.12865157224136667</v>
      </c>
      <c r="W31" s="54"/>
      <c r="X31" s="54"/>
      <c r="Y31" s="54"/>
      <c r="Z31" s="54"/>
      <c r="AA31" s="54"/>
      <c r="AB31" s="54"/>
      <c r="AC31" s="54"/>
    </row>
    <row r="32" spans="2:37" x14ac:dyDescent="0.2">
      <c r="B32" s="3" t="s">
        <v>53</v>
      </c>
      <c r="C32" s="31">
        <f>SUM(C30:C31)</f>
        <v>22134.511627906977</v>
      </c>
      <c r="D32" s="33">
        <f t="shared" si="13"/>
        <v>8.9372905844840284E-2</v>
      </c>
      <c r="E32" s="31">
        <f>SUM(E30:E31)</f>
        <v>24661.101031631912</v>
      </c>
      <c r="F32" s="33">
        <f>+E32/$E$20</f>
        <v>9.5372529621191818E-2</v>
      </c>
      <c r="G32" s="33">
        <f>IF(C32=0,"",(E32-C32)/ABS(C32)+1)</f>
        <v>1.1141470589547335</v>
      </c>
      <c r="H32" s="31">
        <f>SUM(H30:H31)</f>
        <v>21094.339174063371</v>
      </c>
      <c r="I32" s="33">
        <f t="shared" si="16"/>
        <v>0.10613003011414486</v>
      </c>
      <c r="J32" s="33">
        <f>IF(H32=0,"",(E32-H32)/ABS(H32))</f>
        <v>0.16908620972370006</v>
      </c>
      <c r="K32" s="31">
        <f>SUM(K30:K31)</f>
        <v>41542.279069767443</v>
      </c>
      <c r="L32" s="33">
        <f t="shared" si="5"/>
        <v>8.7047307880930361E-2</v>
      </c>
      <c r="M32" s="31">
        <f>SUM(M30:M31)</f>
        <v>48712.681093697247</v>
      </c>
      <c r="N32" s="33">
        <f>+M32/$M$20</f>
        <v>9.4647308492835008E-2</v>
      </c>
      <c r="O32" s="33">
        <f>IF(K32=0,"",(M32-K32)/ABS(K32)+1)</f>
        <v>1.1726049264626912</v>
      </c>
      <c r="P32" s="31">
        <f>SUM(P30:P31)</f>
        <v>41438.558386954333</v>
      </c>
      <c r="Q32" s="33">
        <f t="shared" si="8"/>
        <v>9.9657188840462346E-2</v>
      </c>
      <c r="R32" s="33">
        <f>IF(P32=0,"",(M32-P32)/ABS(P32))</f>
        <v>0.17553995577782816</v>
      </c>
      <c r="W32" s="54"/>
      <c r="X32" s="54"/>
      <c r="Y32" s="54"/>
      <c r="Z32" s="54"/>
      <c r="AA32" s="54"/>
      <c r="AB32" s="54"/>
      <c r="AC32" s="54"/>
    </row>
    <row r="33" spans="2:29" x14ac:dyDescent="0.2">
      <c r="B33" s="3"/>
      <c r="C33" s="31"/>
      <c r="D33" s="33"/>
      <c r="E33" s="31"/>
      <c r="F33" s="33"/>
      <c r="G33" s="33"/>
      <c r="H33" s="31"/>
      <c r="I33" s="33"/>
      <c r="J33" s="33"/>
      <c r="K33" s="31"/>
      <c r="L33" s="33"/>
      <c r="M33" s="31"/>
      <c r="N33" s="33"/>
      <c r="O33" s="33"/>
      <c r="P33" s="31"/>
      <c r="Q33" s="33"/>
      <c r="R33" s="33"/>
      <c r="W33" s="54"/>
      <c r="X33" s="54"/>
      <c r="Y33" s="54"/>
      <c r="Z33" s="54"/>
      <c r="AA33" s="54"/>
      <c r="AB33" s="54"/>
      <c r="AC33" s="54"/>
    </row>
    <row r="34" spans="2:29" x14ac:dyDescent="0.2">
      <c r="B34" s="3" t="s">
        <v>54</v>
      </c>
      <c r="C34" s="31">
        <f>C28+C32</f>
        <v>179602.72093023255</v>
      </c>
      <c r="D34" s="33">
        <f t="shared" si="13"/>
        <v>0.72518505657640431</v>
      </c>
      <c r="E34" s="31">
        <f>E28+E32</f>
        <v>176920.33443536647</v>
      </c>
      <c r="F34" s="33">
        <f>+E34/$E$20</f>
        <v>0.68420869834178621</v>
      </c>
      <c r="G34" s="33">
        <f>IF(C34=0,"",(E34-C34)/ABS(C34)+1)</f>
        <v>0.98506488943500992</v>
      </c>
      <c r="H34" s="31">
        <f>H28+H32</f>
        <v>130961.00273454782</v>
      </c>
      <c r="I34" s="33">
        <f t="shared" si="16"/>
        <v>0.65889218189331145</v>
      </c>
      <c r="J34" s="33">
        <f>IF(H34=0,"",(E34-H34)/ABS(H34))</f>
        <v>0.35093906385228429</v>
      </c>
      <c r="K34" s="31">
        <f>K28+K32</f>
        <v>327988.76744186052</v>
      </c>
      <c r="L34" s="33">
        <f t="shared" si="5"/>
        <v>0.68726463401417637</v>
      </c>
      <c r="M34" s="31">
        <f>M28+M32</f>
        <v>324955.66604997043</v>
      </c>
      <c r="N34" s="33">
        <f>+M34/$M$20</f>
        <v>0.63137931398125513</v>
      </c>
      <c r="O34" s="33">
        <f>IF(K34=0,"",(M34-K34)/ABS(K34)+1)</f>
        <v>0.99075242297000998</v>
      </c>
      <c r="P34" s="31">
        <f>P28+P32</f>
        <v>248122.41034653611</v>
      </c>
      <c r="Q34" s="33">
        <f t="shared" si="8"/>
        <v>0.59671916364831934</v>
      </c>
      <c r="R34" s="33">
        <f>IF(P34=0,"",(M34-P34)/ABS(P34))</f>
        <v>0.30965867047690859</v>
      </c>
      <c r="W34" s="54"/>
      <c r="X34" s="54"/>
      <c r="Y34" s="54"/>
      <c r="Z34" s="54"/>
      <c r="AA34" s="54"/>
      <c r="AB34" s="54"/>
      <c r="AC34" s="54"/>
    </row>
    <row r="35" spans="2:29" x14ac:dyDescent="0.2">
      <c r="B35" s="3"/>
      <c r="C35" s="31"/>
      <c r="D35" s="33"/>
      <c r="E35" s="31"/>
      <c r="F35" s="33"/>
      <c r="G35" s="33"/>
      <c r="H35" s="31"/>
      <c r="I35" s="33"/>
      <c r="J35" s="33"/>
      <c r="K35" s="31"/>
      <c r="L35" s="33"/>
      <c r="M35" s="31"/>
      <c r="N35" s="33"/>
      <c r="O35" s="33"/>
      <c r="P35" s="31"/>
      <c r="Q35" s="33"/>
      <c r="R35" s="33"/>
      <c r="W35" s="54"/>
      <c r="X35" s="54"/>
      <c r="Y35" s="54"/>
      <c r="Z35" s="54"/>
      <c r="AA35" s="54"/>
      <c r="AB35" s="54"/>
      <c r="AC35" s="54"/>
    </row>
    <row r="36" spans="2:29" x14ac:dyDescent="0.2">
      <c r="B36" s="19" t="s">
        <v>55</v>
      </c>
      <c r="C36" s="68">
        <f>C24-C34</f>
        <v>31320.139534883725</v>
      </c>
      <c r="D36" s="44">
        <f t="shared" si="13"/>
        <v>0.12646187676303886</v>
      </c>
      <c r="E36" s="68">
        <f>E24-E34</f>
        <v>40367.540604671492</v>
      </c>
      <c r="F36" s="44">
        <f>+E36/$E$20</f>
        <v>0.15611445965512635</v>
      </c>
      <c r="G36" s="44">
        <f>IF(C36=0,"",(E36-C36)/ABS(C36)+1)</f>
        <v>1.2888684790088805</v>
      </c>
      <c r="H36" s="68">
        <f>H24-H34</f>
        <v>54907.158846545368</v>
      </c>
      <c r="I36" s="44">
        <f t="shared" si="16"/>
        <v>0.27624939438875495</v>
      </c>
      <c r="J36" s="44">
        <f>IF(H36=0,"",(E36-H36)/ABS(H36))</f>
        <v>-0.26480368948809074</v>
      </c>
      <c r="K36" s="68">
        <f>K24-K34</f>
        <v>91255.37209302315</v>
      </c>
      <c r="L36" s="44">
        <f t="shared" si="5"/>
        <v>0.19121566385487948</v>
      </c>
      <c r="M36" s="68">
        <f>+M24-M34</f>
        <v>121172.80822985928</v>
      </c>
      <c r="N36" s="44">
        <f>+M36/$M$20</f>
        <v>0.23543520709556096</v>
      </c>
      <c r="O36" s="44">
        <f>IF(K36=0,"",(M36-K36)/ABS(K36)+1)</f>
        <v>1.3278430129717638</v>
      </c>
      <c r="P36" s="68">
        <f>P24-P34</f>
        <v>135334.20314940703</v>
      </c>
      <c r="Q36" s="44">
        <f t="shared" si="8"/>
        <v>0.32547044986197998</v>
      </c>
      <c r="R36" s="44">
        <f>IF(P36=0,"",(M36-P36)/ABS(P36))</f>
        <v>-0.10464017661458257</v>
      </c>
      <c r="W36" s="54"/>
      <c r="X36" s="54"/>
      <c r="Y36" s="54"/>
      <c r="Z36" s="54"/>
      <c r="AA36" s="54"/>
      <c r="AB36" s="54"/>
      <c r="AC36" s="54"/>
    </row>
    <row r="37" spans="2:29" x14ac:dyDescent="0.2">
      <c r="B37" s="3"/>
      <c r="C37" s="31"/>
      <c r="D37" s="33"/>
      <c r="E37" s="31"/>
      <c r="F37" s="33"/>
      <c r="G37" s="33"/>
      <c r="H37" s="31"/>
      <c r="I37" s="33"/>
      <c r="J37" s="33"/>
      <c r="K37" s="31"/>
      <c r="L37" s="33"/>
      <c r="M37" s="31"/>
      <c r="N37" s="33"/>
      <c r="O37" s="33"/>
      <c r="P37" s="31"/>
      <c r="Q37" s="33"/>
      <c r="R37" s="33"/>
      <c r="W37" s="54"/>
      <c r="X37" s="54"/>
      <c r="Y37" s="54"/>
      <c r="Z37" s="54"/>
      <c r="AA37" s="54"/>
      <c r="AB37" s="54"/>
      <c r="AC37" s="54"/>
    </row>
    <row r="38" spans="2:29" x14ac:dyDescent="0.2">
      <c r="B38" s="3" t="s">
        <v>56</v>
      </c>
      <c r="C38" s="31">
        <f>+'COLOMBIA USD'!C38+'EL SALVADOR USD'!C38+'VENEZUELA USD'!C38+'PANAMA USD'!C38</f>
        <v>74.651162790697683</v>
      </c>
      <c r="D38" s="33">
        <f t="shared" si="13"/>
        <v>3.0142030939996609E-4</v>
      </c>
      <c r="E38" s="31">
        <f>+'COLOMBIA USD'!E38+'EL SALVADOR USD'!E38+'VENEZUELA USD'!E38+'PANAMA USD'!E38</f>
        <v>179.56664585716334</v>
      </c>
      <c r="F38" s="33">
        <f>+E38/$E$20</f>
        <v>6.944428486393943E-4</v>
      </c>
      <c r="G38" s="33">
        <f>IF(C38=0,"",(E38-C38)/ABS(C38)+1)</f>
        <v>2.4054098977750851</v>
      </c>
      <c r="H38" s="31">
        <f>+'COLOMBIA USD'!H38+'EL SALVADOR USD'!H38+'VENEZUELA USD'!H38+'PANAMA USD'!H38</f>
        <v>1660.368686015998</v>
      </c>
      <c r="I38" s="33">
        <f t="shared" si="16"/>
        <v>8.3536619561008496E-3</v>
      </c>
      <c r="J38" s="33">
        <f>IF(H38=0,"",(E38-H38)/ABS(H38))</f>
        <v>-0.8918513415908681</v>
      </c>
      <c r="K38" s="31">
        <f>+'COLOMBIA USD'!K38+'EL SALVADOR USD'!K38+'VENEZUELA USD'!K38+'PANAMA USD'!K38</f>
        <v>149.30232558139537</v>
      </c>
      <c r="L38" s="33">
        <f t="shared" si="5"/>
        <v>3.128467140764259E-4</v>
      </c>
      <c r="M38" s="31">
        <f>+'COLOMBIA USD'!M38+'EL SALVADOR USD'!M38+'VENEZUELA USD'!M38+'PANAMA USD'!M38</f>
        <v>490.85513959059358</v>
      </c>
      <c r="N38" s="33">
        <f>+M38/$M$20</f>
        <v>9.5371711798748738E-4</v>
      </c>
      <c r="O38" s="33">
        <f>IF(K38=0,"",(M38-K38)/ABS(K38)+1)</f>
        <v>3.2876590346410466</v>
      </c>
      <c r="P38" s="31">
        <f>+'COLOMBIA USD'!P38+'EL SALVADOR USD'!P38+'VENEZUELA USD'!P38+'PANAMA USD'!P38</f>
        <v>4759.8308116412072</v>
      </c>
      <c r="Q38" s="33">
        <f t="shared" si="8"/>
        <v>1.144710087679387E-2</v>
      </c>
      <c r="R38" s="33">
        <f>IF(P38=0,"",(M38-P38)/ABS(P38))</f>
        <v>-0.89687550692135953</v>
      </c>
      <c r="W38" s="54"/>
      <c r="X38" s="54"/>
      <c r="Y38" s="54"/>
      <c r="Z38" s="54"/>
      <c r="AA38" s="54"/>
      <c r="AB38" s="54"/>
      <c r="AC38" s="54"/>
    </row>
    <row r="39" spans="2:29" x14ac:dyDescent="0.2">
      <c r="B39" s="3" t="s">
        <v>57</v>
      </c>
      <c r="C39" s="31">
        <f>+'COLOMBIA USD'!C39+'EL SALVADOR USD'!C39+'VENEZUELA USD'!C39+'PANAMA USD'!C39</f>
        <v>6582.3255813953483</v>
      </c>
      <c r="D39" s="33">
        <f t="shared" si="13"/>
        <v>2.6577571455628158E-2</v>
      </c>
      <c r="E39" s="31">
        <f>+'COLOMBIA USD'!E39+'EL SALVADOR USD'!E39+'VENEZUELA USD'!E39+'PANAMA USD'!E39</f>
        <v>6797.7828962663898</v>
      </c>
      <c r="F39" s="33">
        <f>+E39/$E$20</f>
        <v>2.6289245958686848E-2</v>
      </c>
      <c r="G39" s="33">
        <f>IF(C39=0,"",(E39-C39)/ABS(C39)+1)</f>
        <v>1.0327327039975085</v>
      </c>
      <c r="H39" s="31">
        <f>+'COLOMBIA USD'!H39+'EL SALVADOR USD'!H39+'VENEZUELA USD'!H39+'PANAMA USD'!H39</f>
        <v>6672.0418081023199</v>
      </c>
      <c r="I39" s="33">
        <f t="shared" si="16"/>
        <v>3.3568437113563852E-2</v>
      </c>
      <c r="J39" s="33">
        <f>IF(H39=0,"",(E39-H39)/ABS(H39))</f>
        <v>1.8845968262874765E-2</v>
      </c>
      <c r="K39" s="31">
        <f>+'COLOMBIA USD'!K39+'EL SALVADOR USD'!K39+'VENEZUELA USD'!K39+'PANAMA USD'!K39</f>
        <v>13418.837209302324</v>
      </c>
      <c r="L39" s="33">
        <f t="shared" si="5"/>
        <v>2.8117707552840883E-2</v>
      </c>
      <c r="M39" s="31">
        <f>+'COLOMBIA USD'!M39+'EL SALVADOR USD'!M39+'VENEZUELA USD'!M39+'PANAMA USD'!M39</f>
        <v>15061.016351098529</v>
      </c>
      <c r="N39" s="33">
        <f>+M39/$M$20</f>
        <v>2.9263112372242082E-2</v>
      </c>
      <c r="O39" s="33">
        <f>IF(K39=0,"",(M39-K39)/ABS(K39)+1)</f>
        <v>1.1223786469857313</v>
      </c>
      <c r="P39" s="31">
        <f>+'COLOMBIA USD'!P39+'EL SALVADOR USD'!P39+'VENEZUELA USD'!P39+'PANAMA USD'!P39</f>
        <v>11558.274601314239</v>
      </c>
      <c r="Q39" s="33">
        <f t="shared" si="8"/>
        <v>2.7796940807084697E-2</v>
      </c>
      <c r="R39" s="33">
        <f>IF(P39=0,"",(M39-P39)/ABS(P39))</f>
        <v>0.30305057377560574</v>
      </c>
      <c r="W39" s="54"/>
      <c r="X39" s="54"/>
      <c r="Y39" s="54"/>
      <c r="Z39" s="54"/>
      <c r="AA39" s="54"/>
      <c r="AB39" s="54"/>
      <c r="AC39" s="54"/>
    </row>
    <row r="40" spans="2:29" x14ac:dyDescent="0.2">
      <c r="B40" s="3"/>
      <c r="C40" s="31"/>
      <c r="D40" s="33"/>
      <c r="E40" s="31"/>
      <c r="F40" s="33"/>
      <c r="G40" s="33"/>
      <c r="H40" s="31"/>
      <c r="I40" s="33"/>
      <c r="J40" s="33"/>
      <c r="K40" s="31"/>
      <c r="L40" s="33"/>
      <c r="M40" s="31"/>
      <c r="N40" s="33"/>
      <c r="O40" s="33"/>
      <c r="P40" s="31"/>
      <c r="Q40" s="33"/>
      <c r="R40" s="33"/>
    </row>
    <row r="41" spans="2:29" x14ac:dyDescent="0.2">
      <c r="B41" s="3" t="s">
        <v>58</v>
      </c>
      <c r="C41" s="31">
        <f>C36+C38-C39</f>
        <v>24812.465116279076</v>
      </c>
      <c r="D41" s="33">
        <f t="shared" si="13"/>
        <v>0.10018572561681068</v>
      </c>
      <c r="E41" s="31">
        <f>E36+E38-E39</f>
        <v>33749.324354262266</v>
      </c>
      <c r="F41" s="33">
        <f>+E41/$E$20</f>
        <v>0.13051965654507891</v>
      </c>
      <c r="G41" s="33">
        <f>IF(C41=0,"",(E41-C41)/ABS(C41)+1)</f>
        <v>1.3601761935423278</v>
      </c>
      <c r="H41" s="31">
        <f>H36+H38-H39</f>
        <v>49895.485724459053</v>
      </c>
      <c r="I41" s="33">
        <f t="shared" si="16"/>
        <v>0.251034619231292</v>
      </c>
      <c r="J41" s="33">
        <f>IF(H41=0,"",(E41-H41)/ABS(H41))</f>
        <v>-0.32359964304910749</v>
      </c>
      <c r="K41" s="31">
        <f>K36+K38-K39</f>
        <v>77985.837209302219</v>
      </c>
      <c r="L41" s="33">
        <f t="shared" si="5"/>
        <v>0.16341080301611502</v>
      </c>
      <c r="M41" s="31">
        <f>+'COLOMBIA USD'!M41+'EL SALVADOR USD'!M41+'VENEZUELA USD'!M41+'PANAMA USD'!M41</f>
        <v>7249.6453938686263</v>
      </c>
      <c r="N41" s="33">
        <f>+M41/$M$20</f>
        <v>1.4085848051297754E-2</v>
      </c>
      <c r="O41" s="33">
        <f>IF(K41=0,"",(M41-K41)/ABS(K41)+1)</f>
        <v>9.2961051048431775E-2</v>
      </c>
      <c r="P41" s="31">
        <f>+'COLOMBIA USD'!P41+'EL SALVADOR USD'!P41+'VENEZUELA USD'!P41+'PANAMA USD'!P41</f>
        <v>9216.8664843185543</v>
      </c>
      <c r="Q41" s="33">
        <f t="shared" si="8"/>
        <v>2.2165998034193987E-2</v>
      </c>
      <c r="R41" s="33">
        <f>IF(P41=0,"",(M41-P41)/ABS(P41))</f>
        <v>-0.21343708230958211</v>
      </c>
    </row>
    <row r="42" spans="2:29" x14ac:dyDescent="0.2">
      <c r="B42" s="3" t="s">
        <v>44</v>
      </c>
      <c r="C42" s="31">
        <f>+'COLOMBIA USD'!C42+'EL SALVADOR USD'!C42+'VENEZUELA USD'!C42+'PANAMA USD'!C42</f>
        <v>-1611.6279069767443</v>
      </c>
      <c r="D42" s="33">
        <f t="shared" si="13"/>
        <v>-6.507298268354408E-3</v>
      </c>
      <c r="E42" s="31">
        <f>+'COLOMBIA USD'!E42+'EL SALVADOR USD'!E42+'VENEZUELA USD'!E42+'PANAMA USD'!E42</f>
        <v>-841.79935224071846</v>
      </c>
      <c r="F42" s="33">
        <f>+E42/$E$20</f>
        <v>-3.2555129454155314E-3</v>
      </c>
      <c r="G42" s="33">
        <f>IF(C42=0,"",(E42-C42)/ABS(C42)+1)</f>
        <v>1.4776713975995541</v>
      </c>
      <c r="H42" s="31">
        <f>+'COLOMBIA USD'!H42+'EL SALVADOR USD'!H42+'VENEZUELA USD'!H42+'PANAMA USD'!H42</f>
        <v>4306.2689522351675</v>
      </c>
      <c r="I42" s="33">
        <f t="shared" si="16"/>
        <v>2.1665739315610399E-2</v>
      </c>
      <c r="J42" s="33">
        <f>IF(H42=0,"",(E42-H42)/ABS(H42))</f>
        <v>-1.1954822983835653</v>
      </c>
      <c r="K42" s="31">
        <f>+'COLOMBIA USD'!K42+'EL SALVADOR USD'!K42+'VENEZUELA USD'!K42+'PANAMA USD'!K42</f>
        <v>5657.2093023255811</v>
      </c>
      <c r="L42" s="33">
        <f t="shared" si="5"/>
        <v>1.1854064122465943E-2</v>
      </c>
      <c r="M42" s="31">
        <f>+'COLOMBIA USD'!M42+'EL SALVADOR USD'!M42+'VENEZUELA USD'!M42+'PANAMA USD'!M42</f>
        <v>12421.301302026663</v>
      </c>
      <c r="N42" s="33">
        <f>+M42/$M$20</f>
        <v>2.4134223570122539E-2</v>
      </c>
      <c r="O42" s="33">
        <f>IF(K42=0,"",(M42-K42)/ABS(K42)+1)</f>
        <v>2.1956587847864282</v>
      </c>
      <c r="P42" s="31">
        <f>+'COLOMBIA USD'!P42+'EL SALVADOR USD'!P42+'VENEZUELA USD'!P42+'PANAMA USD'!P42</f>
        <v>26086.557096257595</v>
      </c>
      <c r="Q42" s="33">
        <f t="shared" si="8"/>
        <v>6.273656825758897E-2</v>
      </c>
      <c r="R42" s="33">
        <f>IF(P42=0,"",(M42-P42)/ABS(P42))</f>
        <v>-0.5238428261654875</v>
      </c>
    </row>
    <row r="43" spans="2:29" x14ac:dyDescent="0.2">
      <c r="B43" s="19" t="s">
        <v>59</v>
      </c>
      <c r="C43" s="68">
        <f>+C41-C42</f>
        <v>26424.09302325582</v>
      </c>
      <c r="D43" s="44">
        <f t="shared" si="13"/>
        <v>0.10669302388516509</v>
      </c>
      <c r="E43" s="68">
        <f>E41-E42</f>
        <v>34591.123706502985</v>
      </c>
      <c r="F43" s="44">
        <f>+E43/$E$20</f>
        <v>0.13377516949049445</v>
      </c>
      <c r="G43" s="44">
        <f>IF(C43=0,"",(E43-C43)/ABS(C43)+1)</f>
        <v>1.3090751563756369</v>
      </c>
      <c r="H43" s="68">
        <f>+H41-H42</f>
        <v>45589.216772223888</v>
      </c>
      <c r="I43" s="44">
        <f t="shared" si="16"/>
        <v>0.22936887991568158</v>
      </c>
      <c r="J43" s="44">
        <f>IF(H43=0,"",(E43-H43)/ABS(H43))</f>
        <v>-0.2412432992799671</v>
      </c>
      <c r="K43" s="68">
        <f>+K41-K42</f>
        <v>72328.627906976631</v>
      </c>
      <c r="L43" s="44">
        <f t="shared" si="5"/>
        <v>0.15155673889364904</v>
      </c>
      <c r="M43" s="68">
        <f>+M41-M42</f>
        <v>-5171.6559081580363</v>
      </c>
      <c r="N43" s="44">
        <f>+M43/$M$20</f>
        <v>-1.0048375518824787E-2</v>
      </c>
      <c r="O43" s="44">
        <f>IF(K43=0,"",(M43-K43)/ABS(K43)+1)</f>
        <v>-7.1502198476783185E-2</v>
      </c>
      <c r="P43" s="68">
        <f>P41-P42</f>
        <v>-16869.690611939041</v>
      </c>
      <c r="Q43" s="44">
        <f t="shared" si="8"/>
        <v>-4.0570570223394976E-2</v>
      </c>
      <c r="R43" s="44">
        <f>IF(P43=0,"",(M43-P43)/ABS(P43))</f>
        <v>0.69343504708391368</v>
      </c>
    </row>
    <row r="44" spans="2:29" x14ac:dyDescent="0.2">
      <c r="B44" s="3"/>
      <c r="C44" s="31"/>
      <c r="D44" s="33"/>
      <c r="E44" s="31"/>
      <c r="F44" s="33"/>
      <c r="G44" s="33"/>
      <c r="H44" s="31"/>
      <c r="I44" s="33"/>
      <c r="J44" s="33"/>
      <c r="K44" s="31"/>
      <c r="L44" s="33"/>
      <c r="M44" s="31"/>
      <c r="N44" s="33"/>
      <c r="O44" s="33"/>
      <c r="P44" s="31"/>
      <c r="Q44" s="33"/>
      <c r="R44" s="33"/>
    </row>
    <row r="45" spans="2:29" x14ac:dyDescent="0.2">
      <c r="B45" s="3" t="s">
        <v>83</v>
      </c>
      <c r="C45" s="31">
        <f>+'COLOMBIA USD'!C45+'EL SALVADOR USD'!C45+'VENEZUELA USD'!C45+'PANAMA USD'!C45</f>
        <v>12359.069767441861</v>
      </c>
      <c r="D45" s="33">
        <f t="shared" si="13"/>
        <v>4.9902432781158246E-2</v>
      </c>
      <c r="E45" s="31">
        <f>+'COLOMBIA USD'!E45+'EL SALVADOR USD'!E45+'VENEZUELA USD'!E45+'PANAMA USD'!E45</f>
        <v>19346.138360200854</v>
      </c>
      <c r="F45" s="33">
        <f>+E45/$E$20</f>
        <v>7.4817833617700197E-2</v>
      </c>
      <c r="G45" s="33">
        <f>IF(C45=0,"",(E45-C45)/ABS(C45)+1)</f>
        <v>1.5653393600192622</v>
      </c>
      <c r="H45" s="31">
        <f>+'COLOMBIA USD'!H45+'EL SALVADOR USD'!H45+'VENEZUELA USD'!H45+'PANAMA USD'!H45</f>
        <v>31019.999504091062</v>
      </c>
      <c r="I45" s="33">
        <f t="shared" si="16"/>
        <v>0.15606810217396255</v>
      </c>
      <c r="J45" s="33">
        <f>IF(H45=0,"",(E45-H45)/ABS(H45))</f>
        <v>-0.37633337622557361</v>
      </c>
      <c r="K45" s="31">
        <f>+'COLOMBIA USD'!K45+'EL SALVADOR USD'!K45+'VENEZUELA USD'!K45+'PANAMA USD'!K45</f>
        <v>50690.20930232558</v>
      </c>
      <c r="L45" s="33">
        <f t="shared" si="5"/>
        <v>0.10621579640052801</v>
      </c>
      <c r="M45" s="31">
        <f>+'COLOMBIA USD'!M45+'EL SALVADOR USD'!M45+'VENEZUELA USD'!M45+'PANAMA USD'!M45</f>
        <v>76242.638598601174</v>
      </c>
      <c r="N45" s="33">
        <f>+M45/$M$20</f>
        <v>0.14813720726784649</v>
      </c>
      <c r="O45" s="33">
        <f>IF(K45=0,"",(M45-K45)/ABS(K45)+1)</f>
        <v>1.5040900333213516</v>
      </c>
      <c r="P45" s="31">
        <f>+'COLOMBIA USD'!P45+'EL SALVADOR USD'!P45+'VENEZUELA USD'!P45+'PANAMA USD'!P45</f>
        <v>113250.01574078796</v>
      </c>
      <c r="Q45" s="33">
        <f t="shared" si="8"/>
        <v>0.27235933498155063</v>
      </c>
      <c r="R45" s="33">
        <f>IF(P45=0,"",(M45-P45)/ABS(P45))</f>
        <v>-0.32677591168632625</v>
      </c>
    </row>
    <row r="46" spans="2:29" x14ac:dyDescent="0.2">
      <c r="B46" s="3" t="s">
        <v>35</v>
      </c>
      <c r="C46" s="31">
        <f>+'COLOMBIA USD'!C46+'EL SALVADOR USD'!C46+'VENEZUELA USD'!C46+'PANAMA USD'!C46</f>
        <v>110473.60465116278</v>
      </c>
      <c r="D46" s="33">
        <f t="shared" si="13"/>
        <v>0.4460612112345077</v>
      </c>
      <c r="E46" s="31">
        <f>+'COLOMBIA USD'!E46+'EL SALVADOR USD'!E46+'VENEZUELA USD'!E46+'PANAMA USD'!E46</f>
        <v>115592.03296843551</v>
      </c>
      <c r="F46" s="33">
        <f>+E46/$E$20</f>
        <v>0.44703213267385811</v>
      </c>
      <c r="G46" s="33">
        <f>IF(C46=0,"",(E46-C46)/ABS(C46)+1)</f>
        <v>1.04633168559526</v>
      </c>
      <c r="H46" s="31">
        <f>+'COLOMBIA USD'!H46+'EL SALVADOR USD'!H46+'VENEZUELA USD'!H46+'PANAMA USD'!H46</f>
        <v>82271.441714705696</v>
      </c>
      <c r="I46" s="33">
        <f t="shared" si="16"/>
        <v>0.41392482194709584</v>
      </c>
      <c r="J46" s="33">
        <f>IF(H46=0,"",(E46-H46)/ABS(H46))</f>
        <v>0.40500799012707578</v>
      </c>
      <c r="K46" s="31">
        <f>+'COLOMBIA USD'!K46+'EL SALVADOR USD'!K46+'VENEZUELA USD'!K46+'PANAMA USD'!K46</f>
        <v>215158.83720930232</v>
      </c>
      <c r="L46" s="33">
        <f t="shared" si="5"/>
        <v>0.45084184029496871</v>
      </c>
      <c r="M46" s="31">
        <f>+'COLOMBIA USD'!M46+'EL SALVADOR USD'!M46+'VENEZUELA USD'!M46+'PANAMA USD'!M46</f>
        <v>224541.46871356553</v>
      </c>
      <c r="N46" s="33">
        <f>+M46/$M$20</f>
        <v>0.43627747809423789</v>
      </c>
      <c r="O46" s="33">
        <f>IF(K46=0,"",(M46-K46)/ABS(K46)+1)</f>
        <v>1.0436079299644847</v>
      </c>
      <c r="P46" s="31">
        <f>+'COLOMBIA USD'!P46+'EL SALVADOR USD'!P46+'VENEZUELA USD'!P46+'PANAMA USD'!P46</f>
        <v>158160.06790745381</v>
      </c>
      <c r="Q46" s="33">
        <f t="shared" si="8"/>
        <v>0.38036525323322035</v>
      </c>
      <c r="R46" s="33">
        <f>IF(P46=0,"",(M46-P46)/ABS(P46))</f>
        <v>0.41971024471837171</v>
      </c>
    </row>
  </sheetData>
  <conditionalFormatting sqref="D9:D46 G10:G46 J10:J46">
    <cfRule type="cellIs" dxfId="57" priority="2" operator="lessThan">
      <formula>0</formula>
    </cfRule>
  </conditionalFormatting>
  <conditionalFormatting sqref="R10:R46">
    <cfRule type="cellIs" dxfId="56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68BDE-7613-4C83-8951-134988631863}">
  <dimension ref="A6:V594"/>
  <sheetViews>
    <sheetView topLeftCell="A525" workbookViewId="0">
      <selection activeCell="A544" sqref="A544"/>
    </sheetView>
  </sheetViews>
  <sheetFormatPr baseColWidth="10" defaultRowHeight="12" x14ac:dyDescent="0.2"/>
  <cols>
    <col min="1" max="1" width="40.85546875" style="119" customWidth="1"/>
    <col min="2" max="2" width="44.42578125" style="119" customWidth="1"/>
    <col min="3" max="3" width="29.140625" style="119" customWidth="1"/>
    <col min="4" max="4" width="8" style="119" customWidth="1"/>
    <col min="5" max="5" width="22.85546875" style="119" bestFit="1" customWidth="1"/>
    <col min="6" max="6" width="39.7109375" style="119" bestFit="1" customWidth="1"/>
    <col min="7" max="7" width="13.42578125" style="121" bestFit="1" customWidth="1"/>
    <col min="8" max="18" width="30.5703125" style="121" bestFit="1" customWidth="1"/>
    <col min="19" max="19" width="14.140625" style="121" bestFit="1" customWidth="1"/>
    <col min="20" max="22" width="11.42578125" style="121"/>
    <col min="23" max="16384" width="11.42578125" style="119"/>
  </cols>
  <sheetData>
    <row r="6" spans="1:2" x14ac:dyDescent="0.2">
      <c r="A6" s="117" t="s">
        <v>64</v>
      </c>
      <c r="B6" s="118" t="s">
        <v>134</v>
      </c>
    </row>
    <row r="7" spans="1:2" x14ac:dyDescent="0.2">
      <c r="A7" s="117" t="s">
        <v>66</v>
      </c>
      <c r="B7" s="118" t="s">
        <v>135</v>
      </c>
    </row>
    <row r="8" spans="1:2" x14ac:dyDescent="0.2">
      <c r="A8" s="117" t="s">
        <v>68</v>
      </c>
      <c r="B8" s="118" t="s">
        <v>136</v>
      </c>
    </row>
    <row r="9" spans="1:2" x14ac:dyDescent="0.2">
      <c r="A9" s="117" t="s">
        <v>77</v>
      </c>
      <c r="B9" s="118" t="s">
        <v>137</v>
      </c>
    </row>
    <row r="10" spans="1:2" x14ac:dyDescent="0.2">
      <c r="A10" s="117" t="s">
        <v>138</v>
      </c>
      <c r="B10" s="118" t="s">
        <v>139</v>
      </c>
    </row>
    <row r="11" spans="1:2" x14ac:dyDescent="0.2">
      <c r="A11" s="117">
        <v>4170250500</v>
      </c>
      <c r="B11" s="118" t="s">
        <v>140</v>
      </c>
    </row>
    <row r="12" spans="1:2" x14ac:dyDescent="0.2">
      <c r="A12" s="117" t="s">
        <v>79</v>
      </c>
      <c r="B12" s="118" t="s">
        <v>141</v>
      </c>
    </row>
    <row r="13" spans="1:2" x14ac:dyDescent="0.2">
      <c r="A13" s="117" t="s">
        <v>142</v>
      </c>
      <c r="B13" s="118" t="s">
        <v>143</v>
      </c>
    </row>
    <row r="14" spans="1:2" x14ac:dyDescent="0.2">
      <c r="A14" s="117" t="s">
        <v>73</v>
      </c>
      <c r="B14" s="118" t="s">
        <v>144</v>
      </c>
    </row>
    <row r="15" spans="1:2" x14ac:dyDescent="0.2">
      <c r="A15" s="117">
        <v>4155951000</v>
      </c>
      <c r="B15" s="118" t="s">
        <v>145</v>
      </c>
    </row>
    <row r="16" spans="1:2" x14ac:dyDescent="0.2">
      <c r="A16" s="117">
        <v>4155951500</v>
      </c>
      <c r="B16" s="118" t="s">
        <v>146</v>
      </c>
    </row>
    <row r="33" spans="1:19" x14ac:dyDescent="0.2">
      <c r="B33" s="120" t="s">
        <v>147</v>
      </c>
      <c r="D33" s="119" t="s">
        <v>148</v>
      </c>
    </row>
    <row r="34" spans="1:19" x14ac:dyDescent="0.2">
      <c r="A34" s="119" t="s">
        <v>149</v>
      </c>
      <c r="B34" s="120" t="s">
        <v>150</v>
      </c>
    </row>
    <row r="35" spans="1:19" x14ac:dyDescent="0.2">
      <c r="A35" s="119" t="s">
        <v>151</v>
      </c>
      <c r="B35" s="120" t="s">
        <v>152</v>
      </c>
    </row>
    <row r="36" spans="1:19" x14ac:dyDescent="0.2">
      <c r="A36" s="119" t="s">
        <v>153</v>
      </c>
      <c r="B36" s="120" t="s">
        <v>154</v>
      </c>
    </row>
    <row r="37" spans="1:19" x14ac:dyDescent="0.2">
      <c r="A37" s="119" t="s">
        <v>155</v>
      </c>
      <c r="B37" s="120" t="s">
        <v>156</v>
      </c>
    </row>
    <row r="38" spans="1:19" x14ac:dyDescent="0.2">
      <c r="B38" s="120"/>
    </row>
    <row r="39" spans="1:19" x14ac:dyDescent="0.2">
      <c r="B39" s="120"/>
    </row>
    <row r="40" spans="1:19" x14ac:dyDescent="0.2">
      <c r="B40" s="120"/>
    </row>
    <row r="41" spans="1:19" x14ac:dyDescent="0.2">
      <c r="B41" s="120" t="s">
        <v>157</v>
      </c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</row>
    <row r="42" spans="1:19" x14ac:dyDescent="0.2">
      <c r="A42" s="122"/>
      <c r="B42" s="119" t="s">
        <v>158</v>
      </c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</row>
    <row r="43" spans="1:19" x14ac:dyDescent="0.2">
      <c r="A43" s="122" t="s">
        <v>159</v>
      </c>
      <c r="B43" s="118" t="s">
        <v>160</v>
      </c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</row>
    <row r="44" spans="1:19" x14ac:dyDescent="0.2">
      <c r="A44" s="119" t="s">
        <v>161</v>
      </c>
      <c r="B44" s="118" t="s">
        <v>162</v>
      </c>
      <c r="G44" s="119"/>
    </row>
    <row r="45" spans="1:19" x14ac:dyDescent="0.2">
      <c r="A45" s="122" t="s">
        <v>163</v>
      </c>
      <c r="B45" s="118" t="s">
        <v>164</v>
      </c>
      <c r="G45" s="119"/>
    </row>
    <row r="46" spans="1:19" x14ac:dyDescent="0.2">
      <c r="A46" s="117">
        <v>5295400000</v>
      </c>
      <c r="B46" s="118" t="s">
        <v>165</v>
      </c>
      <c r="G46" s="119"/>
    </row>
    <row r="47" spans="1:19" x14ac:dyDescent="0.2">
      <c r="A47" s="117">
        <v>5235500000</v>
      </c>
      <c r="B47" s="118" t="s">
        <v>166</v>
      </c>
    </row>
    <row r="48" spans="1:19" x14ac:dyDescent="0.2">
      <c r="A48" s="122" t="s">
        <v>167</v>
      </c>
      <c r="B48" s="118" t="s">
        <v>168</v>
      </c>
    </row>
    <row r="49" spans="1:5" x14ac:dyDescent="0.2">
      <c r="A49" s="122" t="s">
        <v>169</v>
      </c>
      <c r="B49" s="118" t="s">
        <v>170</v>
      </c>
    </row>
    <row r="50" spans="1:5" x14ac:dyDescent="0.2">
      <c r="A50" s="122" t="s">
        <v>171</v>
      </c>
      <c r="B50" s="118" t="s">
        <v>172</v>
      </c>
    </row>
    <row r="51" spans="1:5" x14ac:dyDescent="0.2">
      <c r="A51" s="123">
        <v>5295950300</v>
      </c>
      <c r="B51" s="118" t="s">
        <v>173</v>
      </c>
    </row>
    <row r="52" spans="1:5" x14ac:dyDescent="0.2">
      <c r="A52" s="122" t="s">
        <v>174</v>
      </c>
      <c r="B52" s="118" t="s">
        <v>175</v>
      </c>
    </row>
    <row r="53" spans="1:5" x14ac:dyDescent="0.2">
      <c r="A53" s="117">
        <v>5240200100</v>
      </c>
      <c r="B53" s="118" t="s">
        <v>176</v>
      </c>
    </row>
    <row r="54" spans="1:5" x14ac:dyDescent="0.2">
      <c r="A54" s="117">
        <v>5235150000</v>
      </c>
      <c r="B54" s="118" t="s">
        <v>177</v>
      </c>
    </row>
    <row r="55" spans="1:5" x14ac:dyDescent="0.2">
      <c r="A55" s="117">
        <v>5235100000</v>
      </c>
      <c r="B55" s="118" t="s">
        <v>178</v>
      </c>
    </row>
    <row r="56" spans="1:5" x14ac:dyDescent="0.2">
      <c r="A56" s="122" t="s">
        <v>179</v>
      </c>
      <c r="B56" s="118" t="s">
        <v>180</v>
      </c>
    </row>
    <row r="57" spans="1:5" x14ac:dyDescent="0.2">
      <c r="A57" s="117">
        <v>5299100000</v>
      </c>
      <c r="B57" s="118" t="s">
        <v>181</v>
      </c>
    </row>
    <row r="58" spans="1:5" x14ac:dyDescent="0.2">
      <c r="A58" s="123" t="s">
        <v>182</v>
      </c>
      <c r="B58" s="124" t="s">
        <v>183</v>
      </c>
    </row>
    <row r="59" spans="1:5" x14ac:dyDescent="0.2">
      <c r="A59" s="122"/>
      <c r="B59" s="124" t="s">
        <v>184</v>
      </c>
      <c r="C59" s="119" t="str">
        <f>+Paramet!B4</f>
        <v>202402</v>
      </c>
    </row>
    <row r="60" spans="1:5" x14ac:dyDescent="0.2">
      <c r="A60" s="122" t="s">
        <v>185</v>
      </c>
      <c r="B60" s="118" t="s">
        <v>186</v>
      </c>
      <c r="C60" s="125"/>
      <c r="D60" s="125"/>
      <c r="E60" s="126"/>
    </row>
    <row r="61" spans="1:5" x14ac:dyDescent="0.2">
      <c r="A61" s="119" t="s">
        <v>187</v>
      </c>
      <c r="B61" s="118" t="s">
        <v>188</v>
      </c>
      <c r="C61" s="125"/>
      <c r="D61" s="125"/>
      <c r="E61" s="126"/>
    </row>
    <row r="62" spans="1:5" x14ac:dyDescent="0.2">
      <c r="A62" s="122" t="s">
        <v>189</v>
      </c>
      <c r="B62" s="118" t="s">
        <v>190</v>
      </c>
      <c r="C62" s="125"/>
      <c r="D62" s="125"/>
      <c r="E62" s="126"/>
    </row>
    <row r="63" spans="1:5" x14ac:dyDescent="0.2">
      <c r="A63" s="122" t="s">
        <v>191</v>
      </c>
      <c r="B63" s="118" t="s">
        <v>192</v>
      </c>
      <c r="C63" s="125"/>
      <c r="D63" s="125"/>
      <c r="E63" s="126"/>
    </row>
    <row r="64" spans="1:5" x14ac:dyDescent="0.2">
      <c r="A64" s="122" t="s">
        <v>193</v>
      </c>
      <c r="B64" s="118" t="s">
        <v>194</v>
      </c>
      <c r="C64" s="125"/>
      <c r="D64" s="125"/>
      <c r="E64" s="126"/>
    </row>
    <row r="65" spans="1:5" x14ac:dyDescent="0.2">
      <c r="A65" s="122" t="s">
        <v>195</v>
      </c>
      <c r="B65" s="118" t="s">
        <v>196</v>
      </c>
      <c r="C65" s="125"/>
      <c r="D65" s="125"/>
      <c r="E65" s="126"/>
    </row>
    <row r="66" spans="1:5" x14ac:dyDescent="0.2">
      <c r="A66" s="122" t="s">
        <v>197</v>
      </c>
      <c r="B66" s="118" t="s">
        <v>198</v>
      </c>
      <c r="C66" s="125"/>
      <c r="D66" s="125"/>
      <c r="E66" s="126"/>
    </row>
    <row r="67" spans="1:5" x14ac:dyDescent="0.2">
      <c r="A67" s="122" t="s">
        <v>199</v>
      </c>
      <c r="B67" s="118" t="s">
        <v>200</v>
      </c>
      <c r="C67" s="125"/>
      <c r="D67" s="125"/>
      <c r="E67" s="126"/>
    </row>
    <row r="68" spans="1:5" x14ac:dyDescent="0.2">
      <c r="A68" s="117">
        <v>5265100000</v>
      </c>
      <c r="B68" s="118" t="s">
        <v>201</v>
      </c>
      <c r="C68" s="125"/>
      <c r="D68" s="125"/>
      <c r="E68" s="126"/>
    </row>
    <row r="69" spans="1:5" x14ac:dyDescent="0.2">
      <c r="A69" s="122" t="s">
        <v>202</v>
      </c>
      <c r="B69" s="118" t="s">
        <v>203</v>
      </c>
      <c r="C69" s="125"/>
      <c r="D69" s="125"/>
      <c r="E69" s="126"/>
    </row>
    <row r="70" spans="1:5" x14ac:dyDescent="0.2">
      <c r="A70" s="122" t="s">
        <v>204</v>
      </c>
      <c r="B70" s="118" t="s">
        <v>205</v>
      </c>
      <c r="C70" s="125"/>
      <c r="D70" s="125"/>
      <c r="E70" s="126"/>
    </row>
    <row r="71" spans="1:5" x14ac:dyDescent="0.2">
      <c r="A71" s="122" t="s">
        <v>206</v>
      </c>
      <c r="B71" s="118" t="s">
        <v>207</v>
      </c>
      <c r="C71" s="125"/>
      <c r="D71" s="125"/>
      <c r="E71" s="126"/>
    </row>
    <row r="72" spans="1:5" x14ac:dyDescent="0.2">
      <c r="A72" s="122" t="s">
        <v>208</v>
      </c>
      <c r="B72" s="118" t="s">
        <v>209</v>
      </c>
      <c r="C72" s="125"/>
      <c r="D72" s="125"/>
      <c r="E72" s="126"/>
    </row>
    <row r="73" spans="1:5" x14ac:dyDescent="0.2">
      <c r="A73" s="117" t="s">
        <v>210</v>
      </c>
      <c r="B73" s="118" t="s">
        <v>211</v>
      </c>
      <c r="C73" s="125"/>
      <c r="D73" s="125"/>
      <c r="E73" s="126"/>
    </row>
    <row r="74" spans="1:5" x14ac:dyDescent="0.2">
      <c r="A74" s="122" t="s">
        <v>212</v>
      </c>
      <c r="B74" s="118" t="s">
        <v>213</v>
      </c>
      <c r="C74" s="125"/>
      <c r="D74" s="125"/>
      <c r="E74" s="126"/>
    </row>
    <row r="75" spans="1:5" x14ac:dyDescent="0.2">
      <c r="A75" s="117">
        <v>5265150000</v>
      </c>
      <c r="B75" s="118" t="s">
        <v>214</v>
      </c>
      <c r="C75" s="125"/>
      <c r="D75" s="125"/>
      <c r="E75" s="126"/>
    </row>
    <row r="76" spans="1:5" x14ac:dyDescent="0.2">
      <c r="A76" s="122" t="s">
        <v>215</v>
      </c>
      <c r="B76" s="118" t="s">
        <v>216</v>
      </c>
      <c r="C76" s="125"/>
      <c r="D76" s="125"/>
      <c r="E76" s="126"/>
    </row>
    <row r="77" spans="1:5" x14ac:dyDescent="0.2">
      <c r="A77" s="122" t="s">
        <v>217</v>
      </c>
      <c r="B77" s="118" t="s">
        <v>218</v>
      </c>
      <c r="C77" s="125"/>
      <c r="D77" s="125"/>
      <c r="E77" s="126"/>
    </row>
    <row r="78" spans="1:5" x14ac:dyDescent="0.2">
      <c r="A78" s="122" t="s">
        <v>219</v>
      </c>
      <c r="B78" s="118" t="s">
        <v>220</v>
      </c>
      <c r="C78" s="125"/>
      <c r="D78" s="125"/>
      <c r="E78" s="126"/>
    </row>
    <row r="79" spans="1:5" x14ac:dyDescent="0.2">
      <c r="A79" s="122" t="s">
        <v>221</v>
      </c>
      <c r="B79" s="118" t="s">
        <v>222</v>
      </c>
      <c r="C79" s="125"/>
      <c r="D79" s="125"/>
      <c r="E79" s="126"/>
    </row>
    <row r="80" spans="1:5" x14ac:dyDescent="0.2">
      <c r="A80" s="122" t="s">
        <v>223</v>
      </c>
      <c r="B80" s="118" t="s">
        <v>224</v>
      </c>
      <c r="C80" s="125"/>
      <c r="D80" s="125"/>
      <c r="E80" s="126"/>
    </row>
    <row r="81" spans="1:5" x14ac:dyDescent="0.2">
      <c r="A81" s="122" t="s">
        <v>225</v>
      </c>
      <c r="B81" s="118" t="s">
        <v>226</v>
      </c>
      <c r="C81" s="125"/>
      <c r="D81" s="125"/>
      <c r="E81" s="126"/>
    </row>
    <row r="82" spans="1:5" x14ac:dyDescent="0.2">
      <c r="A82" s="117" t="s">
        <v>227</v>
      </c>
      <c r="B82" s="118" t="s">
        <v>228</v>
      </c>
      <c r="C82" s="125"/>
      <c r="D82" s="125"/>
      <c r="E82" s="126"/>
    </row>
    <row r="83" spans="1:5" x14ac:dyDescent="0.2">
      <c r="A83" s="122" t="s">
        <v>229</v>
      </c>
      <c r="B83" s="118" t="s">
        <v>230</v>
      </c>
      <c r="C83" s="125"/>
      <c r="D83" s="125"/>
      <c r="E83" s="126"/>
    </row>
    <row r="84" spans="1:5" x14ac:dyDescent="0.2">
      <c r="A84" s="122" t="s">
        <v>231</v>
      </c>
      <c r="B84" s="118" t="s">
        <v>232</v>
      </c>
      <c r="C84" s="125"/>
      <c r="D84" s="125"/>
      <c r="E84" s="126"/>
    </row>
    <row r="85" spans="1:5" x14ac:dyDescent="0.2">
      <c r="A85" s="122" t="s">
        <v>233</v>
      </c>
      <c r="B85" s="118" t="s">
        <v>234</v>
      </c>
      <c r="C85" s="125"/>
      <c r="D85" s="125"/>
      <c r="E85" s="126"/>
    </row>
    <row r="86" spans="1:5" x14ac:dyDescent="0.2">
      <c r="A86" s="127" t="s">
        <v>235</v>
      </c>
      <c r="B86" s="118" t="s">
        <v>236</v>
      </c>
      <c r="C86" s="125"/>
      <c r="D86" s="125"/>
      <c r="E86" s="126"/>
    </row>
    <row r="87" spans="1:5" x14ac:dyDescent="0.2">
      <c r="A87" s="122" t="s">
        <v>237</v>
      </c>
      <c r="B87" s="118" t="s">
        <v>238</v>
      </c>
      <c r="C87" s="125"/>
      <c r="D87" s="125"/>
      <c r="E87" s="126"/>
    </row>
    <row r="88" spans="1:5" x14ac:dyDescent="0.2">
      <c r="A88" s="122"/>
      <c r="B88" s="124" t="s">
        <v>239</v>
      </c>
      <c r="C88" s="126"/>
      <c r="D88" s="128"/>
      <c r="E88" s="129"/>
    </row>
    <row r="89" spans="1:5" x14ac:dyDescent="0.2">
      <c r="A89" s="122" t="s">
        <v>240</v>
      </c>
      <c r="B89" s="118" t="s">
        <v>241</v>
      </c>
    </row>
    <row r="90" spans="1:5" x14ac:dyDescent="0.2">
      <c r="A90" s="117">
        <v>5105180100</v>
      </c>
      <c r="B90" s="118" t="s">
        <v>242</v>
      </c>
    </row>
    <row r="91" spans="1:5" x14ac:dyDescent="0.2">
      <c r="A91" s="119" t="s">
        <v>243</v>
      </c>
      <c r="B91" s="118" t="s">
        <v>244</v>
      </c>
    </row>
    <row r="92" spans="1:5" x14ac:dyDescent="0.2">
      <c r="A92" s="117">
        <v>5105480100</v>
      </c>
      <c r="B92" s="118" t="s">
        <v>245</v>
      </c>
    </row>
    <row r="93" spans="1:5" x14ac:dyDescent="0.2">
      <c r="A93" s="122" t="s">
        <v>246</v>
      </c>
      <c r="B93" s="118" t="s">
        <v>247</v>
      </c>
    </row>
    <row r="94" spans="1:5" x14ac:dyDescent="0.2">
      <c r="A94" s="122" t="s">
        <v>248</v>
      </c>
      <c r="B94" s="118" t="s">
        <v>249</v>
      </c>
    </row>
    <row r="95" spans="1:5" x14ac:dyDescent="0.2">
      <c r="A95" s="122"/>
      <c r="B95" s="124" t="s">
        <v>250</v>
      </c>
    </row>
    <row r="96" spans="1:5" x14ac:dyDescent="0.2">
      <c r="A96" s="117">
        <v>5105180000</v>
      </c>
      <c r="B96" s="118" t="s">
        <v>251</v>
      </c>
      <c r="C96" s="125"/>
      <c r="E96" s="126"/>
    </row>
    <row r="97" spans="1:5" x14ac:dyDescent="0.2">
      <c r="A97" s="122" t="s">
        <v>252</v>
      </c>
      <c r="B97" s="118" t="s">
        <v>253</v>
      </c>
      <c r="C97" s="125"/>
      <c r="E97" s="126"/>
    </row>
    <row r="98" spans="1:5" x14ac:dyDescent="0.2">
      <c r="A98" s="122" t="s">
        <v>254</v>
      </c>
      <c r="B98" s="118" t="s">
        <v>255</v>
      </c>
      <c r="C98" s="125"/>
      <c r="E98" s="126"/>
    </row>
    <row r="99" spans="1:5" x14ac:dyDescent="0.2">
      <c r="A99" s="122" t="s">
        <v>256</v>
      </c>
      <c r="B99" s="118" t="s">
        <v>257</v>
      </c>
      <c r="C99" s="125"/>
      <c r="E99" s="126"/>
    </row>
    <row r="100" spans="1:5" x14ac:dyDescent="0.2">
      <c r="A100" s="117" t="s">
        <v>258</v>
      </c>
      <c r="B100" s="118" t="s">
        <v>259</v>
      </c>
      <c r="C100" s="125"/>
      <c r="E100" s="126"/>
    </row>
    <row r="101" spans="1:5" x14ac:dyDescent="0.2">
      <c r="A101" s="122" t="s">
        <v>260</v>
      </c>
      <c r="B101" s="118" t="s">
        <v>261</v>
      </c>
      <c r="C101" s="125"/>
      <c r="E101" s="126"/>
    </row>
    <row r="102" spans="1:5" x14ac:dyDescent="0.2">
      <c r="A102" s="122" t="s">
        <v>262</v>
      </c>
      <c r="B102" s="118" t="s">
        <v>263</v>
      </c>
      <c r="C102" s="125"/>
      <c r="E102" s="126"/>
    </row>
    <row r="103" spans="1:5" x14ac:dyDescent="0.2">
      <c r="A103" s="117" t="s">
        <v>264</v>
      </c>
      <c r="B103" s="118" t="s">
        <v>265</v>
      </c>
      <c r="C103" s="125"/>
      <c r="E103" s="126"/>
    </row>
    <row r="104" spans="1:5" x14ac:dyDescent="0.2">
      <c r="A104" s="117" t="s">
        <v>266</v>
      </c>
      <c r="B104" s="118" t="s">
        <v>267</v>
      </c>
      <c r="C104" s="125"/>
      <c r="E104" s="126"/>
    </row>
    <row r="105" spans="1:5" x14ac:dyDescent="0.2">
      <c r="A105" s="117">
        <v>5120100000</v>
      </c>
      <c r="B105" s="118" t="s">
        <v>268</v>
      </c>
      <c r="C105" s="125"/>
      <c r="E105" s="126"/>
    </row>
    <row r="106" spans="1:5" x14ac:dyDescent="0.2">
      <c r="A106" s="122" t="s">
        <v>269</v>
      </c>
      <c r="B106" s="118" t="s">
        <v>270</v>
      </c>
      <c r="C106" s="125"/>
      <c r="E106" s="126"/>
    </row>
    <row r="107" spans="1:5" x14ac:dyDescent="0.2">
      <c r="A107" s="122" t="s">
        <v>271</v>
      </c>
      <c r="B107" s="118" t="s">
        <v>272</v>
      </c>
      <c r="C107" s="125"/>
      <c r="E107" s="126"/>
    </row>
    <row r="108" spans="1:5" x14ac:dyDescent="0.2">
      <c r="A108" s="122" t="s">
        <v>273</v>
      </c>
      <c r="B108" s="118" t="s">
        <v>274</v>
      </c>
      <c r="C108" s="125"/>
      <c r="E108" s="126"/>
    </row>
    <row r="109" spans="1:5" x14ac:dyDescent="0.2">
      <c r="A109" s="122" t="s">
        <v>275</v>
      </c>
      <c r="B109" s="118" t="s">
        <v>276</v>
      </c>
      <c r="C109" s="125"/>
      <c r="E109" s="126"/>
    </row>
    <row r="110" spans="1:5" x14ac:dyDescent="0.2">
      <c r="A110" s="122" t="s">
        <v>277</v>
      </c>
      <c r="B110" s="118" t="s">
        <v>278</v>
      </c>
      <c r="C110" s="125"/>
      <c r="E110" s="126"/>
    </row>
    <row r="111" spans="1:5" x14ac:dyDescent="0.2">
      <c r="A111" s="122" t="s">
        <v>279</v>
      </c>
      <c r="B111" s="118" t="s">
        <v>280</v>
      </c>
      <c r="C111" s="125"/>
      <c r="E111" s="126"/>
    </row>
    <row r="112" spans="1:5" x14ac:dyDescent="0.2">
      <c r="A112" s="122" t="s">
        <v>281</v>
      </c>
      <c r="B112" s="118" t="s">
        <v>282</v>
      </c>
      <c r="C112" s="125"/>
      <c r="E112" s="126"/>
    </row>
    <row r="113" spans="1:11" x14ac:dyDescent="0.2">
      <c r="A113" s="122" t="s">
        <v>283</v>
      </c>
      <c r="B113" s="118" t="s">
        <v>284</v>
      </c>
      <c r="C113" s="125"/>
      <c r="E113" s="126"/>
    </row>
    <row r="114" spans="1:11" x14ac:dyDescent="0.2">
      <c r="A114" s="122" t="s">
        <v>285</v>
      </c>
      <c r="B114" s="118" t="s">
        <v>286</v>
      </c>
      <c r="C114" s="125"/>
      <c r="E114" s="126"/>
    </row>
    <row r="115" spans="1:11" x14ac:dyDescent="0.2">
      <c r="A115" s="122" t="s">
        <v>287</v>
      </c>
      <c r="B115" s="118" t="s">
        <v>288</v>
      </c>
      <c r="C115" s="125"/>
      <c r="E115" s="126"/>
    </row>
    <row r="116" spans="1:11" x14ac:dyDescent="0.2">
      <c r="A116" s="117" t="s">
        <v>289</v>
      </c>
      <c r="B116" s="118" t="s">
        <v>290</v>
      </c>
      <c r="C116" s="125"/>
      <c r="E116" s="126"/>
    </row>
    <row r="117" spans="1:11" x14ac:dyDescent="0.2">
      <c r="A117" s="122" t="s">
        <v>291</v>
      </c>
      <c r="B117" s="118" t="s">
        <v>292</v>
      </c>
      <c r="C117" s="125"/>
      <c r="E117" s="126"/>
    </row>
    <row r="118" spans="1:11" x14ac:dyDescent="0.2">
      <c r="A118" s="122" t="s">
        <v>293</v>
      </c>
      <c r="B118" s="118" t="s">
        <v>294</v>
      </c>
      <c r="C118" s="125"/>
      <c r="E118" s="126"/>
    </row>
    <row r="119" spans="1:11" x14ac:dyDescent="0.2">
      <c r="A119" s="122" t="s">
        <v>295</v>
      </c>
      <c r="B119" s="118" t="s">
        <v>296</v>
      </c>
      <c r="C119" s="125"/>
      <c r="E119" s="126"/>
    </row>
    <row r="120" spans="1:11" x14ac:dyDescent="0.2">
      <c r="A120" s="122" t="s">
        <v>297</v>
      </c>
      <c r="B120" s="118" t="s">
        <v>298</v>
      </c>
      <c r="C120" s="125"/>
      <c r="E120" s="126"/>
    </row>
    <row r="121" spans="1:11" x14ac:dyDescent="0.2">
      <c r="A121" s="117" t="s">
        <v>299</v>
      </c>
      <c r="B121" s="118" t="s">
        <v>300</v>
      </c>
      <c r="C121" s="125"/>
      <c r="E121" s="126"/>
    </row>
    <row r="122" spans="1:11" x14ac:dyDescent="0.2">
      <c r="A122" s="122" t="s">
        <v>301</v>
      </c>
      <c r="B122" s="118" t="s">
        <v>302</v>
      </c>
      <c r="C122" s="125"/>
      <c r="E122" s="126"/>
    </row>
    <row r="123" spans="1:11" x14ac:dyDescent="0.2">
      <c r="A123" s="122" t="s">
        <v>303</v>
      </c>
      <c r="B123" s="118" t="s">
        <v>304</v>
      </c>
      <c r="C123" s="125"/>
      <c r="E123" s="126"/>
    </row>
    <row r="124" spans="1:11" x14ac:dyDescent="0.2">
      <c r="A124" s="122" t="s">
        <v>305</v>
      </c>
      <c r="B124" s="118" t="s">
        <v>306</v>
      </c>
      <c r="C124" s="125"/>
      <c r="E124" s="126"/>
    </row>
    <row r="125" spans="1:11" x14ac:dyDescent="0.2">
      <c r="A125" s="122" t="s">
        <v>307</v>
      </c>
      <c r="B125" s="118" t="s">
        <v>308</v>
      </c>
      <c r="C125" s="125"/>
      <c r="E125" s="126"/>
    </row>
    <row r="126" spans="1:11" x14ac:dyDescent="0.2">
      <c r="A126" s="122" t="s">
        <v>309</v>
      </c>
      <c r="B126" s="118" t="s">
        <v>310</v>
      </c>
      <c r="C126" s="125"/>
      <c r="E126" s="119" t="s">
        <v>311</v>
      </c>
      <c r="G126" s="119"/>
      <c r="H126" s="119"/>
      <c r="I126" s="119"/>
      <c r="J126" s="119"/>
      <c r="K126" s="119"/>
    </row>
    <row r="127" spans="1:11" x14ac:dyDescent="0.2">
      <c r="A127" s="122"/>
      <c r="B127" s="124" t="s">
        <v>312</v>
      </c>
      <c r="C127" s="126"/>
      <c r="D127" s="126"/>
      <c r="E127" s="119" t="s">
        <v>313</v>
      </c>
      <c r="F127" s="119" t="s">
        <v>314</v>
      </c>
      <c r="G127" s="119" t="s">
        <v>107</v>
      </c>
      <c r="H127" s="119"/>
      <c r="I127" s="119"/>
      <c r="J127" s="119"/>
      <c r="K127" s="119"/>
    </row>
    <row r="128" spans="1:11" x14ac:dyDescent="0.2">
      <c r="A128" s="122" t="s">
        <v>315</v>
      </c>
      <c r="B128" s="118" t="s">
        <v>316</v>
      </c>
      <c r="E128" s="119" t="s">
        <v>317</v>
      </c>
      <c r="F128" s="119" t="s">
        <v>318</v>
      </c>
      <c r="G128" s="130">
        <v>-2083333</v>
      </c>
      <c r="H128" s="119"/>
      <c r="I128" s="119"/>
      <c r="J128" s="119"/>
      <c r="K128" s="119"/>
    </row>
    <row r="129" spans="1:11" x14ac:dyDescent="0.2">
      <c r="A129" s="122" t="s">
        <v>319</v>
      </c>
      <c r="B129" s="118" t="s">
        <v>320</v>
      </c>
      <c r="E129" s="119" t="s">
        <v>321</v>
      </c>
      <c r="G129" s="130">
        <v>-2083333</v>
      </c>
      <c r="H129" s="119"/>
      <c r="I129" s="119"/>
      <c r="J129" s="119"/>
      <c r="K129" s="119"/>
    </row>
    <row r="130" spans="1:11" x14ac:dyDescent="0.2">
      <c r="A130" s="117">
        <v>5110358000</v>
      </c>
      <c r="B130" s="118" t="s">
        <v>322</v>
      </c>
      <c r="G130" s="119"/>
      <c r="H130" s="119"/>
      <c r="I130" s="119"/>
      <c r="J130" s="119"/>
      <c r="K130" s="119"/>
    </row>
    <row r="131" spans="1:11" x14ac:dyDescent="0.2">
      <c r="A131" s="122"/>
      <c r="B131" s="124" t="s">
        <v>323</v>
      </c>
      <c r="G131" s="119"/>
      <c r="H131" s="119"/>
      <c r="I131" s="119"/>
      <c r="J131" s="119"/>
      <c r="K131" s="119"/>
    </row>
    <row r="132" spans="1:11" x14ac:dyDescent="0.2">
      <c r="A132" s="122" t="s">
        <v>324</v>
      </c>
      <c r="B132" s="118" t="s">
        <v>325</v>
      </c>
      <c r="G132" s="119"/>
      <c r="H132" s="119"/>
      <c r="I132" s="119"/>
      <c r="J132" s="119"/>
      <c r="K132" s="119"/>
    </row>
    <row r="133" spans="1:11" x14ac:dyDescent="0.2">
      <c r="A133" s="122" t="s">
        <v>326</v>
      </c>
      <c r="B133" s="118" t="s">
        <v>327</v>
      </c>
      <c r="G133" s="119"/>
      <c r="H133" s="119"/>
      <c r="I133" s="119"/>
      <c r="J133" s="119"/>
      <c r="K133" s="119"/>
    </row>
    <row r="134" spans="1:11" x14ac:dyDescent="0.2">
      <c r="A134" s="122" t="s">
        <v>328</v>
      </c>
      <c r="B134" s="118" t="s">
        <v>329</v>
      </c>
      <c r="G134" s="119"/>
      <c r="H134" s="119"/>
      <c r="I134" s="119"/>
      <c r="J134" s="119"/>
      <c r="K134" s="119"/>
    </row>
    <row r="135" spans="1:11" x14ac:dyDescent="0.2">
      <c r="A135" s="122" t="s">
        <v>330</v>
      </c>
      <c r="B135" s="118" t="s">
        <v>331</v>
      </c>
      <c r="G135" s="119"/>
      <c r="H135" s="119"/>
      <c r="I135" s="119"/>
      <c r="J135" s="119"/>
      <c r="K135" s="119"/>
    </row>
    <row r="136" spans="1:11" x14ac:dyDescent="0.2">
      <c r="G136" s="119"/>
      <c r="H136" s="119"/>
      <c r="I136" s="119"/>
      <c r="J136" s="119"/>
      <c r="K136" s="119"/>
    </row>
    <row r="137" spans="1:11" x14ac:dyDescent="0.2">
      <c r="A137" s="122"/>
      <c r="B137" s="124" t="s">
        <v>332</v>
      </c>
      <c r="G137" s="119"/>
      <c r="H137" s="119"/>
      <c r="I137" s="119"/>
      <c r="J137" s="119"/>
      <c r="K137" s="119"/>
    </row>
    <row r="138" spans="1:11" x14ac:dyDescent="0.2">
      <c r="A138" s="122" t="s">
        <v>333</v>
      </c>
      <c r="B138" s="118" t="s">
        <v>334</v>
      </c>
      <c r="G138" s="119"/>
      <c r="H138" s="119"/>
      <c r="I138" s="119"/>
      <c r="J138" s="119"/>
      <c r="K138" s="119"/>
    </row>
    <row r="139" spans="1:11" x14ac:dyDescent="0.2">
      <c r="A139" s="122" t="s">
        <v>335</v>
      </c>
      <c r="B139" s="118" t="s">
        <v>336</v>
      </c>
      <c r="G139" s="119"/>
      <c r="H139" s="119"/>
      <c r="I139" s="119"/>
      <c r="J139" s="119"/>
      <c r="K139" s="119"/>
    </row>
    <row r="140" spans="1:11" x14ac:dyDescent="0.2">
      <c r="A140" s="122" t="s">
        <v>337</v>
      </c>
      <c r="B140" s="118" t="s">
        <v>338</v>
      </c>
      <c r="G140" s="119"/>
      <c r="H140" s="119"/>
      <c r="I140" s="119"/>
      <c r="J140" s="119"/>
      <c r="K140" s="119"/>
    </row>
    <row r="141" spans="1:11" x14ac:dyDescent="0.2">
      <c r="A141" s="131" t="s">
        <v>339</v>
      </c>
      <c r="B141" s="118" t="s">
        <v>340</v>
      </c>
      <c r="G141" s="119"/>
    </row>
    <row r="142" spans="1:11" x14ac:dyDescent="0.2">
      <c r="A142" s="131"/>
      <c r="B142" s="124" t="s">
        <v>341</v>
      </c>
      <c r="G142" s="119"/>
    </row>
    <row r="143" spans="1:11" x14ac:dyDescent="0.2">
      <c r="A143" s="122" t="s">
        <v>342</v>
      </c>
      <c r="B143" s="118" t="s">
        <v>343</v>
      </c>
      <c r="G143" s="119"/>
    </row>
    <row r="144" spans="1:11" x14ac:dyDescent="0.2">
      <c r="A144" s="122"/>
      <c r="B144" s="124" t="s">
        <v>344</v>
      </c>
      <c r="G144" s="119"/>
    </row>
    <row r="145" spans="1:7" x14ac:dyDescent="0.2">
      <c r="A145" s="122"/>
      <c r="B145" s="124" t="s">
        <v>345</v>
      </c>
      <c r="G145" s="119"/>
    </row>
    <row r="146" spans="1:7" x14ac:dyDescent="0.2">
      <c r="A146" s="122"/>
      <c r="B146" s="124" t="s">
        <v>346</v>
      </c>
      <c r="G146" s="119"/>
    </row>
    <row r="147" spans="1:7" x14ac:dyDescent="0.2">
      <c r="A147" s="122" t="s">
        <v>347</v>
      </c>
      <c r="B147" s="118" t="s">
        <v>348</v>
      </c>
      <c r="G147" s="119"/>
    </row>
    <row r="148" spans="1:7" x14ac:dyDescent="0.2">
      <c r="G148" s="119"/>
    </row>
    <row r="149" spans="1:7" x14ac:dyDescent="0.2">
      <c r="G149" s="119"/>
    </row>
    <row r="150" spans="1:7" x14ac:dyDescent="0.2">
      <c r="B150" s="119" t="s">
        <v>349</v>
      </c>
    </row>
    <row r="151" spans="1:7" x14ac:dyDescent="0.2">
      <c r="A151" s="122" t="s">
        <v>159</v>
      </c>
      <c r="B151" s="118" t="s">
        <v>160</v>
      </c>
    </row>
    <row r="152" spans="1:7" x14ac:dyDescent="0.2">
      <c r="A152" s="119" t="s">
        <v>161</v>
      </c>
      <c r="B152" s="118" t="s">
        <v>162</v>
      </c>
    </row>
    <row r="153" spans="1:7" x14ac:dyDescent="0.2">
      <c r="A153" s="122" t="s">
        <v>185</v>
      </c>
      <c r="B153" s="118" t="s">
        <v>186</v>
      </c>
    </row>
    <row r="154" spans="1:7" x14ac:dyDescent="0.2">
      <c r="A154" s="119" t="s">
        <v>187</v>
      </c>
      <c r="B154" s="118" t="s">
        <v>188</v>
      </c>
    </row>
    <row r="155" spans="1:7" x14ac:dyDescent="0.2">
      <c r="A155" s="122" t="s">
        <v>240</v>
      </c>
      <c r="B155" s="118" t="s">
        <v>241</v>
      </c>
    </row>
    <row r="156" spans="1:7" x14ac:dyDescent="0.2">
      <c r="A156" s="117">
        <v>5105180100</v>
      </c>
      <c r="B156" s="118" t="s">
        <v>242</v>
      </c>
    </row>
    <row r="157" spans="1:7" x14ac:dyDescent="0.2">
      <c r="A157" s="119" t="s">
        <v>243</v>
      </c>
      <c r="B157" s="118" t="s">
        <v>244</v>
      </c>
    </row>
    <row r="158" spans="1:7" x14ac:dyDescent="0.2">
      <c r="A158" s="117">
        <v>5105180000</v>
      </c>
      <c r="B158" s="118" t="s">
        <v>251</v>
      </c>
    </row>
    <row r="159" spans="1:7" x14ac:dyDescent="0.2">
      <c r="A159" s="122" t="s">
        <v>252</v>
      </c>
      <c r="B159" s="118" t="s">
        <v>253</v>
      </c>
    </row>
    <row r="160" spans="1:7" x14ac:dyDescent="0.2">
      <c r="A160" s="122" t="s">
        <v>254</v>
      </c>
      <c r="B160" s="118" t="s">
        <v>255</v>
      </c>
    </row>
    <row r="161" spans="1:5" x14ac:dyDescent="0.2">
      <c r="A161" s="122" t="s">
        <v>256</v>
      </c>
      <c r="B161" s="118" t="s">
        <v>257</v>
      </c>
    </row>
    <row r="164" spans="1:5" x14ac:dyDescent="0.2">
      <c r="B164" s="119" t="s">
        <v>350</v>
      </c>
    </row>
    <row r="165" spans="1:5" x14ac:dyDescent="0.2">
      <c r="A165" s="119" t="s">
        <v>167</v>
      </c>
      <c r="B165" s="119" t="s">
        <v>168</v>
      </c>
    </row>
    <row r="166" spans="1:5" x14ac:dyDescent="0.2">
      <c r="A166" s="119" t="s">
        <v>246</v>
      </c>
      <c r="B166" s="119" t="s">
        <v>247</v>
      </c>
    </row>
    <row r="167" spans="1:5" x14ac:dyDescent="0.2">
      <c r="A167" s="119" t="s">
        <v>248</v>
      </c>
      <c r="B167" s="119" t="s">
        <v>249</v>
      </c>
    </row>
    <row r="173" spans="1:5" x14ac:dyDescent="0.2">
      <c r="A173" s="132" t="s">
        <v>351</v>
      </c>
    </row>
    <row r="174" spans="1:5" x14ac:dyDescent="0.2">
      <c r="A174" s="120" t="s">
        <v>352</v>
      </c>
      <c r="E174" s="119" t="s">
        <v>353</v>
      </c>
    </row>
    <row r="175" spans="1:5" x14ac:dyDescent="0.2">
      <c r="A175" s="119" t="s">
        <v>354</v>
      </c>
      <c r="B175" s="119" t="s">
        <v>355</v>
      </c>
    </row>
    <row r="176" spans="1:5" x14ac:dyDescent="0.2">
      <c r="A176" s="119">
        <v>4155950000</v>
      </c>
      <c r="B176" s="119" t="s">
        <v>356</v>
      </c>
    </row>
    <row r="177" spans="1:5" x14ac:dyDescent="0.2">
      <c r="A177" s="119">
        <v>4155950100</v>
      </c>
      <c r="B177" s="119" t="s">
        <v>357</v>
      </c>
    </row>
    <row r="178" spans="1:5" x14ac:dyDescent="0.2">
      <c r="A178" s="119">
        <v>4155951500</v>
      </c>
      <c r="B178" s="119" t="s">
        <v>358</v>
      </c>
    </row>
    <row r="179" spans="1:5" x14ac:dyDescent="0.2">
      <c r="A179" s="119">
        <v>4135950900</v>
      </c>
      <c r="B179" s="119" t="s">
        <v>359</v>
      </c>
    </row>
    <row r="180" spans="1:5" x14ac:dyDescent="0.2">
      <c r="A180" s="119">
        <v>4135950000</v>
      </c>
      <c r="B180" s="119" t="s">
        <v>360</v>
      </c>
      <c r="E180" s="119">
        <v>4135950000</v>
      </c>
    </row>
    <row r="181" spans="1:5" x14ac:dyDescent="0.2">
      <c r="A181" s="119">
        <v>4155950500</v>
      </c>
      <c r="B181" s="119" t="s">
        <v>360</v>
      </c>
    </row>
    <row r="182" spans="1:5" x14ac:dyDescent="0.2">
      <c r="A182" s="119">
        <v>4170250300</v>
      </c>
      <c r="B182" s="119" t="s">
        <v>360</v>
      </c>
    </row>
    <row r="183" spans="1:5" x14ac:dyDescent="0.2">
      <c r="A183" s="119" t="s">
        <v>361</v>
      </c>
      <c r="B183" s="119" t="s">
        <v>362</v>
      </c>
    </row>
    <row r="184" spans="1:5" x14ac:dyDescent="0.2">
      <c r="A184" s="119">
        <v>6135950000</v>
      </c>
      <c r="B184" s="119" t="s">
        <v>363</v>
      </c>
    </row>
    <row r="186" spans="1:5" x14ac:dyDescent="0.2">
      <c r="B186" s="119" t="s">
        <v>364</v>
      </c>
    </row>
    <row r="187" spans="1:5" x14ac:dyDescent="0.2">
      <c r="A187" s="119">
        <v>5205180100</v>
      </c>
      <c r="B187" s="119" t="s">
        <v>365</v>
      </c>
      <c r="C187" s="119" t="s">
        <v>366</v>
      </c>
    </row>
    <row r="188" spans="1:5" x14ac:dyDescent="0.2">
      <c r="A188" s="119">
        <v>5205361000</v>
      </c>
      <c r="B188" s="119" t="s">
        <v>367</v>
      </c>
      <c r="C188" s="119" t="s">
        <v>368</v>
      </c>
      <c r="D188" s="119" t="s">
        <v>107</v>
      </c>
    </row>
    <row r="189" spans="1:5" x14ac:dyDescent="0.2">
      <c r="A189" s="119">
        <v>5205391000</v>
      </c>
      <c r="B189" s="119" t="s">
        <v>367</v>
      </c>
      <c r="C189" s="119" t="s">
        <v>369</v>
      </c>
      <c r="D189" s="119">
        <v>4638.9799999999996</v>
      </c>
    </row>
    <row r="190" spans="1:5" x14ac:dyDescent="0.2">
      <c r="A190" s="119">
        <v>5205422000</v>
      </c>
      <c r="B190" s="119" t="s">
        <v>367</v>
      </c>
      <c r="C190" s="119" t="s">
        <v>370</v>
      </c>
      <c r="D190" s="119">
        <v>1230.26</v>
      </c>
    </row>
    <row r="191" spans="1:5" x14ac:dyDescent="0.2">
      <c r="A191" s="119">
        <v>5205691000</v>
      </c>
      <c r="B191" s="119" t="s">
        <v>367</v>
      </c>
      <c r="C191" s="119" t="s">
        <v>371</v>
      </c>
      <c r="D191" s="119">
        <v>307.56</v>
      </c>
    </row>
    <row r="192" spans="1:5" x14ac:dyDescent="0.2">
      <c r="A192" s="119">
        <v>5205701000</v>
      </c>
      <c r="B192" s="119" t="s">
        <v>367</v>
      </c>
      <c r="C192" s="119" t="s">
        <v>372</v>
      </c>
      <c r="D192" s="119">
        <v>896.8</v>
      </c>
    </row>
    <row r="193" spans="1:4" x14ac:dyDescent="0.2">
      <c r="A193" s="119">
        <v>5160200000</v>
      </c>
      <c r="B193" s="119" t="s">
        <v>373</v>
      </c>
      <c r="C193" s="119" t="s">
        <v>374</v>
      </c>
      <c r="D193" s="119">
        <v>604.20000000000005</v>
      </c>
    </row>
    <row r="194" spans="1:4" x14ac:dyDescent="0.2">
      <c r="A194" s="119">
        <v>5260100000</v>
      </c>
      <c r="B194" s="119" t="s">
        <v>373</v>
      </c>
      <c r="C194" s="119" t="s">
        <v>375</v>
      </c>
      <c r="D194" s="119">
        <v>27.16</v>
      </c>
    </row>
    <row r="195" spans="1:4" x14ac:dyDescent="0.2">
      <c r="A195" s="119">
        <v>5260200000</v>
      </c>
      <c r="B195" s="119" t="s">
        <v>373</v>
      </c>
      <c r="C195" s="119" t="s">
        <v>321</v>
      </c>
      <c r="D195" s="119">
        <v>7704.96</v>
      </c>
    </row>
    <row r="196" spans="1:4" x14ac:dyDescent="0.2">
      <c r="A196" s="119">
        <v>5260150000</v>
      </c>
      <c r="B196" s="119" t="s">
        <v>373</v>
      </c>
    </row>
    <row r="197" spans="1:4" x14ac:dyDescent="0.2">
      <c r="A197" s="119">
        <v>5260350000</v>
      </c>
      <c r="B197" s="119" t="s">
        <v>373</v>
      </c>
    </row>
    <row r="198" spans="1:4" x14ac:dyDescent="0.2">
      <c r="A198" s="119">
        <v>5160150000</v>
      </c>
      <c r="B198" s="119" t="s">
        <v>376</v>
      </c>
    </row>
    <row r="199" spans="1:4" x14ac:dyDescent="0.2">
      <c r="A199" s="119">
        <v>5145150100</v>
      </c>
      <c r="B199" s="119" t="s">
        <v>377</v>
      </c>
    </row>
    <row r="200" spans="1:4" x14ac:dyDescent="0.2">
      <c r="A200" s="119">
        <v>5235300000</v>
      </c>
      <c r="B200" s="119" t="s">
        <v>377</v>
      </c>
    </row>
    <row r="201" spans="1:4" x14ac:dyDescent="0.2">
      <c r="A201" s="119">
        <v>5245100000</v>
      </c>
      <c r="B201" s="119" t="s">
        <v>377</v>
      </c>
    </row>
    <row r="202" spans="1:4" x14ac:dyDescent="0.2">
      <c r="A202" s="119">
        <v>5245150000</v>
      </c>
      <c r="B202" s="119" t="s">
        <v>377</v>
      </c>
    </row>
    <row r="203" spans="1:4" x14ac:dyDescent="0.2">
      <c r="A203" s="119">
        <v>5245150100</v>
      </c>
      <c r="B203" s="119" t="s">
        <v>377</v>
      </c>
    </row>
    <row r="204" spans="1:4" x14ac:dyDescent="0.2">
      <c r="A204" s="119">
        <v>5245200000</v>
      </c>
      <c r="B204" s="119" t="s">
        <v>377</v>
      </c>
    </row>
    <row r="205" spans="1:4" x14ac:dyDescent="0.2">
      <c r="A205" s="119">
        <v>5245250000</v>
      </c>
      <c r="B205" s="119" t="s">
        <v>377</v>
      </c>
    </row>
    <row r="206" spans="1:4" x14ac:dyDescent="0.2">
      <c r="A206" s="119">
        <v>5250050000</v>
      </c>
      <c r="B206" s="119" t="s">
        <v>377</v>
      </c>
    </row>
    <row r="207" spans="1:4" x14ac:dyDescent="0.2">
      <c r="A207" s="119">
        <v>5250100000</v>
      </c>
      <c r="B207" s="119" t="s">
        <v>377</v>
      </c>
    </row>
    <row r="208" spans="1:4" x14ac:dyDescent="0.2">
      <c r="A208" s="119">
        <v>5250950000</v>
      </c>
      <c r="B208" s="119" t="s">
        <v>377</v>
      </c>
    </row>
    <row r="209" spans="1:2" x14ac:dyDescent="0.2">
      <c r="A209" s="119">
        <v>5295250000</v>
      </c>
      <c r="B209" s="119" t="s">
        <v>377</v>
      </c>
    </row>
    <row r="210" spans="1:2" x14ac:dyDescent="0.2">
      <c r="A210" s="119">
        <v>5295950300</v>
      </c>
      <c r="B210" s="119" t="s">
        <v>377</v>
      </c>
    </row>
    <row r="211" spans="1:2" x14ac:dyDescent="0.2">
      <c r="A211" s="119">
        <v>5235050000</v>
      </c>
      <c r="B211" s="119" t="s">
        <v>378</v>
      </c>
    </row>
    <row r="212" spans="1:2" x14ac:dyDescent="0.2">
      <c r="A212" s="119">
        <v>5235200000</v>
      </c>
      <c r="B212" s="119" t="s">
        <v>378</v>
      </c>
    </row>
    <row r="213" spans="1:2" x14ac:dyDescent="0.2">
      <c r="A213" s="119">
        <v>5235950100</v>
      </c>
      <c r="B213" s="119" t="s">
        <v>378</v>
      </c>
    </row>
    <row r="214" spans="1:2" x14ac:dyDescent="0.2">
      <c r="A214" s="119">
        <v>5235950400</v>
      </c>
      <c r="B214" s="119" t="s">
        <v>378</v>
      </c>
    </row>
    <row r="215" spans="1:2" x14ac:dyDescent="0.2">
      <c r="A215" s="119">
        <v>5235950500</v>
      </c>
      <c r="B215" s="119" t="s">
        <v>378</v>
      </c>
    </row>
    <row r="216" spans="1:2" x14ac:dyDescent="0.2">
      <c r="A216" s="119">
        <v>5235950600</v>
      </c>
      <c r="B216" s="119" t="s">
        <v>378</v>
      </c>
    </row>
    <row r="217" spans="1:2" x14ac:dyDescent="0.2">
      <c r="A217" s="119">
        <v>5235950600</v>
      </c>
      <c r="B217" s="119" t="s">
        <v>378</v>
      </c>
    </row>
    <row r="218" spans="1:2" x14ac:dyDescent="0.2">
      <c r="A218" s="119">
        <v>5235950600</v>
      </c>
      <c r="B218" s="119" t="s">
        <v>378</v>
      </c>
    </row>
    <row r="219" spans="1:2" x14ac:dyDescent="0.2">
      <c r="A219" s="119">
        <v>5295950500</v>
      </c>
      <c r="B219" s="119" t="s">
        <v>378</v>
      </c>
    </row>
    <row r="220" spans="1:2" x14ac:dyDescent="0.2">
      <c r="A220" s="119">
        <v>5295950100</v>
      </c>
      <c r="B220" s="119" t="s">
        <v>379</v>
      </c>
    </row>
    <row r="221" spans="1:2" x14ac:dyDescent="0.2">
      <c r="A221" s="119">
        <v>5299100000</v>
      </c>
      <c r="B221" s="119" t="s">
        <v>380</v>
      </c>
    </row>
    <row r="222" spans="1:2" x14ac:dyDescent="0.2">
      <c r="A222" s="119">
        <v>5160100000</v>
      </c>
      <c r="B222" s="119" t="s">
        <v>381</v>
      </c>
    </row>
    <row r="223" spans="1:2" x14ac:dyDescent="0.2">
      <c r="B223" s="119" t="s">
        <v>382</v>
      </c>
    </row>
    <row r="224" spans="1:2" x14ac:dyDescent="0.2">
      <c r="A224" s="119">
        <v>5205630100</v>
      </c>
      <c r="B224" s="119" t="s">
        <v>383</v>
      </c>
    </row>
    <row r="225" spans="1:2" x14ac:dyDescent="0.2">
      <c r="A225" s="119">
        <v>5205630200</v>
      </c>
      <c r="B225" s="119" t="s">
        <v>383</v>
      </c>
    </row>
    <row r="226" spans="1:2" x14ac:dyDescent="0.2">
      <c r="A226" s="119">
        <v>5205060100</v>
      </c>
      <c r="B226" s="119" t="s">
        <v>384</v>
      </c>
    </row>
    <row r="227" spans="1:2" x14ac:dyDescent="0.2">
      <c r="A227" s="119">
        <v>5205150100</v>
      </c>
      <c r="B227" s="119" t="s">
        <v>384</v>
      </c>
    </row>
    <row r="228" spans="1:2" x14ac:dyDescent="0.2">
      <c r="A228" s="119">
        <v>5205360100</v>
      </c>
      <c r="B228" s="119" t="s">
        <v>385</v>
      </c>
    </row>
    <row r="229" spans="1:2" x14ac:dyDescent="0.2">
      <c r="A229" s="119">
        <v>5205390100</v>
      </c>
      <c r="B229" s="119" t="s">
        <v>385</v>
      </c>
    </row>
    <row r="230" spans="1:2" x14ac:dyDescent="0.2">
      <c r="A230" s="119">
        <v>5205600100</v>
      </c>
      <c r="B230" s="119" t="s">
        <v>385</v>
      </c>
    </row>
    <row r="231" spans="1:2" x14ac:dyDescent="0.2">
      <c r="A231" s="119">
        <v>5205690100</v>
      </c>
      <c r="B231" s="119" t="s">
        <v>385</v>
      </c>
    </row>
    <row r="232" spans="1:2" x14ac:dyDescent="0.2">
      <c r="A232" s="119">
        <v>5205700100</v>
      </c>
      <c r="B232" s="119" t="s">
        <v>385</v>
      </c>
    </row>
    <row r="233" spans="1:2" x14ac:dyDescent="0.2">
      <c r="A233" s="119">
        <v>5205700100</v>
      </c>
      <c r="B233" s="119" t="s">
        <v>385</v>
      </c>
    </row>
    <row r="234" spans="1:2" x14ac:dyDescent="0.2">
      <c r="A234" s="119">
        <v>5205700200</v>
      </c>
      <c r="B234" s="119" t="s">
        <v>385</v>
      </c>
    </row>
    <row r="235" spans="1:2" x14ac:dyDescent="0.2">
      <c r="A235" s="119">
        <v>5205780100</v>
      </c>
      <c r="B235" s="119" t="s">
        <v>385</v>
      </c>
    </row>
    <row r="236" spans="1:2" x14ac:dyDescent="0.2">
      <c r="A236" s="119">
        <v>5205660100</v>
      </c>
      <c r="B236" s="119" t="s">
        <v>386</v>
      </c>
    </row>
    <row r="237" spans="1:2" x14ac:dyDescent="0.2">
      <c r="A237" s="119">
        <v>5210250000</v>
      </c>
      <c r="B237" s="119" t="s">
        <v>387</v>
      </c>
    </row>
    <row r="238" spans="1:2" x14ac:dyDescent="0.2">
      <c r="A238" s="119">
        <v>5210350000</v>
      </c>
      <c r="B238" s="119" t="s">
        <v>387</v>
      </c>
    </row>
    <row r="239" spans="1:2" x14ac:dyDescent="0.2">
      <c r="A239" s="119">
        <v>5210950000</v>
      </c>
      <c r="B239" s="119" t="s">
        <v>387</v>
      </c>
    </row>
    <row r="240" spans="1:2" x14ac:dyDescent="0.2">
      <c r="A240" s="119">
        <v>5115950000</v>
      </c>
      <c r="B240" s="119" t="s">
        <v>388</v>
      </c>
    </row>
    <row r="241" spans="1:2" x14ac:dyDescent="0.2">
      <c r="A241" s="119">
        <v>5215100000</v>
      </c>
      <c r="B241" s="119" t="s">
        <v>388</v>
      </c>
    </row>
    <row r="242" spans="1:2" x14ac:dyDescent="0.2">
      <c r="A242" s="119">
        <v>5215950000</v>
      </c>
      <c r="B242" s="119" t="s">
        <v>388</v>
      </c>
    </row>
    <row r="243" spans="1:2" x14ac:dyDescent="0.2">
      <c r="A243" s="119">
        <v>5240100000</v>
      </c>
      <c r="B243" s="119" t="s">
        <v>388</v>
      </c>
    </row>
    <row r="244" spans="1:2" x14ac:dyDescent="0.2">
      <c r="A244" s="119">
        <v>5240150000</v>
      </c>
      <c r="B244" s="119" t="s">
        <v>388</v>
      </c>
    </row>
    <row r="245" spans="1:2" x14ac:dyDescent="0.2">
      <c r="A245" s="119">
        <v>5245400000</v>
      </c>
      <c r="B245" s="119" t="s">
        <v>389</v>
      </c>
    </row>
    <row r="246" spans="1:2" x14ac:dyDescent="0.2">
      <c r="A246" s="119">
        <v>5295350000</v>
      </c>
      <c r="B246" s="119" t="s">
        <v>389</v>
      </c>
    </row>
    <row r="247" spans="1:2" x14ac:dyDescent="0.2">
      <c r="A247" s="119">
        <v>5295100000</v>
      </c>
      <c r="B247" s="119" t="s">
        <v>390</v>
      </c>
    </row>
    <row r="248" spans="1:2" x14ac:dyDescent="0.2">
      <c r="A248" s="119">
        <v>5295300000</v>
      </c>
      <c r="B248" s="119" t="s">
        <v>390</v>
      </c>
    </row>
    <row r="249" spans="1:2" x14ac:dyDescent="0.2">
      <c r="A249" s="119">
        <v>5235600000</v>
      </c>
      <c r="B249" s="119" t="s">
        <v>391</v>
      </c>
    </row>
    <row r="250" spans="1:2" x14ac:dyDescent="0.2">
      <c r="A250" s="119">
        <v>5235350000</v>
      </c>
      <c r="B250" s="119" t="s">
        <v>392</v>
      </c>
    </row>
    <row r="251" spans="1:2" x14ac:dyDescent="0.2">
      <c r="A251" s="119">
        <v>5235400100</v>
      </c>
      <c r="B251" s="119" t="s">
        <v>392</v>
      </c>
    </row>
    <row r="252" spans="1:2" x14ac:dyDescent="0.2">
      <c r="A252" s="119">
        <v>5235400200</v>
      </c>
      <c r="B252" s="119" t="s">
        <v>392</v>
      </c>
    </row>
    <row r="253" spans="1:2" x14ac:dyDescent="0.2">
      <c r="A253" s="119">
        <v>5235450000</v>
      </c>
      <c r="B253" s="119" t="s">
        <v>392</v>
      </c>
    </row>
    <row r="254" spans="1:2" x14ac:dyDescent="0.2">
      <c r="A254" s="119">
        <v>5230250000</v>
      </c>
      <c r="B254" s="119" t="s">
        <v>393</v>
      </c>
    </row>
    <row r="255" spans="1:2" x14ac:dyDescent="0.2">
      <c r="A255" s="119">
        <v>5230950000</v>
      </c>
      <c r="B255" s="119" t="s">
        <v>393</v>
      </c>
    </row>
    <row r="256" spans="1:2" x14ac:dyDescent="0.2">
      <c r="A256" s="119">
        <v>5295700000</v>
      </c>
      <c r="B256" s="119" t="s">
        <v>393</v>
      </c>
    </row>
    <row r="257" spans="1:2" x14ac:dyDescent="0.2">
      <c r="A257" s="119">
        <v>5225100000</v>
      </c>
      <c r="B257" s="119" t="s">
        <v>394</v>
      </c>
    </row>
    <row r="258" spans="1:2" x14ac:dyDescent="0.2">
      <c r="A258" s="119">
        <v>5205480100</v>
      </c>
      <c r="B258" s="119" t="s">
        <v>395</v>
      </c>
    </row>
    <row r="259" spans="1:2" x14ac:dyDescent="0.2">
      <c r="A259" s="119">
        <v>5205480200</v>
      </c>
      <c r="B259" s="119" t="s">
        <v>395</v>
      </c>
    </row>
    <row r="260" spans="1:2" x14ac:dyDescent="0.2">
      <c r="A260" s="119">
        <v>5205481000</v>
      </c>
      <c r="B260" s="119" t="s">
        <v>395</v>
      </c>
    </row>
    <row r="261" spans="1:2" x14ac:dyDescent="0.2">
      <c r="A261" s="119">
        <v>5205481100</v>
      </c>
      <c r="B261" s="119" t="s">
        <v>395</v>
      </c>
    </row>
    <row r="262" spans="1:2" x14ac:dyDescent="0.2">
      <c r="A262" s="119">
        <v>5205210100</v>
      </c>
      <c r="B262" s="119" t="s">
        <v>396</v>
      </c>
    </row>
    <row r="263" spans="1:2" x14ac:dyDescent="0.2">
      <c r="A263" s="119">
        <v>5205210200</v>
      </c>
      <c r="B263" s="119" t="s">
        <v>396</v>
      </c>
    </row>
    <row r="264" spans="1:2" x14ac:dyDescent="0.2">
      <c r="A264" s="119">
        <v>5255050100</v>
      </c>
      <c r="B264" s="119" t="s">
        <v>396</v>
      </c>
    </row>
    <row r="265" spans="1:2" x14ac:dyDescent="0.2">
      <c r="A265" s="119">
        <v>5255060100</v>
      </c>
      <c r="B265" s="119" t="s">
        <v>396</v>
      </c>
    </row>
    <row r="266" spans="1:2" x14ac:dyDescent="0.2">
      <c r="A266" s="119">
        <v>5255150100</v>
      </c>
      <c r="B266" s="119" t="s">
        <v>396</v>
      </c>
    </row>
    <row r="267" spans="1:2" x14ac:dyDescent="0.2">
      <c r="A267" s="119">
        <v>5255200100</v>
      </c>
      <c r="B267" s="119" t="s">
        <v>396</v>
      </c>
    </row>
    <row r="268" spans="1:2" x14ac:dyDescent="0.2">
      <c r="A268" s="119">
        <v>5255200200</v>
      </c>
      <c r="B268" s="119" t="s">
        <v>396</v>
      </c>
    </row>
    <row r="269" spans="1:2" x14ac:dyDescent="0.2">
      <c r="A269" s="119">
        <v>5255950100</v>
      </c>
      <c r="B269" s="119" t="s">
        <v>396</v>
      </c>
    </row>
    <row r="270" spans="1:2" x14ac:dyDescent="0.2">
      <c r="A270" s="119">
        <v>5240050000</v>
      </c>
      <c r="B270" s="119" t="s">
        <v>397</v>
      </c>
    </row>
    <row r="271" spans="1:2" x14ac:dyDescent="0.2">
      <c r="A271" s="119">
        <v>5240200400</v>
      </c>
      <c r="B271" s="119" t="s">
        <v>397</v>
      </c>
    </row>
    <row r="272" spans="1:2" x14ac:dyDescent="0.2">
      <c r="A272" s="119">
        <v>5220050000</v>
      </c>
      <c r="B272" s="119" t="s">
        <v>398</v>
      </c>
    </row>
    <row r="273" spans="1:2" x14ac:dyDescent="0.2">
      <c r="A273" s="119">
        <v>5220100000</v>
      </c>
      <c r="B273" s="119" t="s">
        <v>398</v>
      </c>
    </row>
    <row r="274" spans="1:2" x14ac:dyDescent="0.2">
      <c r="A274" s="119">
        <v>5220100100</v>
      </c>
      <c r="B274" s="119" t="s">
        <v>398</v>
      </c>
    </row>
    <row r="275" spans="1:2" x14ac:dyDescent="0.2">
      <c r="A275" s="119">
        <v>5220950000</v>
      </c>
      <c r="B275" s="119" t="s">
        <v>398</v>
      </c>
    </row>
    <row r="278" spans="1:2" x14ac:dyDescent="0.2">
      <c r="B278" s="119" t="s">
        <v>399</v>
      </c>
    </row>
    <row r="279" spans="1:2" x14ac:dyDescent="0.2">
      <c r="A279" s="119">
        <v>5105060000</v>
      </c>
      <c r="B279" s="119" t="s">
        <v>400</v>
      </c>
    </row>
    <row r="280" spans="1:2" x14ac:dyDescent="0.2">
      <c r="A280" s="119">
        <v>5105150000</v>
      </c>
      <c r="B280" s="119" t="s">
        <v>400</v>
      </c>
    </row>
    <row r="281" spans="1:2" x14ac:dyDescent="0.2">
      <c r="A281" s="119">
        <v>5105360000</v>
      </c>
      <c r="B281" s="119" t="s">
        <v>401</v>
      </c>
    </row>
    <row r="282" spans="1:2" x14ac:dyDescent="0.2">
      <c r="A282" s="119">
        <v>5105390000</v>
      </c>
      <c r="B282" s="119" t="s">
        <v>401</v>
      </c>
    </row>
    <row r="283" spans="1:2" x14ac:dyDescent="0.2">
      <c r="A283" s="119">
        <v>5105600000</v>
      </c>
      <c r="B283" s="119" t="s">
        <v>401</v>
      </c>
    </row>
    <row r="284" spans="1:2" x14ac:dyDescent="0.2">
      <c r="A284" s="119">
        <v>5105690000</v>
      </c>
      <c r="B284" s="119" t="s">
        <v>401</v>
      </c>
    </row>
    <row r="285" spans="1:2" x14ac:dyDescent="0.2">
      <c r="A285" s="119">
        <v>5105700000</v>
      </c>
      <c r="B285" s="119" t="s">
        <v>401</v>
      </c>
    </row>
    <row r="286" spans="1:2" x14ac:dyDescent="0.2">
      <c r="A286" s="119">
        <v>5105780000</v>
      </c>
      <c r="B286" s="119" t="s">
        <v>401</v>
      </c>
    </row>
    <row r="287" spans="1:2" x14ac:dyDescent="0.2">
      <c r="A287" s="119">
        <v>5105950000</v>
      </c>
      <c r="B287" s="119" t="s">
        <v>401</v>
      </c>
    </row>
    <row r="288" spans="1:2" x14ac:dyDescent="0.2">
      <c r="A288" s="119">
        <v>5105180000</v>
      </c>
      <c r="B288" s="119" t="s">
        <v>402</v>
      </c>
    </row>
    <row r="289" spans="1:2" x14ac:dyDescent="0.2">
      <c r="A289" s="119">
        <v>5105630000</v>
      </c>
      <c r="B289" s="119" t="s">
        <v>403</v>
      </c>
    </row>
    <row r="290" spans="1:2" x14ac:dyDescent="0.2">
      <c r="A290" s="119">
        <v>5105391000</v>
      </c>
      <c r="B290" s="119" t="s">
        <v>404</v>
      </c>
    </row>
    <row r="291" spans="1:2" x14ac:dyDescent="0.2">
      <c r="A291" s="119">
        <v>5105691000</v>
      </c>
      <c r="B291" s="119" t="s">
        <v>404</v>
      </c>
    </row>
    <row r="292" spans="1:2" x14ac:dyDescent="0.2">
      <c r="A292" s="119">
        <v>5105701000</v>
      </c>
      <c r="B292" s="119" t="s">
        <v>404</v>
      </c>
    </row>
    <row r="293" spans="1:2" x14ac:dyDescent="0.2">
      <c r="A293" s="119">
        <v>5135050000</v>
      </c>
      <c r="B293" s="119" t="s">
        <v>378</v>
      </c>
    </row>
    <row r="294" spans="1:2" x14ac:dyDescent="0.2">
      <c r="A294" s="119">
        <v>5135150000</v>
      </c>
      <c r="B294" s="119" t="s">
        <v>378</v>
      </c>
    </row>
    <row r="295" spans="1:2" x14ac:dyDescent="0.2">
      <c r="A295" s="119">
        <v>5135200000</v>
      </c>
      <c r="B295" s="119" t="s">
        <v>378</v>
      </c>
    </row>
    <row r="296" spans="1:2" x14ac:dyDescent="0.2">
      <c r="A296" s="119">
        <v>5135950500</v>
      </c>
      <c r="B296" s="119" t="s">
        <v>378</v>
      </c>
    </row>
    <row r="297" spans="1:2" x14ac:dyDescent="0.2">
      <c r="A297" s="119">
        <v>5120100000</v>
      </c>
      <c r="B297" s="119" t="s">
        <v>405</v>
      </c>
    </row>
    <row r="298" spans="1:2" x14ac:dyDescent="0.2">
      <c r="A298" s="119">
        <v>5105660000</v>
      </c>
      <c r="B298" s="119" t="s">
        <v>406</v>
      </c>
    </row>
    <row r="299" spans="1:2" x14ac:dyDescent="0.2">
      <c r="A299" s="119">
        <v>5155960000</v>
      </c>
      <c r="B299" s="119" t="s">
        <v>406</v>
      </c>
    </row>
    <row r="300" spans="1:2" x14ac:dyDescent="0.2">
      <c r="A300" s="119">
        <v>5195950300</v>
      </c>
      <c r="B300" s="119" t="s">
        <v>407</v>
      </c>
    </row>
    <row r="301" spans="1:2" x14ac:dyDescent="0.2">
      <c r="A301" s="119">
        <v>5110100000</v>
      </c>
      <c r="B301" s="119" t="s">
        <v>408</v>
      </c>
    </row>
    <row r="302" spans="1:2" x14ac:dyDescent="0.2">
      <c r="A302" s="119">
        <v>5110200000</v>
      </c>
      <c r="B302" s="119" t="s">
        <v>408</v>
      </c>
    </row>
    <row r="303" spans="1:2" x14ac:dyDescent="0.2">
      <c r="A303" s="119">
        <v>5110250000</v>
      </c>
      <c r="B303" s="119" t="s">
        <v>408</v>
      </c>
    </row>
    <row r="304" spans="1:2" x14ac:dyDescent="0.2">
      <c r="A304" s="119">
        <v>5110300000</v>
      </c>
      <c r="B304" s="119" t="s">
        <v>408</v>
      </c>
    </row>
    <row r="305" spans="1:2" x14ac:dyDescent="0.2">
      <c r="A305" s="119">
        <v>5110350000</v>
      </c>
      <c r="B305" s="119" t="s">
        <v>408</v>
      </c>
    </row>
    <row r="306" spans="1:2" x14ac:dyDescent="0.2">
      <c r="A306" s="119">
        <v>5110950000</v>
      </c>
      <c r="B306" s="119" t="s">
        <v>408</v>
      </c>
    </row>
    <row r="307" spans="1:2" x14ac:dyDescent="0.2">
      <c r="A307" s="119">
        <v>5130</v>
      </c>
      <c r="B307" s="119" t="s">
        <v>409</v>
      </c>
    </row>
    <row r="308" spans="1:2" x14ac:dyDescent="0.2">
      <c r="A308" s="119">
        <v>5145400000</v>
      </c>
      <c r="B308" s="119" t="s">
        <v>410</v>
      </c>
    </row>
    <row r="309" spans="1:2" x14ac:dyDescent="0.2">
      <c r="A309" s="119">
        <v>5195350000</v>
      </c>
      <c r="B309" s="119" t="s">
        <v>410</v>
      </c>
    </row>
    <row r="310" spans="1:2" x14ac:dyDescent="0.2">
      <c r="A310" s="119">
        <v>5195300000</v>
      </c>
      <c r="B310" s="119" t="s">
        <v>390</v>
      </c>
    </row>
    <row r="311" spans="1:2" x14ac:dyDescent="0.2">
      <c r="A311" s="119">
        <v>5135350000</v>
      </c>
      <c r="B311" s="119" t="s">
        <v>411</v>
      </c>
    </row>
    <row r="312" spans="1:2" x14ac:dyDescent="0.2">
      <c r="A312" s="119">
        <v>5145050000</v>
      </c>
      <c r="B312" s="119" t="s">
        <v>412</v>
      </c>
    </row>
    <row r="313" spans="1:2" x14ac:dyDescent="0.2">
      <c r="A313" s="119">
        <v>5145100000</v>
      </c>
      <c r="B313" s="119" t="s">
        <v>412</v>
      </c>
    </row>
    <row r="314" spans="1:2" x14ac:dyDescent="0.2">
      <c r="A314" s="119">
        <v>5145200000</v>
      </c>
      <c r="B314" s="119" t="s">
        <v>412</v>
      </c>
    </row>
    <row r="315" spans="1:2" x14ac:dyDescent="0.2">
      <c r="A315" s="119">
        <v>5145250000</v>
      </c>
      <c r="B315" s="119" t="s">
        <v>412</v>
      </c>
    </row>
    <row r="316" spans="1:2" x14ac:dyDescent="0.2">
      <c r="A316" s="119">
        <v>5150050000</v>
      </c>
      <c r="B316" s="119" t="s">
        <v>412</v>
      </c>
    </row>
    <row r="317" spans="1:2" x14ac:dyDescent="0.2">
      <c r="A317" s="119">
        <v>5150100000</v>
      </c>
      <c r="B317" s="119" t="s">
        <v>412</v>
      </c>
    </row>
    <row r="318" spans="1:2" x14ac:dyDescent="0.2">
      <c r="A318" s="119">
        <v>5150150000</v>
      </c>
      <c r="B318" s="119" t="s">
        <v>412</v>
      </c>
    </row>
    <row r="319" spans="1:2" x14ac:dyDescent="0.2">
      <c r="A319" s="119">
        <v>5150950000</v>
      </c>
      <c r="B319" s="119" t="s">
        <v>412</v>
      </c>
    </row>
    <row r="320" spans="1:2" x14ac:dyDescent="0.2">
      <c r="A320" s="119">
        <v>5195150000</v>
      </c>
      <c r="B320" s="119" t="s">
        <v>412</v>
      </c>
    </row>
    <row r="321" spans="1:2" x14ac:dyDescent="0.2">
      <c r="A321" s="119">
        <v>5195250000</v>
      </c>
      <c r="B321" s="119" t="s">
        <v>412</v>
      </c>
    </row>
    <row r="322" spans="1:2" x14ac:dyDescent="0.2">
      <c r="A322" s="119">
        <v>5195400000</v>
      </c>
      <c r="B322" s="119" t="s">
        <v>412</v>
      </c>
    </row>
    <row r="323" spans="1:2" x14ac:dyDescent="0.2">
      <c r="A323" s="133">
        <v>5140050000</v>
      </c>
      <c r="B323" s="119" t="s">
        <v>413</v>
      </c>
    </row>
    <row r="324" spans="1:2" x14ac:dyDescent="0.2">
      <c r="A324" s="133">
        <v>5140100000</v>
      </c>
      <c r="B324" s="119" t="s">
        <v>414</v>
      </c>
    </row>
    <row r="325" spans="1:2" x14ac:dyDescent="0.2">
      <c r="A325" s="119">
        <v>5105210000</v>
      </c>
      <c r="B325" s="119" t="s">
        <v>415</v>
      </c>
    </row>
    <row r="326" spans="1:2" x14ac:dyDescent="0.2">
      <c r="A326" s="119">
        <v>5155050000</v>
      </c>
      <c r="B326" s="119" t="s">
        <v>415</v>
      </c>
    </row>
    <row r="327" spans="1:2" x14ac:dyDescent="0.2">
      <c r="A327" s="119">
        <v>5155060000</v>
      </c>
      <c r="B327" s="119" t="s">
        <v>415</v>
      </c>
    </row>
    <row r="328" spans="1:2" x14ac:dyDescent="0.2">
      <c r="A328" s="119">
        <v>5155150000</v>
      </c>
      <c r="B328" s="119" t="s">
        <v>415</v>
      </c>
    </row>
    <row r="329" spans="1:2" x14ac:dyDescent="0.2">
      <c r="A329" s="119">
        <v>5155200000</v>
      </c>
      <c r="B329" s="119" t="s">
        <v>415</v>
      </c>
    </row>
    <row r="330" spans="1:2" x14ac:dyDescent="0.2">
      <c r="A330" s="119">
        <v>5155950000</v>
      </c>
      <c r="B330" s="119" t="s">
        <v>415</v>
      </c>
    </row>
    <row r="332" spans="1:2" x14ac:dyDescent="0.2">
      <c r="B332" s="119" t="s">
        <v>416</v>
      </c>
    </row>
    <row r="333" spans="1:2" x14ac:dyDescent="0.2">
      <c r="A333" s="119">
        <v>5135950300</v>
      </c>
      <c r="B333" s="119" t="s">
        <v>417</v>
      </c>
    </row>
    <row r="334" spans="1:2" x14ac:dyDescent="0.2">
      <c r="A334" s="119">
        <v>5198530000</v>
      </c>
      <c r="B334" s="119" t="s">
        <v>417</v>
      </c>
    </row>
    <row r="335" spans="1:2" x14ac:dyDescent="0.2">
      <c r="A335" s="119">
        <v>5398050000</v>
      </c>
      <c r="B335" s="119" t="s">
        <v>417</v>
      </c>
    </row>
    <row r="336" spans="1:2" x14ac:dyDescent="0.2">
      <c r="A336" s="119">
        <v>5398210000</v>
      </c>
      <c r="B336" s="119" t="s">
        <v>418</v>
      </c>
    </row>
    <row r="337" spans="1:2" x14ac:dyDescent="0.2">
      <c r="A337" s="119">
        <v>5110358000</v>
      </c>
      <c r="B337" s="119" t="s">
        <v>419</v>
      </c>
    </row>
    <row r="338" spans="1:2" x14ac:dyDescent="0.2">
      <c r="A338" s="119">
        <v>5210358000</v>
      </c>
      <c r="B338" s="119" t="s">
        <v>419</v>
      </c>
    </row>
    <row r="340" spans="1:2" x14ac:dyDescent="0.2">
      <c r="B340" s="119" t="s">
        <v>420</v>
      </c>
    </row>
    <row r="341" spans="1:2" x14ac:dyDescent="0.2">
      <c r="A341" s="119">
        <v>4210200100</v>
      </c>
      <c r="B341" s="119" t="s">
        <v>421</v>
      </c>
    </row>
    <row r="342" spans="1:2" x14ac:dyDescent="0.2">
      <c r="A342" s="119">
        <v>4210200200</v>
      </c>
      <c r="B342" s="119" t="s">
        <v>421</v>
      </c>
    </row>
    <row r="343" spans="1:2" x14ac:dyDescent="0.2">
      <c r="A343" s="119">
        <v>4210200400</v>
      </c>
      <c r="B343" s="119" t="s">
        <v>422</v>
      </c>
    </row>
    <row r="344" spans="1:2" x14ac:dyDescent="0.2">
      <c r="A344" s="119">
        <v>4210200500</v>
      </c>
      <c r="B344" s="119" t="s">
        <v>422</v>
      </c>
    </row>
    <row r="345" spans="1:2" x14ac:dyDescent="0.2">
      <c r="A345" s="119">
        <v>4210200501</v>
      </c>
      <c r="B345" s="119" t="s">
        <v>422</v>
      </c>
    </row>
    <row r="346" spans="1:2" x14ac:dyDescent="0.2">
      <c r="A346" s="119">
        <v>4210201000</v>
      </c>
      <c r="B346" s="119" t="s">
        <v>422</v>
      </c>
    </row>
    <row r="347" spans="1:2" x14ac:dyDescent="0.2">
      <c r="A347" s="119">
        <v>4210201001</v>
      </c>
      <c r="B347" s="119" t="s">
        <v>422</v>
      </c>
    </row>
    <row r="348" spans="1:2" x14ac:dyDescent="0.2">
      <c r="A348" s="119">
        <v>4210201100</v>
      </c>
      <c r="B348" s="119" t="s">
        <v>422</v>
      </c>
    </row>
    <row r="349" spans="1:2" x14ac:dyDescent="0.2">
      <c r="A349" s="119">
        <v>4210051000</v>
      </c>
      <c r="B349" s="119" t="s">
        <v>423</v>
      </c>
    </row>
    <row r="350" spans="1:2" x14ac:dyDescent="0.2">
      <c r="A350" s="119">
        <v>4210201000</v>
      </c>
      <c r="B350" s="119" t="s">
        <v>423</v>
      </c>
    </row>
    <row r="351" spans="1:2" x14ac:dyDescent="0.2">
      <c r="A351" s="119">
        <v>4210400000</v>
      </c>
      <c r="B351" s="119" t="s">
        <v>423</v>
      </c>
    </row>
    <row r="352" spans="1:2" x14ac:dyDescent="0.2">
      <c r="A352" s="119">
        <v>4245010000</v>
      </c>
      <c r="B352" s="119" t="s">
        <v>423</v>
      </c>
    </row>
    <row r="353" spans="1:2" x14ac:dyDescent="0.2">
      <c r="A353" s="119">
        <v>4250500100</v>
      </c>
      <c r="B353" s="119" t="s">
        <v>423</v>
      </c>
    </row>
    <row r="354" spans="1:2" x14ac:dyDescent="0.2">
      <c r="A354" s="119">
        <v>4250500200</v>
      </c>
      <c r="B354" s="119" t="s">
        <v>423</v>
      </c>
    </row>
    <row r="355" spans="1:2" x14ac:dyDescent="0.2">
      <c r="A355" s="119">
        <v>4250500300</v>
      </c>
      <c r="B355" s="119" t="s">
        <v>423</v>
      </c>
    </row>
    <row r="356" spans="1:2" x14ac:dyDescent="0.2">
      <c r="A356" s="119">
        <v>4250506600</v>
      </c>
      <c r="B356" s="119" t="s">
        <v>423</v>
      </c>
    </row>
    <row r="357" spans="1:2" x14ac:dyDescent="0.2">
      <c r="A357" s="119">
        <v>4255200000</v>
      </c>
      <c r="B357" s="119" t="s">
        <v>423</v>
      </c>
    </row>
    <row r="358" spans="1:2" x14ac:dyDescent="0.2">
      <c r="A358" s="119">
        <v>4295050000</v>
      </c>
      <c r="B358" s="119" t="s">
        <v>423</v>
      </c>
    </row>
    <row r="359" spans="1:2" x14ac:dyDescent="0.2">
      <c r="A359" s="119">
        <v>4295810000</v>
      </c>
      <c r="B359" s="119" t="s">
        <v>423</v>
      </c>
    </row>
    <row r="361" spans="1:2" x14ac:dyDescent="0.2">
      <c r="B361" s="119" t="s">
        <v>424</v>
      </c>
    </row>
    <row r="362" spans="1:2" x14ac:dyDescent="0.2">
      <c r="A362" s="119">
        <v>5305350000</v>
      </c>
      <c r="B362" s="119" t="s">
        <v>425</v>
      </c>
    </row>
    <row r="363" spans="1:2" x14ac:dyDescent="0.2">
      <c r="A363" s="119">
        <v>5310150000</v>
      </c>
      <c r="B363" s="119" t="s">
        <v>425</v>
      </c>
    </row>
    <row r="364" spans="1:2" x14ac:dyDescent="0.2">
      <c r="A364" s="119">
        <v>5310300000</v>
      </c>
      <c r="B364" s="119" t="s">
        <v>425</v>
      </c>
    </row>
    <row r="365" spans="1:2" x14ac:dyDescent="0.2">
      <c r="A365" s="119">
        <v>5310350000</v>
      </c>
      <c r="B365" s="119" t="s">
        <v>425</v>
      </c>
    </row>
    <row r="366" spans="1:2" x14ac:dyDescent="0.2">
      <c r="A366" s="119">
        <v>5313050000</v>
      </c>
      <c r="B366" s="119" t="s">
        <v>425</v>
      </c>
    </row>
    <row r="367" spans="1:2" x14ac:dyDescent="0.2">
      <c r="A367" s="119">
        <v>5315150200</v>
      </c>
      <c r="B367" s="119" t="s">
        <v>425</v>
      </c>
    </row>
    <row r="368" spans="1:2" x14ac:dyDescent="0.2">
      <c r="A368" s="119">
        <v>5315160000</v>
      </c>
      <c r="B368" s="119" t="s">
        <v>425</v>
      </c>
    </row>
    <row r="369" spans="1:3" x14ac:dyDescent="0.2">
      <c r="A369" s="119">
        <v>5315200000</v>
      </c>
      <c r="B369" s="119" t="s">
        <v>425</v>
      </c>
    </row>
    <row r="370" spans="1:3" x14ac:dyDescent="0.2">
      <c r="A370" s="119">
        <v>5315200100</v>
      </c>
      <c r="B370" s="119" t="s">
        <v>425</v>
      </c>
    </row>
    <row r="371" spans="1:3" x14ac:dyDescent="0.2">
      <c r="A371" s="119">
        <v>5315950000</v>
      </c>
      <c r="B371" s="119" t="s">
        <v>425</v>
      </c>
    </row>
    <row r="372" spans="1:3" x14ac:dyDescent="0.2">
      <c r="A372" s="119">
        <v>5395200000</v>
      </c>
      <c r="B372" s="119" t="s">
        <v>425</v>
      </c>
    </row>
    <row r="373" spans="1:3" x14ac:dyDescent="0.2">
      <c r="A373" s="119">
        <v>5395300000</v>
      </c>
      <c r="B373" s="119" t="s">
        <v>425</v>
      </c>
    </row>
    <row r="374" spans="1:3" x14ac:dyDescent="0.2">
      <c r="A374" s="119">
        <v>5395950000</v>
      </c>
      <c r="B374" s="119" t="s">
        <v>425</v>
      </c>
    </row>
    <row r="375" spans="1:3" x14ac:dyDescent="0.2">
      <c r="A375" s="119">
        <v>5305250500</v>
      </c>
      <c r="B375" s="119" t="s">
        <v>426</v>
      </c>
    </row>
    <row r="376" spans="1:3" x14ac:dyDescent="0.2">
      <c r="A376" s="119">
        <v>5305050000</v>
      </c>
      <c r="B376" s="119" t="s">
        <v>427</v>
      </c>
      <c r="C376" s="119">
        <v>5305050000</v>
      </c>
    </row>
    <row r="377" spans="1:3" x14ac:dyDescent="0.2">
      <c r="A377" s="119">
        <v>5305150000</v>
      </c>
      <c r="B377" s="119" t="s">
        <v>427</v>
      </c>
      <c r="C377" s="119">
        <v>5305200100</v>
      </c>
    </row>
    <row r="378" spans="1:3" x14ac:dyDescent="0.2">
      <c r="A378" s="119">
        <v>5305200100</v>
      </c>
      <c r="B378" s="119" t="s">
        <v>427</v>
      </c>
      <c r="C378" s="119">
        <v>5305202200</v>
      </c>
    </row>
    <row r="379" spans="1:3" x14ac:dyDescent="0.2">
      <c r="A379" s="119">
        <v>5305200200</v>
      </c>
      <c r="B379" s="119" t="s">
        <v>427</v>
      </c>
      <c r="C379" s="119">
        <v>5305150000</v>
      </c>
    </row>
    <row r="380" spans="1:3" x14ac:dyDescent="0.2">
      <c r="A380" s="119">
        <v>5305200300</v>
      </c>
      <c r="B380" s="119" t="s">
        <v>427</v>
      </c>
      <c r="C380" s="119">
        <v>5305200101</v>
      </c>
    </row>
    <row r="381" spans="1:3" x14ac:dyDescent="0.2">
      <c r="A381" s="119">
        <v>5305200400</v>
      </c>
      <c r="B381" s="119" t="s">
        <v>427</v>
      </c>
    </row>
    <row r="382" spans="1:3" x14ac:dyDescent="0.2">
      <c r="A382" s="119">
        <v>5305950000</v>
      </c>
      <c r="B382" s="119" t="s">
        <v>427</v>
      </c>
    </row>
    <row r="383" spans="1:3" x14ac:dyDescent="0.2">
      <c r="A383" s="119">
        <v>5315150000</v>
      </c>
      <c r="B383" s="119" t="s">
        <v>427</v>
      </c>
    </row>
    <row r="385" spans="1:2" x14ac:dyDescent="0.2">
      <c r="A385" s="119">
        <v>5405050100</v>
      </c>
      <c r="B385" s="119" t="s">
        <v>428</v>
      </c>
    </row>
    <row r="389" spans="1:2" x14ac:dyDescent="0.2">
      <c r="B389" s="119" t="s">
        <v>349</v>
      </c>
    </row>
    <row r="390" spans="1:2" x14ac:dyDescent="0.2">
      <c r="A390" s="119">
        <v>5205180100</v>
      </c>
      <c r="B390" s="119" t="s">
        <v>365</v>
      </c>
    </row>
    <row r="391" spans="1:2" x14ac:dyDescent="0.2">
      <c r="A391" s="119">
        <v>5205361000</v>
      </c>
      <c r="B391" s="119" t="s">
        <v>367</v>
      </c>
    </row>
    <row r="392" spans="1:2" x14ac:dyDescent="0.2">
      <c r="A392" s="119">
        <v>5205391000</v>
      </c>
      <c r="B392" s="119" t="s">
        <v>367</v>
      </c>
    </row>
    <row r="393" spans="1:2" x14ac:dyDescent="0.2">
      <c r="A393" s="119">
        <v>5205422000</v>
      </c>
      <c r="B393" s="119" t="s">
        <v>367</v>
      </c>
    </row>
    <row r="394" spans="1:2" x14ac:dyDescent="0.2">
      <c r="A394" s="119">
        <v>5205691000</v>
      </c>
      <c r="B394" s="119" t="s">
        <v>367</v>
      </c>
    </row>
    <row r="395" spans="1:2" x14ac:dyDescent="0.2">
      <c r="A395" s="119">
        <v>5205701000</v>
      </c>
      <c r="B395" s="119" t="s">
        <v>367</v>
      </c>
    </row>
    <row r="396" spans="1:2" x14ac:dyDescent="0.2">
      <c r="A396" s="119">
        <v>5205060100</v>
      </c>
      <c r="B396" s="119" t="s">
        <v>384</v>
      </c>
    </row>
    <row r="397" spans="1:2" x14ac:dyDescent="0.2">
      <c r="A397" s="119">
        <v>5205150100</v>
      </c>
      <c r="B397" s="119" t="s">
        <v>384</v>
      </c>
    </row>
    <row r="398" spans="1:2" x14ac:dyDescent="0.2">
      <c r="A398" s="119">
        <v>5205360100</v>
      </c>
      <c r="B398" s="119" t="s">
        <v>385</v>
      </c>
    </row>
    <row r="399" spans="1:2" x14ac:dyDescent="0.2">
      <c r="A399" s="119">
        <v>5205390100</v>
      </c>
      <c r="B399" s="119" t="s">
        <v>385</v>
      </c>
    </row>
    <row r="400" spans="1:2" x14ac:dyDescent="0.2">
      <c r="A400" s="119">
        <v>5205600100</v>
      </c>
      <c r="B400" s="119" t="s">
        <v>385</v>
      </c>
    </row>
    <row r="401" spans="1:2" x14ac:dyDescent="0.2">
      <c r="A401" s="119">
        <v>5205690100</v>
      </c>
      <c r="B401" s="119" t="s">
        <v>385</v>
      </c>
    </row>
    <row r="402" spans="1:2" x14ac:dyDescent="0.2">
      <c r="A402" s="119">
        <v>5205700100</v>
      </c>
      <c r="B402" s="119" t="s">
        <v>385</v>
      </c>
    </row>
    <row r="403" spans="1:2" x14ac:dyDescent="0.2">
      <c r="A403" s="119">
        <v>5205700100</v>
      </c>
      <c r="B403" s="119" t="s">
        <v>385</v>
      </c>
    </row>
    <row r="404" spans="1:2" x14ac:dyDescent="0.2">
      <c r="A404" s="119">
        <v>5205700200</v>
      </c>
      <c r="B404" s="119" t="s">
        <v>385</v>
      </c>
    </row>
    <row r="405" spans="1:2" x14ac:dyDescent="0.2">
      <c r="A405" s="119">
        <v>5205780100</v>
      </c>
      <c r="B405" s="119" t="s">
        <v>385</v>
      </c>
    </row>
    <row r="406" spans="1:2" x14ac:dyDescent="0.2">
      <c r="A406" s="119">
        <v>5105060000</v>
      </c>
      <c r="B406" s="119" t="s">
        <v>400</v>
      </c>
    </row>
    <row r="407" spans="1:2" x14ac:dyDescent="0.2">
      <c r="A407" s="119">
        <v>5105150000</v>
      </c>
      <c r="B407" s="119" t="s">
        <v>400</v>
      </c>
    </row>
    <row r="408" spans="1:2" x14ac:dyDescent="0.2">
      <c r="A408" s="119">
        <v>5105360000</v>
      </c>
      <c r="B408" s="119" t="s">
        <v>401</v>
      </c>
    </row>
    <row r="409" spans="1:2" x14ac:dyDescent="0.2">
      <c r="A409" s="119">
        <v>5105390000</v>
      </c>
      <c r="B409" s="119" t="s">
        <v>401</v>
      </c>
    </row>
    <row r="410" spans="1:2" x14ac:dyDescent="0.2">
      <c r="A410" s="119">
        <v>5105600000</v>
      </c>
      <c r="B410" s="119" t="s">
        <v>401</v>
      </c>
    </row>
    <row r="411" spans="1:2" x14ac:dyDescent="0.2">
      <c r="A411" s="119">
        <v>5105690000</v>
      </c>
      <c r="B411" s="119" t="s">
        <v>401</v>
      </c>
    </row>
    <row r="412" spans="1:2" x14ac:dyDescent="0.2">
      <c r="A412" s="119">
        <v>5105700000</v>
      </c>
      <c r="B412" s="119" t="s">
        <v>401</v>
      </c>
    </row>
    <row r="413" spans="1:2" x14ac:dyDescent="0.2">
      <c r="A413" s="119">
        <v>5105780000</v>
      </c>
      <c r="B413" s="119" t="s">
        <v>401</v>
      </c>
    </row>
    <row r="414" spans="1:2" x14ac:dyDescent="0.2">
      <c r="A414" s="119">
        <v>5105950000</v>
      </c>
      <c r="B414" s="119" t="s">
        <v>401</v>
      </c>
    </row>
    <row r="415" spans="1:2" x14ac:dyDescent="0.2">
      <c r="A415" s="119">
        <v>5105180000</v>
      </c>
      <c r="B415" s="119" t="s">
        <v>402</v>
      </c>
    </row>
    <row r="416" spans="1:2" x14ac:dyDescent="0.2">
      <c r="A416" s="119">
        <v>5105391000</v>
      </c>
      <c r="B416" s="119" t="s">
        <v>404</v>
      </c>
    </row>
    <row r="417" spans="1:3" x14ac:dyDescent="0.2">
      <c r="A417" s="119">
        <v>5105691000</v>
      </c>
      <c r="B417" s="119" t="s">
        <v>404</v>
      </c>
    </row>
    <row r="418" spans="1:3" x14ac:dyDescent="0.2">
      <c r="A418" s="119">
        <v>5105701000</v>
      </c>
      <c r="B418" s="119" t="s">
        <v>404</v>
      </c>
    </row>
    <row r="421" spans="1:3" x14ac:dyDescent="0.2">
      <c r="A421" s="119">
        <v>5160100000</v>
      </c>
      <c r="B421" s="119" t="s">
        <v>429</v>
      </c>
      <c r="C421" s="119" t="s">
        <v>430</v>
      </c>
    </row>
    <row r="427" spans="1:3" x14ac:dyDescent="0.2">
      <c r="A427" s="120" t="s">
        <v>431</v>
      </c>
    </row>
    <row r="428" spans="1:3" x14ac:dyDescent="0.2">
      <c r="A428" s="119">
        <v>1105050100</v>
      </c>
      <c r="B428" s="119" t="s">
        <v>432</v>
      </c>
      <c r="C428" s="121">
        <v>0</v>
      </c>
    </row>
    <row r="429" spans="1:3" x14ac:dyDescent="0.2">
      <c r="A429" s="119">
        <v>1105100200</v>
      </c>
      <c r="B429" s="119" t="s">
        <v>433</v>
      </c>
      <c r="C429" s="121">
        <v>7650000</v>
      </c>
    </row>
    <row r="430" spans="1:3" x14ac:dyDescent="0.2">
      <c r="A430" s="119">
        <v>1110050101</v>
      </c>
      <c r="B430" s="119" t="s">
        <v>434</v>
      </c>
      <c r="C430" s="121">
        <v>87094833.519999996</v>
      </c>
    </row>
    <row r="431" spans="1:3" x14ac:dyDescent="0.2">
      <c r="A431" s="119">
        <v>1110050106</v>
      </c>
      <c r="B431" s="119" t="s">
        <v>435</v>
      </c>
      <c r="C431" s="121">
        <v>4020934.46</v>
      </c>
    </row>
    <row r="432" spans="1:3" x14ac:dyDescent="0.2">
      <c r="A432" s="119">
        <v>1110050108</v>
      </c>
      <c r="B432" s="119" t="s">
        <v>436</v>
      </c>
      <c r="C432" s="121">
        <v>2182803.0099999998</v>
      </c>
    </row>
    <row r="433" spans="1:3" x14ac:dyDescent="0.2">
      <c r="A433" s="119">
        <v>1110050110</v>
      </c>
      <c r="B433" s="119" t="s">
        <v>437</v>
      </c>
      <c r="C433" s="121">
        <v>562187.67000000004</v>
      </c>
    </row>
    <row r="434" spans="1:3" x14ac:dyDescent="0.2">
      <c r="A434" s="119">
        <v>1110050111</v>
      </c>
      <c r="B434" s="119" t="s">
        <v>438</v>
      </c>
      <c r="C434" s="121">
        <v>4855691.87</v>
      </c>
    </row>
    <row r="435" spans="1:3" x14ac:dyDescent="0.2">
      <c r="A435" s="119">
        <v>1110100101</v>
      </c>
      <c r="B435" s="119" t="s">
        <v>439</v>
      </c>
      <c r="C435" s="121">
        <v>6300643.9299999997</v>
      </c>
    </row>
    <row r="436" spans="1:3" x14ac:dyDescent="0.2">
      <c r="A436" s="119">
        <v>1125100200</v>
      </c>
      <c r="B436" s="119" t="s">
        <v>440</v>
      </c>
      <c r="C436" s="121">
        <v>1355004.36</v>
      </c>
    </row>
    <row r="437" spans="1:3" x14ac:dyDescent="0.2">
      <c r="A437" s="119">
        <v>1130050100</v>
      </c>
      <c r="B437" s="119" t="s">
        <v>441</v>
      </c>
      <c r="C437" s="121">
        <v>377428.44</v>
      </c>
    </row>
    <row r="438" spans="1:3" x14ac:dyDescent="0.2">
      <c r="A438" s="120"/>
      <c r="C438" s="121">
        <f>SUM(C428:C437)</f>
        <v>114399527.26000001</v>
      </c>
    </row>
    <row r="439" spans="1:3" x14ac:dyDescent="0.2">
      <c r="A439" s="120"/>
    </row>
    <row r="440" spans="1:3" x14ac:dyDescent="0.2">
      <c r="A440" s="119">
        <v>1101</v>
      </c>
      <c r="B440" s="119" t="s">
        <v>442</v>
      </c>
    </row>
    <row r="441" spans="1:3" x14ac:dyDescent="0.2">
      <c r="A441" s="119">
        <v>1102</v>
      </c>
      <c r="B441" s="119" t="s">
        <v>443</v>
      </c>
    </row>
    <row r="442" spans="1:3" x14ac:dyDescent="0.2">
      <c r="A442" s="119">
        <v>1103</v>
      </c>
      <c r="B442" s="119" t="s">
        <v>444</v>
      </c>
    </row>
    <row r="443" spans="1:3" x14ac:dyDescent="0.2">
      <c r="A443" s="119">
        <v>1104</v>
      </c>
      <c r="B443" s="119" t="s">
        <v>445</v>
      </c>
    </row>
    <row r="444" spans="1:3" x14ac:dyDescent="0.2">
      <c r="A444" s="119" t="s">
        <v>446</v>
      </c>
      <c r="B444" s="119" t="s">
        <v>447</v>
      </c>
    </row>
    <row r="445" spans="1:3" x14ac:dyDescent="0.2">
      <c r="A445" s="119">
        <v>1106</v>
      </c>
      <c r="B445" s="119" t="s">
        <v>448</v>
      </c>
    </row>
    <row r="446" spans="1:3" x14ac:dyDescent="0.2">
      <c r="B446" s="119" t="s">
        <v>449</v>
      </c>
    </row>
    <row r="448" spans="1:3" x14ac:dyDescent="0.2">
      <c r="B448" s="119" t="s">
        <v>450</v>
      </c>
    </row>
    <row r="450" spans="1:2" x14ac:dyDescent="0.2">
      <c r="B450" s="119" t="s">
        <v>95</v>
      </c>
    </row>
    <row r="451" spans="1:2" x14ac:dyDescent="0.2">
      <c r="A451" s="119">
        <v>1201</v>
      </c>
      <c r="B451" s="119" t="s">
        <v>451</v>
      </c>
    </row>
    <row r="452" spans="1:2" x14ac:dyDescent="0.2">
      <c r="A452" s="119">
        <v>1202</v>
      </c>
      <c r="B452" s="119" t="s">
        <v>452</v>
      </c>
    </row>
    <row r="453" spans="1:2" x14ac:dyDescent="0.2">
      <c r="A453" s="119">
        <v>1203</v>
      </c>
      <c r="B453" s="119" t="s">
        <v>453</v>
      </c>
    </row>
    <row r="454" spans="1:2" x14ac:dyDescent="0.2">
      <c r="A454" s="119">
        <v>1204</v>
      </c>
      <c r="B454" s="119" t="s">
        <v>454</v>
      </c>
    </row>
    <row r="455" spans="1:2" x14ac:dyDescent="0.2">
      <c r="A455" s="119">
        <v>1205</v>
      </c>
      <c r="B455" s="119" t="s">
        <v>455</v>
      </c>
    </row>
    <row r="456" spans="1:2" x14ac:dyDescent="0.2">
      <c r="A456" s="119">
        <v>1206</v>
      </c>
      <c r="B456" s="119" t="s">
        <v>456</v>
      </c>
    </row>
    <row r="458" spans="1:2" x14ac:dyDescent="0.2">
      <c r="B458" s="119" t="s">
        <v>457</v>
      </c>
    </row>
    <row r="460" spans="1:2" x14ac:dyDescent="0.2">
      <c r="B460" s="119" t="s">
        <v>458</v>
      </c>
    </row>
    <row r="461" spans="1:2" x14ac:dyDescent="0.2">
      <c r="A461" s="119">
        <v>1208</v>
      </c>
      <c r="B461" s="119" t="s">
        <v>459</v>
      </c>
    </row>
    <row r="463" spans="1:2" x14ac:dyDescent="0.2">
      <c r="B463" s="119" t="s">
        <v>96</v>
      </c>
    </row>
    <row r="464" spans="1:2" x14ac:dyDescent="0.2">
      <c r="A464" s="119" t="s">
        <v>460</v>
      </c>
      <c r="B464" s="119" t="s">
        <v>461</v>
      </c>
    </row>
    <row r="465" spans="1:2" x14ac:dyDescent="0.2">
      <c r="A465" s="119">
        <v>1210</v>
      </c>
      <c r="B465" s="119" t="s">
        <v>462</v>
      </c>
    </row>
    <row r="466" spans="1:2" x14ac:dyDescent="0.2">
      <c r="A466" s="119">
        <v>1211</v>
      </c>
      <c r="B466" s="119" t="s">
        <v>463</v>
      </c>
    </row>
    <row r="467" spans="1:2" x14ac:dyDescent="0.2">
      <c r="A467" s="119">
        <v>1212</v>
      </c>
      <c r="B467" s="119" t="s">
        <v>464</v>
      </c>
    </row>
    <row r="468" spans="1:2" x14ac:dyDescent="0.2">
      <c r="B468" s="119" t="s">
        <v>465</v>
      </c>
    </row>
    <row r="470" spans="1:2" x14ac:dyDescent="0.2">
      <c r="B470" s="119" t="s">
        <v>97</v>
      </c>
    </row>
    <row r="471" spans="1:2" x14ac:dyDescent="0.2">
      <c r="A471" s="119">
        <v>1214</v>
      </c>
      <c r="B471" s="119" t="s">
        <v>466</v>
      </c>
    </row>
    <row r="472" spans="1:2" x14ac:dyDescent="0.2">
      <c r="A472" s="119">
        <v>1242</v>
      </c>
      <c r="B472" s="119" t="s">
        <v>467</v>
      </c>
    </row>
    <row r="473" spans="1:2" x14ac:dyDescent="0.2">
      <c r="A473" s="119">
        <v>1243</v>
      </c>
      <c r="B473" s="119" t="s">
        <v>468</v>
      </c>
    </row>
    <row r="474" spans="1:2" x14ac:dyDescent="0.2">
      <c r="A474" s="119">
        <v>1244</v>
      </c>
      <c r="B474" s="119" t="s">
        <v>469</v>
      </c>
    </row>
    <row r="475" spans="1:2" x14ac:dyDescent="0.2">
      <c r="A475" s="119">
        <v>1245</v>
      </c>
      <c r="B475" s="119" t="s">
        <v>470</v>
      </c>
    </row>
    <row r="476" spans="1:2" x14ac:dyDescent="0.2">
      <c r="A476" s="119">
        <v>1246</v>
      </c>
      <c r="B476" s="119" t="s">
        <v>471</v>
      </c>
    </row>
    <row r="477" spans="1:2" x14ac:dyDescent="0.2">
      <c r="A477" s="119">
        <v>1215</v>
      </c>
      <c r="B477" s="119" t="s">
        <v>472</v>
      </c>
    </row>
    <row r="478" spans="1:2" x14ac:dyDescent="0.2">
      <c r="A478" s="119">
        <v>1216</v>
      </c>
      <c r="B478" s="119" t="s">
        <v>473</v>
      </c>
    </row>
    <row r="479" spans="1:2" x14ac:dyDescent="0.2">
      <c r="A479" s="119">
        <v>1217</v>
      </c>
      <c r="B479" s="119" t="s">
        <v>474</v>
      </c>
    </row>
    <row r="480" spans="1:2" x14ac:dyDescent="0.2">
      <c r="A480" s="119">
        <v>1218</v>
      </c>
      <c r="B480" s="119" t="s">
        <v>475</v>
      </c>
    </row>
    <row r="481" spans="1:2" x14ac:dyDescent="0.2">
      <c r="A481" s="119">
        <v>1219</v>
      </c>
      <c r="B481" s="119" t="s">
        <v>476</v>
      </c>
    </row>
    <row r="482" spans="1:2" x14ac:dyDescent="0.2">
      <c r="A482" s="119">
        <v>1220</v>
      </c>
      <c r="B482" s="119" t="s">
        <v>477</v>
      </c>
    </row>
    <row r="483" spans="1:2" x14ac:dyDescent="0.2">
      <c r="A483" s="119">
        <v>1221</v>
      </c>
      <c r="B483" s="119" t="s">
        <v>478</v>
      </c>
    </row>
    <row r="484" spans="1:2" x14ac:dyDescent="0.2">
      <c r="A484" s="119">
        <v>1222</v>
      </c>
      <c r="B484" s="119" t="s">
        <v>479</v>
      </c>
    </row>
    <row r="485" spans="1:2" x14ac:dyDescent="0.2">
      <c r="A485" s="119">
        <v>1223</v>
      </c>
      <c r="B485" s="119" t="s">
        <v>480</v>
      </c>
    </row>
    <row r="486" spans="1:2" x14ac:dyDescent="0.2">
      <c r="A486" s="119">
        <v>1224</v>
      </c>
      <c r="B486" s="119" t="s">
        <v>481</v>
      </c>
    </row>
    <row r="487" spans="1:2" x14ac:dyDescent="0.2">
      <c r="A487" s="119">
        <v>1225</v>
      </c>
      <c r="B487" s="119" t="s">
        <v>482</v>
      </c>
    </row>
    <row r="488" spans="1:2" x14ac:dyDescent="0.2">
      <c r="A488" s="119">
        <v>1226</v>
      </c>
      <c r="B488" s="119" t="s">
        <v>483</v>
      </c>
    </row>
    <row r="489" spans="1:2" x14ac:dyDescent="0.2">
      <c r="A489" s="119">
        <v>1227</v>
      </c>
      <c r="B489" s="119" t="s">
        <v>484</v>
      </c>
    </row>
    <row r="490" spans="1:2" x14ac:dyDescent="0.2">
      <c r="A490" s="119">
        <v>1228</v>
      </c>
      <c r="B490" s="119" t="s">
        <v>485</v>
      </c>
    </row>
    <row r="491" spans="1:2" x14ac:dyDescent="0.2">
      <c r="A491" s="119">
        <v>1229</v>
      </c>
      <c r="B491" s="119" t="s">
        <v>486</v>
      </c>
    </row>
    <row r="492" spans="1:2" x14ac:dyDescent="0.2">
      <c r="A492" s="119">
        <v>1230</v>
      </c>
      <c r="B492" s="119" t="s">
        <v>487</v>
      </c>
    </row>
    <row r="493" spans="1:2" x14ac:dyDescent="0.2">
      <c r="A493" s="119">
        <v>1231</v>
      </c>
      <c r="B493" s="119" t="s">
        <v>488</v>
      </c>
    </row>
    <row r="494" spans="1:2" x14ac:dyDescent="0.2">
      <c r="A494" s="119">
        <v>1232</v>
      </c>
      <c r="B494" s="119" t="s">
        <v>489</v>
      </c>
    </row>
    <row r="495" spans="1:2" x14ac:dyDescent="0.2">
      <c r="A495" s="119">
        <v>1233</v>
      </c>
      <c r="B495" s="119" t="s">
        <v>490</v>
      </c>
    </row>
    <row r="496" spans="1:2" x14ac:dyDescent="0.2">
      <c r="A496" s="119">
        <v>1234</v>
      </c>
      <c r="B496" s="119" t="s">
        <v>491</v>
      </c>
    </row>
    <row r="497" spans="1:2" x14ac:dyDescent="0.2">
      <c r="A497" s="119">
        <v>1235</v>
      </c>
      <c r="B497" s="119" t="s">
        <v>492</v>
      </c>
    </row>
    <row r="498" spans="1:2" x14ac:dyDescent="0.2">
      <c r="A498" s="119">
        <v>1236</v>
      </c>
      <c r="B498" s="119" t="s">
        <v>493</v>
      </c>
    </row>
    <row r="499" spans="1:2" x14ac:dyDescent="0.2">
      <c r="A499" s="119">
        <v>1237</v>
      </c>
      <c r="B499" s="119" t="s">
        <v>494</v>
      </c>
    </row>
    <row r="500" spans="1:2" x14ac:dyDescent="0.2">
      <c r="A500" s="119">
        <v>1238</v>
      </c>
      <c r="B500" s="119" t="s">
        <v>495</v>
      </c>
    </row>
    <row r="501" spans="1:2" x14ac:dyDescent="0.2">
      <c r="A501" s="119">
        <v>1239</v>
      </c>
      <c r="B501" s="119" t="s">
        <v>496</v>
      </c>
    </row>
    <row r="502" spans="1:2" x14ac:dyDescent="0.2">
      <c r="A502" s="119">
        <v>1240</v>
      </c>
      <c r="B502" s="119" t="s">
        <v>497</v>
      </c>
    </row>
    <row r="503" spans="1:2" x14ac:dyDescent="0.2">
      <c r="A503" s="119">
        <v>1241</v>
      </c>
      <c r="B503" s="119" t="s">
        <v>498</v>
      </c>
    </row>
    <row r="504" spans="1:2" x14ac:dyDescent="0.2">
      <c r="B504" s="119" t="s">
        <v>499</v>
      </c>
    </row>
    <row r="506" spans="1:2" x14ac:dyDescent="0.2">
      <c r="B506" s="119" t="s">
        <v>500</v>
      </c>
    </row>
    <row r="508" spans="1:2" x14ac:dyDescent="0.2">
      <c r="B508" s="119" t="s">
        <v>501</v>
      </c>
    </row>
    <row r="510" spans="1:2" x14ac:dyDescent="0.2">
      <c r="B510" s="119" t="s">
        <v>502</v>
      </c>
    </row>
    <row r="512" spans="1:2" x14ac:dyDescent="0.2">
      <c r="B512" s="119" t="s">
        <v>503</v>
      </c>
    </row>
    <row r="513" spans="1:2" x14ac:dyDescent="0.2">
      <c r="A513" s="119">
        <v>2101</v>
      </c>
      <c r="B513" s="119" t="s">
        <v>504</v>
      </c>
    </row>
    <row r="514" spans="1:2" x14ac:dyDescent="0.2">
      <c r="A514" s="119">
        <v>2102</v>
      </c>
      <c r="B514" s="119" t="s">
        <v>505</v>
      </c>
    </row>
    <row r="515" spans="1:2" x14ac:dyDescent="0.2">
      <c r="A515" s="119">
        <v>2103</v>
      </c>
      <c r="B515" s="119" t="s">
        <v>506</v>
      </c>
    </row>
    <row r="516" spans="1:2" x14ac:dyDescent="0.2">
      <c r="A516" s="119">
        <v>1207</v>
      </c>
      <c r="B516" s="119" t="s">
        <v>507</v>
      </c>
    </row>
    <row r="517" spans="1:2" x14ac:dyDescent="0.2">
      <c r="B517" s="119" t="s">
        <v>508</v>
      </c>
    </row>
    <row r="519" spans="1:2" x14ac:dyDescent="0.2">
      <c r="B519" s="119" t="s">
        <v>98</v>
      </c>
    </row>
    <row r="520" spans="1:2" x14ac:dyDescent="0.2">
      <c r="A520" s="119">
        <v>3101</v>
      </c>
      <c r="B520" s="119" t="s">
        <v>509</v>
      </c>
    </row>
    <row r="521" spans="1:2" x14ac:dyDescent="0.2">
      <c r="A521" s="119" t="s">
        <v>510</v>
      </c>
      <c r="B521" s="119" t="s">
        <v>511</v>
      </c>
    </row>
    <row r="522" spans="1:2" x14ac:dyDescent="0.2">
      <c r="A522" s="119">
        <v>3103</v>
      </c>
      <c r="B522" s="119" t="s">
        <v>512</v>
      </c>
    </row>
    <row r="523" spans="1:2" x14ac:dyDescent="0.2">
      <c r="A523" s="119">
        <v>3104</v>
      </c>
      <c r="B523" s="119" t="s">
        <v>513</v>
      </c>
    </row>
    <row r="524" spans="1:2" x14ac:dyDescent="0.2">
      <c r="B524" s="119" t="s">
        <v>514</v>
      </c>
    </row>
    <row r="526" spans="1:2" x14ac:dyDescent="0.2">
      <c r="B526" s="119" t="s">
        <v>515</v>
      </c>
    </row>
    <row r="534" spans="1:12" x14ac:dyDescent="0.2">
      <c r="B534" s="119" t="s">
        <v>516</v>
      </c>
    </row>
    <row r="535" spans="1:12" x14ac:dyDescent="0.2">
      <c r="B535" s="119" t="s">
        <v>517</v>
      </c>
    </row>
    <row r="536" spans="1:12" x14ac:dyDescent="0.2">
      <c r="A536" s="119">
        <v>5101</v>
      </c>
      <c r="B536" s="119" t="s">
        <v>518</v>
      </c>
    </row>
    <row r="537" spans="1:12" x14ac:dyDescent="0.2">
      <c r="A537" s="119">
        <v>5102</v>
      </c>
      <c r="B537" s="119" t="s">
        <v>519</v>
      </c>
    </row>
    <row r="538" spans="1:12" x14ac:dyDescent="0.2">
      <c r="A538" s="119">
        <v>5103</v>
      </c>
      <c r="B538" s="119" t="s">
        <v>520</v>
      </c>
    </row>
    <row r="539" spans="1:12" x14ac:dyDescent="0.2">
      <c r="A539" s="119">
        <v>5104</v>
      </c>
      <c r="B539" s="119" t="s">
        <v>521</v>
      </c>
    </row>
    <row r="540" spans="1:12" x14ac:dyDescent="0.2">
      <c r="A540" s="119">
        <v>5105</v>
      </c>
      <c r="B540" s="119" t="s">
        <v>522</v>
      </c>
      <c r="E540" s="119" t="s">
        <v>523</v>
      </c>
      <c r="F540" s="119" t="s">
        <v>524</v>
      </c>
    </row>
    <row r="541" spans="1:12" x14ac:dyDescent="0.2">
      <c r="B541" s="119" t="s">
        <v>525</v>
      </c>
    </row>
    <row r="542" spans="1:12" x14ac:dyDescent="0.2">
      <c r="E542" s="119" t="s">
        <v>526</v>
      </c>
      <c r="G542" s="119"/>
      <c r="H542" s="119"/>
      <c r="I542" s="119"/>
      <c r="J542" s="119"/>
      <c r="K542" s="119"/>
      <c r="L542" s="119"/>
    </row>
    <row r="543" spans="1:12" x14ac:dyDescent="0.2">
      <c r="B543" s="119" t="s">
        <v>515</v>
      </c>
      <c r="E543" s="119" t="s">
        <v>527</v>
      </c>
      <c r="F543" s="119" t="s">
        <v>528</v>
      </c>
      <c r="G543" s="119" t="s">
        <v>107</v>
      </c>
      <c r="H543" s="119"/>
      <c r="I543" s="119"/>
      <c r="J543" s="119"/>
      <c r="K543" s="119"/>
      <c r="L543" s="119"/>
    </row>
    <row r="544" spans="1:12" x14ac:dyDescent="0.2">
      <c r="A544" s="119">
        <v>6190</v>
      </c>
      <c r="B544" s="119" t="s">
        <v>529</v>
      </c>
      <c r="E544" s="119" t="s">
        <v>530</v>
      </c>
      <c r="F544" s="119" t="s">
        <v>531</v>
      </c>
      <c r="G544" s="130">
        <v>198471000</v>
      </c>
      <c r="H544" s="119"/>
      <c r="I544" s="119"/>
      <c r="J544" s="119"/>
      <c r="K544" s="119"/>
      <c r="L544" s="119"/>
    </row>
    <row r="545" spans="1:12" x14ac:dyDescent="0.2">
      <c r="A545" s="119">
        <v>7101</v>
      </c>
      <c r="B545" s="119" t="s">
        <v>532</v>
      </c>
      <c r="E545" s="119" t="s">
        <v>533</v>
      </c>
      <c r="F545" s="119" t="s">
        <v>534</v>
      </c>
      <c r="G545" s="130">
        <v>691191000</v>
      </c>
      <c r="H545" s="119"/>
      <c r="I545" s="119"/>
      <c r="J545" s="119"/>
      <c r="K545" s="119"/>
      <c r="L545" s="119"/>
    </row>
    <row r="546" spans="1:12" x14ac:dyDescent="0.2">
      <c r="A546" s="119">
        <v>7102</v>
      </c>
      <c r="B546" s="119" t="s">
        <v>534</v>
      </c>
      <c r="E546" s="119" t="s">
        <v>535</v>
      </c>
      <c r="F546" s="119" t="s">
        <v>536</v>
      </c>
      <c r="G546" s="130">
        <v>560000000</v>
      </c>
      <c r="H546" s="119"/>
      <c r="I546" s="119"/>
      <c r="J546" s="119"/>
      <c r="K546" s="119"/>
      <c r="L546" s="119"/>
    </row>
    <row r="547" spans="1:12" x14ac:dyDescent="0.2">
      <c r="A547" s="119">
        <v>7103</v>
      </c>
      <c r="B547" s="119" t="s">
        <v>537</v>
      </c>
      <c r="E547" s="119" t="s">
        <v>321</v>
      </c>
      <c r="G547" s="130">
        <v>1449662000</v>
      </c>
      <c r="H547" s="119"/>
      <c r="I547" s="119"/>
      <c r="J547" s="119"/>
      <c r="K547" s="119"/>
      <c r="L547" s="119"/>
    </row>
    <row r="548" spans="1:12" x14ac:dyDescent="0.2">
      <c r="A548" s="119">
        <v>7105</v>
      </c>
      <c r="B548" s="119" t="s">
        <v>538</v>
      </c>
      <c r="G548" s="119"/>
      <c r="H548" s="119"/>
      <c r="I548" s="119"/>
      <c r="J548" s="119"/>
      <c r="K548" s="119"/>
      <c r="L548" s="119"/>
    </row>
    <row r="549" spans="1:12" x14ac:dyDescent="0.2">
      <c r="A549" s="119" t="s">
        <v>539</v>
      </c>
      <c r="B549" s="119" t="s">
        <v>540</v>
      </c>
      <c r="G549" s="119"/>
      <c r="H549" s="119"/>
      <c r="I549" s="119"/>
      <c r="J549" s="119"/>
      <c r="K549" s="119"/>
      <c r="L549" s="119"/>
    </row>
    <row r="550" spans="1:12" x14ac:dyDescent="0.2">
      <c r="A550" s="119">
        <v>4101</v>
      </c>
      <c r="B550" s="119" t="s">
        <v>541</v>
      </c>
      <c r="G550" s="119"/>
      <c r="H550" s="119"/>
      <c r="I550" s="119"/>
      <c r="J550" s="119"/>
      <c r="K550" s="119"/>
    </row>
    <row r="551" spans="1:12" x14ac:dyDescent="0.2">
      <c r="A551" s="119">
        <v>4102</v>
      </c>
      <c r="B551" s="119" t="s">
        <v>531</v>
      </c>
      <c r="G551" s="119"/>
      <c r="H551" s="119"/>
      <c r="I551" s="119"/>
      <c r="J551" s="119"/>
      <c r="K551" s="119"/>
    </row>
    <row r="552" spans="1:12" x14ac:dyDescent="0.2">
      <c r="A552" s="119">
        <v>7104</v>
      </c>
      <c r="B552" s="119" t="s">
        <v>542</v>
      </c>
      <c r="E552" s="119">
        <v>6190</v>
      </c>
      <c r="F552" s="119" t="s">
        <v>529</v>
      </c>
      <c r="G552" s="119"/>
      <c r="H552" s="119"/>
      <c r="I552" s="119"/>
      <c r="J552" s="119"/>
      <c r="K552" s="119"/>
    </row>
    <row r="553" spans="1:12" x14ac:dyDescent="0.2">
      <c r="G553" s="119"/>
      <c r="H553" s="119"/>
      <c r="I553" s="119"/>
      <c r="J553" s="119"/>
      <c r="K553" s="119"/>
    </row>
    <row r="554" spans="1:12" x14ac:dyDescent="0.2">
      <c r="B554" s="119" t="s">
        <v>543</v>
      </c>
      <c r="G554" s="119"/>
      <c r="H554" s="119"/>
      <c r="I554" s="119"/>
      <c r="J554" s="119"/>
      <c r="K554" s="119"/>
    </row>
    <row r="555" spans="1:12" x14ac:dyDescent="0.2">
      <c r="A555" s="120" t="s">
        <v>544</v>
      </c>
      <c r="G555" s="119"/>
    </row>
    <row r="556" spans="1:12" x14ac:dyDescent="0.2">
      <c r="A556" s="134">
        <v>1110050100</v>
      </c>
      <c r="B556" s="135" t="s">
        <v>545</v>
      </c>
      <c r="G556" s="119"/>
    </row>
    <row r="557" spans="1:12" x14ac:dyDescent="0.2">
      <c r="A557" s="134">
        <v>1110050200</v>
      </c>
      <c r="B557" s="119" t="s">
        <v>546</v>
      </c>
      <c r="G557" s="119"/>
    </row>
    <row r="558" spans="1:12" x14ac:dyDescent="0.2">
      <c r="G558" s="119"/>
    </row>
    <row r="562" spans="1:2" x14ac:dyDescent="0.2">
      <c r="A562" s="119">
        <v>4170250000</v>
      </c>
      <c r="B562" s="119" t="s">
        <v>547</v>
      </c>
    </row>
    <row r="564" spans="1:2" x14ac:dyDescent="0.2">
      <c r="A564" s="119">
        <v>4218050000</v>
      </c>
      <c r="B564" s="119" t="s">
        <v>548</v>
      </c>
    </row>
    <row r="567" spans="1:2" x14ac:dyDescent="0.2">
      <c r="A567" s="119">
        <v>5210350000</v>
      </c>
      <c r="B567" s="119" t="s">
        <v>549</v>
      </c>
    </row>
    <row r="568" spans="1:2" x14ac:dyDescent="0.2">
      <c r="A568" s="119">
        <v>5140950000</v>
      </c>
    </row>
    <row r="570" spans="1:2" x14ac:dyDescent="0.2">
      <c r="A570" s="134">
        <v>5305950000</v>
      </c>
      <c r="B570" s="119" t="s">
        <v>550</v>
      </c>
    </row>
    <row r="571" spans="1:2" x14ac:dyDescent="0.2">
      <c r="A571" s="134">
        <v>5313050000</v>
      </c>
      <c r="B571" s="119" t="s">
        <v>548</v>
      </c>
    </row>
    <row r="572" spans="1:2" x14ac:dyDescent="0.2">
      <c r="A572" s="119">
        <v>5310950000</v>
      </c>
      <c r="B572" s="119" t="s">
        <v>551</v>
      </c>
    </row>
    <row r="576" spans="1:2" x14ac:dyDescent="0.2">
      <c r="A576" s="119">
        <v>1101</v>
      </c>
      <c r="B576" s="119" t="s">
        <v>552</v>
      </c>
    </row>
    <row r="577" spans="1:3" x14ac:dyDescent="0.2">
      <c r="A577" s="119">
        <v>1102</v>
      </c>
      <c r="B577" s="119" t="s">
        <v>553</v>
      </c>
    </row>
    <row r="578" spans="1:3" x14ac:dyDescent="0.2">
      <c r="A578" s="119">
        <v>1103</v>
      </c>
      <c r="B578" s="119" t="s">
        <v>554</v>
      </c>
    </row>
    <row r="579" spans="1:3" x14ac:dyDescent="0.2">
      <c r="A579" s="119">
        <v>1104</v>
      </c>
      <c r="B579" s="119" t="s">
        <v>555</v>
      </c>
    </row>
    <row r="580" spans="1:3" x14ac:dyDescent="0.2">
      <c r="A580" s="119">
        <v>1106</v>
      </c>
      <c r="B580" s="119" t="s">
        <v>556</v>
      </c>
    </row>
    <row r="581" spans="1:3" x14ac:dyDescent="0.2">
      <c r="A581" s="119">
        <v>9999</v>
      </c>
      <c r="B581" s="119" t="s">
        <v>557</v>
      </c>
      <c r="C581" s="119" t="s">
        <v>558</v>
      </c>
    </row>
    <row r="583" spans="1:3" x14ac:dyDescent="0.2">
      <c r="A583" s="119">
        <v>1218</v>
      </c>
      <c r="B583" s="119" t="s">
        <v>559</v>
      </c>
    </row>
    <row r="584" spans="1:3" x14ac:dyDescent="0.2">
      <c r="A584" s="119">
        <v>1223</v>
      </c>
      <c r="B584" s="119" t="s">
        <v>560</v>
      </c>
    </row>
    <row r="585" spans="1:3" x14ac:dyDescent="0.2">
      <c r="A585" s="119">
        <v>1231</v>
      </c>
      <c r="B585" s="119" t="s">
        <v>561</v>
      </c>
    </row>
    <row r="586" spans="1:3" x14ac:dyDescent="0.2">
      <c r="A586" s="119">
        <v>1235</v>
      </c>
      <c r="B586" s="119" t="s">
        <v>562</v>
      </c>
    </row>
    <row r="587" spans="1:3" x14ac:dyDescent="0.2">
      <c r="A587" s="119">
        <v>1201</v>
      </c>
      <c r="B587" s="119" t="s">
        <v>563</v>
      </c>
    </row>
    <row r="590" spans="1:3" x14ac:dyDescent="0.2">
      <c r="A590" s="119">
        <v>5103</v>
      </c>
      <c r="B590" s="119" t="s">
        <v>520</v>
      </c>
      <c r="C590" s="119" t="s">
        <v>564</v>
      </c>
    </row>
    <row r="591" spans="1:3" x14ac:dyDescent="0.2">
      <c r="A591" s="119">
        <v>5104</v>
      </c>
      <c r="B591" s="119" t="s">
        <v>521</v>
      </c>
      <c r="C591" s="119" t="s">
        <v>558</v>
      </c>
    </row>
    <row r="592" spans="1:3" x14ac:dyDescent="0.2">
      <c r="A592" s="119">
        <v>5105</v>
      </c>
      <c r="B592" s="119" t="s">
        <v>565</v>
      </c>
      <c r="C592" s="119" t="s">
        <v>558</v>
      </c>
    </row>
    <row r="593" spans="1:3" x14ac:dyDescent="0.2">
      <c r="A593" s="119">
        <v>5106</v>
      </c>
      <c r="B593" s="119" t="s">
        <v>566</v>
      </c>
      <c r="C593" s="119" t="s">
        <v>564</v>
      </c>
    </row>
    <row r="594" spans="1:3" x14ac:dyDescent="0.2">
      <c r="A594" s="119">
        <v>7101</v>
      </c>
      <c r="B594" s="119" t="s">
        <v>567</v>
      </c>
    </row>
  </sheetData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5E964-8747-4D08-9CCD-71208AB23C87}">
  <sheetPr>
    <tabColor theme="2" tint="-0.749992370372631"/>
  </sheetPr>
  <dimension ref="A1:AG49"/>
  <sheetViews>
    <sheetView showGridLines="0" tabSelected="1" topLeftCell="A2" zoomScaleNormal="100" workbookViewId="0">
      <selection activeCell="J4" sqref="J4"/>
    </sheetView>
  </sheetViews>
  <sheetFormatPr baseColWidth="10" defaultRowHeight="12.75" x14ac:dyDescent="0.2"/>
  <cols>
    <col min="1" max="1" width="3.140625" style="12" customWidth="1"/>
    <col min="2" max="2" width="26.28515625" style="12" customWidth="1"/>
    <col min="3" max="3" width="9.42578125" style="12" customWidth="1"/>
    <col min="4" max="4" width="6.42578125" style="12" customWidth="1"/>
    <col min="5" max="5" width="10.28515625" style="12" customWidth="1"/>
    <col min="6" max="7" width="7.140625" style="12" customWidth="1"/>
    <col min="8" max="8" width="11" style="12" customWidth="1"/>
    <col min="9" max="9" width="6.42578125" style="12" customWidth="1"/>
    <col min="10" max="10" width="9.5703125" style="12" customWidth="1"/>
    <col min="11" max="11" width="10.5703125" style="12" customWidth="1"/>
    <col min="12" max="12" width="5.42578125" style="12" customWidth="1"/>
    <col min="13" max="13" width="10.140625" style="12" bestFit="1" customWidth="1"/>
    <col min="14" max="14" width="5.42578125" style="12" customWidth="1"/>
    <col min="15" max="15" width="7.140625" style="12" customWidth="1"/>
    <col min="16" max="16" width="10.7109375" style="12" customWidth="1"/>
    <col min="17" max="17" width="5.140625" style="12" customWidth="1"/>
    <col min="18" max="18" width="7.140625" style="12" customWidth="1"/>
    <col min="19" max="19" width="10.85546875" style="13" customWidth="1"/>
    <col min="20" max="20" width="17.42578125" style="12" customWidth="1"/>
    <col min="21" max="28" width="11.42578125" style="12"/>
    <col min="29" max="29" width="6.5703125" style="12" customWidth="1"/>
    <col min="30" max="31" width="11.42578125" style="12"/>
    <col min="32" max="32" width="13.42578125" style="12" customWidth="1"/>
    <col min="33" max="16384" width="11.42578125" style="12"/>
  </cols>
  <sheetData>
    <row r="1" spans="1:33" s="9" customFormat="1" ht="12.75" customHeight="1" x14ac:dyDescent="0.2">
      <c r="B1" s="10"/>
      <c r="S1" s="11"/>
    </row>
    <row r="2" spans="1:33" ht="11.25" customHeight="1" x14ac:dyDescent="0.2">
      <c r="A2" s="9"/>
      <c r="X2" s="14"/>
      <c r="Y2" s="14"/>
      <c r="Z2" s="14"/>
      <c r="AA2" s="14"/>
      <c r="AB2" s="14"/>
    </row>
    <row r="3" spans="1:33" ht="18" x14ac:dyDescent="0.25">
      <c r="B3" s="15" t="s">
        <v>19</v>
      </c>
      <c r="S3" s="16"/>
      <c r="T3" s="17" t="str">
        <f>+B3</f>
        <v>MUSICAR S.A. COLOMBIA CONSOLIDADO</v>
      </c>
    </row>
    <row r="4" spans="1:33" x14ac:dyDescent="0.2">
      <c r="B4" s="2" t="s">
        <v>20</v>
      </c>
      <c r="S4" s="16"/>
      <c r="T4" s="18" t="s">
        <v>21</v>
      </c>
    </row>
    <row r="5" spans="1:33" x14ac:dyDescent="0.2">
      <c r="B5" s="3" t="s">
        <v>22</v>
      </c>
      <c r="S5" s="16"/>
      <c r="T5" s="18" t="s">
        <v>22</v>
      </c>
    </row>
    <row r="6" spans="1:33" ht="13.5" thickBot="1" x14ac:dyDescent="0.25">
      <c r="B6" s="19" t="str">
        <f>+'COLOMB$ '!B6</f>
        <v>FEBRERO de 2024</v>
      </c>
      <c r="K6" s="20" t="s">
        <v>23</v>
      </c>
      <c r="L6" s="20"/>
      <c r="M6" s="20"/>
      <c r="N6" s="20"/>
      <c r="O6" s="20"/>
      <c r="P6" s="20"/>
      <c r="Q6" s="20"/>
      <c r="R6" s="20"/>
      <c r="S6" s="16"/>
      <c r="T6" s="12" t="str">
        <f>+B6</f>
        <v>FEBRERO de 2024</v>
      </c>
      <c r="X6" s="20" t="s">
        <v>23</v>
      </c>
      <c r="Y6" s="20"/>
      <c r="Z6" s="20"/>
      <c r="AA6" s="20"/>
      <c r="AB6" s="20"/>
      <c r="AC6" s="20"/>
    </row>
    <row r="7" spans="1:33" ht="17.25" customHeight="1" x14ac:dyDescent="0.2">
      <c r="C7" s="21" t="str">
        <f>+'COLOMB$ '!D7:D7</f>
        <v>Ppto 2024</v>
      </c>
      <c r="E7" s="12" t="str">
        <f>+'COLOMB$ '!F7:F7</f>
        <v>Real 2024</v>
      </c>
      <c r="G7" s="9" t="s">
        <v>24</v>
      </c>
      <c r="H7" s="12" t="str">
        <f>+'COLOMB$ '!I7:I7</f>
        <v>Real 2023</v>
      </c>
      <c r="J7" s="9" t="s">
        <v>25</v>
      </c>
      <c r="K7" s="12" t="str">
        <f>+C7</f>
        <v>Ppto 2024</v>
      </c>
      <c r="M7" s="22" t="str">
        <f>+E7</f>
        <v>Real 2024</v>
      </c>
      <c r="N7" s="22"/>
      <c r="O7" s="9" t="s">
        <v>24</v>
      </c>
      <c r="P7" s="12" t="str">
        <f>+H7</f>
        <v>Real 2023</v>
      </c>
      <c r="R7" s="9" t="s">
        <v>25</v>
      </c>
      <c r="S7" s="23"/>
      <c r="T7" s="14"/>
      <c r="U7" s="14" t="str">
        <f>+C7</f>
        <v>Ppto 2024</v>
      </c>
      <c r="V7" s="14" t="str">
        <f>+M7</f>
        <v>Real 2024</v>
      </c>
      <c r="W7" s="14" t="str">
        <f>+H7</f>
        <v>Real 2023</v>
      </c>
      <c r="X7" s="14" t="str">
        <f>+U7</f>
        <v>Ppto 2024</v>
      </c>
      <c r="Y7" s="14" t="str">
        <f>+V7</f>
        <v>Real 2024</v>
      </c>
      <c r="Z7" s="14" t="s">
        <v>26</v>
      </c>
      <c r="AA7" s="14" t="s">
        <v>24</v>
      </c>
      <c r="AB7" s="14" t="str">
        <f>+W7</f>
        <v>Real 2023</v>
      </c>
      <c r="AC7" s="14" t="s">
        <v>25</v>
      </c>
    </row>
    <row r="8" spans="1:33" ht="15.75" customHeight="1" thickBot="1" x14ac:dyDescent="0.25">
      <c r="A8" s="24"/>
      <c r="B8" s="25" t="s">
        <v>27</v>
      </c>
      <c r="C8" s="26" t="s">
        <v>28</v>
      </c>
      <c r="D8" s="27" t="s">
        <v>29</v>
      </c>
      <c r="E8" s="27" t="s">
        <v>28</v>
      </c>
      <c r="F8" s="27" t="s">
        <v>29</v>
      </c>
      <c r="G8" s="27" t="s">
        <v>30</v>
      </c>
      <c r="H8" s="27" t="s">
        <v>28</v>
      </c>
      <c r="I8" s="27" t="s">
        <v>29</v>
      </c>
      <c r="J8" s="27" t="s">
        <v>30</v>
      </c>
      <c r="K8" s="27" t="s">
        <v>28</v>
      </c>
      <c r="L8" s="27" t="s">
        <v>29</v>
      </c>
      <c r="M8" s="27" t="s">
        <v>28</v>
      </c>
      <c r="N8" s="27" t="s">
        <v>29</v>
      </c>
      <c r="O8" s="27" t="s">
        <v>30</v>
      </c>
      <c r="P8" s="27" t="s">
        <v>28</v>
      </c>
      <c r="Q8" s="27" t="s">
        <v>29</v>
      </c>
      <c r="R8" s="27" t="s">
        <v>30</v>
      </c>
      <c r="S8" s="11"/>
      <c r="T8" s="28"/>
      <c r="U8" s="29"/>
      <c r="V8" s="29"/>
      <c r="W8" s="29"/>
      <c r="X8" s="29"/>
      <c r="Y8" s="29"/>
      <c r="Z8" s="29"/>
      <c r="AA8" s="29" t="s">
        <v>30</v>
      </c>
      <c r="AB8" s="29"/>
      <c r="AC8" s="29" t="s">
        <v>30</v>
      </c>
    </row>
    <row r="9" spans="1:33" x14ac:dyDescent="0.2">
      <c r="S9" s="16"/>
      <c r="U9" s="14"/>
      <c r="V9" s="14"/>
      <c r="W9" s="14"/>
      <c r="X9" s="14"/>
      <c r="Y9" s="14"/>
      <c r="Z9" s="14"/>
      <c r="AB9" s="14"/>
    </row>
    <row r="10" spans="1:33" x14ac:dyDescent="0.2">
      <c r="A10" s="30"/>
      <c r="B10" s="18" t="str">
        <f>+'COLOMB$ '!B10</f>
        <v>Musical Experience  (Ambiental)</v>
      </c>
      <c r="C10" s="31">
        <v>363545</v>
      </c>
      <c r="D10" s="32">
        <f t="shared" ref="D10:D20" si="0">+C10/$C$20</f>
        <v>0.33442771644040015</v>
      </c>
      <c r="E10" s="31">
        <v>377920.68</v>
      </c>
      <c r="F10" s="32">
        <f t="shared" ref="F10:F20" si="1">+E10/$E$20</f>
        <v>0.37444812633601815</v>
      </c>
      <c r="G10" s="32">
        <f t="shared" ref="G10:G20" si="2">IF(C10=0,"",(E10-C10)/ABS(C10)+1)</f>
        <v>1.039543055192617</v>
      </c>
      <c r="H10" s="31">
        <v>355053.12</v>
      </c>
      <c r="I10" s="32">
        <f t="shared" ref="I10:I19" si="3">+H10/$H$20</f>
        <v>0.40761366733320475</v>
      </c>
      <c r="J10" s="33">
        <f t="shared" ref="J10:J20" si="4">IF(H10=0,"",(E10-H10)/ABS(H10))</f>
        <v>6.4406024653437768E-2</v>
      </c>
      <c r="K10" s="31">
        <v>800284</v>
      </c>
      <c r="L10" s="32">
        <f t="shared" ref="L10:L20" si="5">+K10/$K$20</f>
        <v>0.38225970009949556</v>
      </c>
      <c r="M10" s="31">
        <v>809032.33700000006</v>
      </c>
      <c r="N10" s="32">
        <f t="shared" ref="N10:N20" si="6">+M10/$M$20</f>
        <v>0.40096351010801762</v>
      </c>
      <c r="O10" s="32">
        <f t="shared" ref="O10:O20" si="7">IF(K10=0,"",(M10-K10)/ABS(K10)+1)</f>
        <v>1.0109315405531036</v>
      </c>
      <c r="P10" s="31">
        <v>829527.56099999999</v>
      </c>
      <c r="Q10" s="32">
        <f t="shared" ref="Q10:Q20" si="8">+P10/$P$20</f>
        <v>0.42411081841460951</v>
      </c>
      <c r="R10" s="33">
        <f t="shared" ref="R10:R20" si="9">IF(P10=0,"",(M10-P10)/ABS(P10))</f>
        <v>-2.4707104336946714E-2</v>
      </c>
      <c r="S10" s="23"/>
      <c r="T10" s="18" t="s">
        <v>31</v>
      </c>
      <c r="U10" s="34">
        <f>+'COLOMB$ '!U10</f>
        <v>40462</v>
      </c>
      <c r="V10" s="34">
        <f>+'COLOMB$ '!V10</f>
        <v>40462</v>
      </c>
      <c r="W10" s="34">
        <f>+'COLOMB$ '!W10</f>
        <v>20003</v>
      </c>
      <c r="X10" s="34">
        <f>+'COLOMB$ '!X10</f>
        <v>45751</v>
      </c>
      <c r="Y10" s="34">
        <f>+'COLOMB$ '!Y10</f>
        <v>45751</v>
      </c>
      <c r="Z10" s="35">
        <f>+Y10-X10</f>
        <v>0</v>
      </c>
      <c r="AA10" s="36">
        <f>IF(X10=0,"",(Y10-X10)/ABS(X10)+1)</f>
        <v>1</v>
      </c>
      <c r="AB10" s="34">
        <f>+'COLOMB$ '!AB10</f>
        <v>32108</v>
      </c>
      <c r="AC10" s="33">
        <f>IF(W10=0,"",(Y10-AB10)/ABS(AB10))</f>
        <v>0.42490967983057182</v>
      </c>
    </row>
    <row r="11" spans="1:33" x14ac:dyDescent="0.2">
      <c r="A11" s="37"/>
      <c r="B11" s="18" t="str">
        <f>+'COLOMB$ '!B11</f>
        <v>Instalaciones</v>
      </c>
      <c r="C11" s="31">
        <v>93405</v>
      </c>
      <c r="D11" s="32">
        <f t="shared" si="0"/>
        <v>8.5923945740185054E-2</v>
      </c>
      <c r="E11" s="31">
        <v>9109.2340000000004</v>
      </c>
      <c r="F11" s="32">
        <f t="shared" si="1"/>
        <v>9.0255330924371557E-3</v>
      </c>
      <c r="G11" s="32">
        <f t="shared" si="2"/>
        <v>9.7524051174990634E-2</v>
      </c>
      <c r="H11" s="31">
        <v>20333.874</v>
      </c>
      <c r="I11" s="32">
        <f t="shared" si="3"/>
        <v>2.3344013854127803E-2</v>
      </c>
      <c r="J11" s="33">
        <f t="shared" si="4"/>
        <v>-0.55201679719270413</v>
      </c>
      <c r="K11" s="31">
        <v>134919</v>
      </c>
      <c r="L11" s="32">
        <f t="shared" si="5"/>
        <v>6.4444742713491515E-2</v>
      </c>
      <c r="M11" s="31">
        <v>50391.58</v>
      </c>
      <c r="N11" s="32">
        <f t="shared" si="6"/>
        <v>2.4974508276903371E-2</v>
      </c>
      <c r="O11" s="32">
        <f t="shared" si="7"/>
        <v>0.37349505999896238</v>
      </c>
      <c r="P11" s="31">
        <v>61086.461000000003</v>
      </c>
      <c r="Q11" s="32">
        <f t="shared" si="8"/>
        <v>3.1231546951291864E-2</v>
      </c>
      <c r="R11" s="33">
        <f t="shared" si="9"/>
        <v>-0.17507776395820346</v>
      </c>
      <c r="S11" s="23"/>
      <c r="T11" s="18" t="s">
        <v>32</v>
      </c>
      <c r="U11" s="34">
        <f>+'COLOMB$ '!U11</f>
        <v>1042098</v>
      </c>
      <c r="V11" s="34">
        <f>+'COLOMB$ '!V11</f>
        <v>979326.16278000001</v>
      </c>
      <c r="W11" s="34">
        <f>+'COLOMB$ '!W11</f>
        <v>1059880.5249900001</v>
      </c>
      <c r="X11" s="34">
        <f>+'COLOMB$ '!X11</f>
        <v>2228984</v>
      </c>
      <c r="Y11" s="34">
        <f>+'COLOMB$ '!Y11</f>
        <v>2166212.2144299997</v>
      </c>
      <c r="Z11" s="35">
        <f>+Y11-X11</f>
        <v>-62771.785570000298</v>
      </c>
      <c r="AA11" s="36">
        <f>IF(X11=0,"",(Y11-X11)/ABS(X11)+1)</f>
        <v>0.97183838665059941</v>
      </c>
      <c r="AB11" s="34">
        <f>+'COLOMB$ '!AB11</f>
        <v>2270058.3585000001</v>
      </c>
      <c r="AC11" s="33">
        <f>IF(AB11=0,"",(Y11-AB11)/ABS(AB11))</f>
        <v>-4.5746023965048822E-2</v>
      </c>
    </row>
    <row r="12" spans="1:33" x14ac:dyDescent="0.2">
      <c r="A12" s="37"/>
      <c r="B12" s="18" t="str">
        <f>+'COLOMB$ '!B12</f>
        <v>Voice Experience (Publihold)</v>
      </c>
      <c r="C12" s="31">
        <v>64096</v>
      </c>
      <c r="D12" s="32">
        <f t="shared" si="0"/>
        <v>5.8962381308954565E-2</v>
      </c>
      <c r="E12" s="31">
        <v>68076.369000000006</v>
      </c>
      <c r="F12" s="32">
        <f t="shared" si="1"/>
        <v>6.7450843970246338E-2</v>
      </c>
      <c r="G12" s="32">
        <f t="shared" si="2"/>
        <v>1.0621001154518224</v>
      </c>
      <c r="H12" s="31">
        <v>81563.900999999998</v>
      </c>
      <c r="I12" s="32">
        <f t="shared" si="3"/>
        <v>9.3638272517116442E-2</v>
      </c>
      <c r="J12" s="33">
        <f t="shared" si="4"/>
        <v>-0.16536153659447936</v>
      </c>
      <c r="K12" s="31">
        <v>138094</v>
      </c>
      <c r="L12" s="32">
        <f t="shared" si="5"/>
        <v>6.5961297521304613E-2</v>
      </c>
      <c r="M12" s="31">
        <v>148789.37700000001</v>
      </c>
      <c r="N12" s="32">
        <f t="shared" si="6"/>
        <v>7.3741318041660855E-2</v>
      </c>
      <c r="O12" s="32">
        <f t="shared" si="7"/>
        <v>1.0774499761032341</v>
      </c>
      <c r="P12" s="31">
        <v>196765.52499999999</v>
      </c>
      <c r="Q12" s="32">
        <f t="shared" si="8"/>
        <v>0.10059989778149192</v>
      </c>
      <c r="R12" s="33">
        <f t="shared" si="9"/>
        <v>-0.24382395239206658</v>
      </c>
      <c r="S12" s="23"/>
      <c r="AC12" s="2"/>
    </row>
    <row r="13" spans="1:33" ht="14.25" x14ac:dyDescent="0.2">
      <c r="A13" s="38"/>
      <c r="B13" s="18" t="str">
        <f>+'COLOMB$ '!B13</f>
        <v>Service &amp; Equipment Experience</v>
      </c>
      <c r="C13" s="31">
        <v>209309</v>
      </c>
      <c r="D13" s="32">
        <f t="shared" si="0"/>
        <v>0.19254488687899354</v>
      </c>
      <c r="E13" s="31">
        <v>205217.86</v>
      </c>
      <c r="F13" s="32">
        <f t="shared" si="1"/>
        <v>0.20333219967662866</v>
      </c>
      <c r="G13" s="32">
        <f t="shared" si="2"/>
        <v>0.98045406552035497</v>
      </c>
      <c r="H13" s="31">
        <v>80987.760999999999</v>
      </c>
      <c r="I13" s="32">
        <f t="shared" si="3"/>
        <v>9.2976843212404653E-2</v>
      </c>
      <c r="J13" s="33">
        <f t="shared" si="4"/>
        <v>1.5339367018678289</v>
      </c>
      <c r="K13" s="31">
        <v>302502</v>
      </c>
      <c r="L13" s="32">
        <f t="shared" si="5"/>
        <v>0.14449161022774115</v>
      </c>
      <c r="M13" s="31">
        <v>304867.13</v>
      </c>
      <c r="N13" s="32">
        <f t="shared" si="6"/>
        <v>0.15109481904597505</v>
      </c>
      <c r="O13" s="32">
        <f t="shared" si="7"/>
        <v>1.0078185598772902</v>
      </c>
      <c r="P13" s="31">
        <v>196143.147</v>
      </c>
      <c r="Q13" s="32">
        <f t="shared" si="8"/>
        <v>0.10028169588519201</v>
      </c>
      <c r="R13" s="33">
        <f t="shared" si="9"/>
        <v>0.55430936366081662</v>
      </c>
      <c r="S13" s="23"/>
      <c r="T13" s="18" t="s">
        <v>33</v>
      </c>
      <c r="U13" s="34">
        <f>+'COLOMB$ '!U13</f>
        <v>221210</v>
      </c>
      <c r="V13" s="34">
        <f>+'COLOMB$ '!V13</f>
        <v>196876.584</v>
      </c>
      <c r="W13" s="34">
        <f>+'COLOMB$ '!W13</f>
        <v>131143.66200000001</v>
      </c>
      <c r="X13" s="34">
        <f>+'COLOMB$ '!X13</f>
        <v>352474</v>
      </c>
      <c r="Y13" s="34">
        <f>+'COLOMB$ '!Y13</f>
        <v>328141.25900000002</v>
      </c>
      <c r="Z13" s="35">
        <f>+X13-Y13</f>
        <v>24332.74099999998</v>
      </c>
      <c r="AA13" s="36">
        <f>IF(X13=0,"",(Y13-X13)/ABS(X13)+1)</f>
        <v>0.93096585563757905</v>
      </c>
      <c r="AB13" s="34">
        <f>+'COLOMB$ '!AB13</f>
        <v>271363.20899999997</v>
      </c>
      <c r="AC13" s="33">
        <f>IF(AB13=0,"",(Y13-AB13)/ABS(AB13))</f>
        <v>0.2092326745738036</v>
      </c>
      <c r="AE13" s="39"/>
      <c r="AF13" s="39"/>
    </row>
    <row r="14" spans="1:33" x14ac:dyDescent="0.2">
      <c r="A14" s="37"/>
      <c r="B14" s="18" t="str">
        <f>+'COLOMB$ '!B14</f>
        <v>POP Satelital</v>
      </c>
      <c r="C14" s="31">
        <v>0</v>
      </c>
      <c r="D14" s="32">
        <f t="shared" si="0"/>
        <v>0</v>
      </c>
      <c r="E14" s="31">
        <v>0</v>
      </c>
      <c r="F14" s="32">
        <f t="shared" si="1"/>
        <v>0</v>
      </c>
      <c r="G14" s="32" t="e">
        <f t="shared" si="2"/>
        <v>#DIV/0!</v>
      </c>
      <c r="H14" s="31">
        <v>0</v>
      </c>
      <c r="I14" s="32">
        <f t="shared" si="3"/>
        <v>0</v>
      </c>
      <c r="J14" s="33" t="e">
        <f t="shared" si="4"/>
        <v>#DIV/0!</v>
      </c>
      <c r="K14" s="31">
        <v>0</v>
      </c>
      <c r="L14" s="32">
        <f t="shared" si="5"/>
        <v>0</v>
      </c>
      <c r="M14" s="34"/>
      <c r="N14" s="32">
        <f t="shared" si="6"/>
        <v>0</v>
      </c>
      <c r="O14" s="32" t="e">
        <f t="shared" si="7"/>
        <v>#DIV/0!</v>
      </c>
      <c r="P14" s="34"/>
      <c r="Q14" s="32">
        <f t="shared" si="8"/>
        <v>0</v>
      </c>
      <c r="R14" s="33" t="str">
        <f t="shared" si="9"/>
        <v/>
      </c>
      <c r="S14" s="23"/>
      <c r="T14" s="18" t="s">
        <v>34</v>
      </c>
      <c r="U14" s="34">
        <f>+'COLOMB$ '!U14</f>
        <v>12131</v>
      </c>
      <c r="V14" s="34">
        <f>+'COLOMB$ '!V14</f>
        <v>13734.432000000001</v>
      </c>
      <c r="W14" s="34">
        <f>+'COLOMB$ '!W14</f>
        <v>10061.064</v>
      </c>
      <c r="X14" s="34">
        <f>+'COLOMB$ '!X14</f>
        <v>23842</v>
      </c>
      <c r="Y14" s="34">
        <f>+'COLOMB$ '!Y14</f>
        <v>25445.174999999999</v>
      </c>
      <c r="Z14" s="35">
        <f>+X14-Y14</f>
        <v>-1603.1749999999993</v>
      </c>
      <c r="AA14" s="36">
        <f>IF(X14=0,"",(Y14-X14)/ABS(X14)+1)</f>
        <v>1.0672416324133882</v>
      </c>
      <c r="AB14" s="34">
        <f>+'COLOMB$ '!AB14</f>
        <v>20402.258000000002</v>
      </c>
      <c r="AC14" s="33">
        <f>IF(AB14=0,"",(Y14-AB14)/ABS(AB14))</f>
        <v>0.24717445490592252</v>
      </c>
      <c r="AE14" s="39"/>
    </row>
    <row r="15" spans="1:33" x14ac:dyDescent="0.2">
      <c r="A15" s="37"/>
      <c r="B15" s="18" t="str">
        <f>+'COLOMB$ '!B15</f>
        <v>Voice Experience (Audicóm)</v>
      </c>
      <c r="C15" s="31">
        <v>137243</v>
      </c>
      <c r="D15" s="32">
        <f t="shared" si="0"/>
        <v>0.12625084401499082</v>
      </c>
      <c r="E15" s="31">
        <v>136321.174</v>
      </c>
      <c r="F15" s="32">
        <f t="shared" si="1"/>
        <v>0.13506857625316063</v>
      </c>
      <c r="G15" s="32">
        <f t="shared" si="2"/>
        <v>0.99328325670525996</v>
      </c>
      <c r="H15" s="31">
        <v>130261.149</v>
      </c>
      <c r="I15" s="32">
        <f t="shared" si="3"/>
        <v>0.14954445310867012</v>
      </c>
      <c r="J15" s="33">
        <f t="shared" si="4"/>
        <v>4.6522121496103137E-2</v>
      </c>
      <c r="K15" s="31">
        <v>285822</v>
      </c>
      <c r="L15" s="32">
        <f t="shared" si="5"/>
        <v>0.13652432386732463</v>
      </c>
      <c r="M15" s="31">
        <v>285702.087</v>
      </c>
      <c r="N15" s="32">
        <f t="shared" si="6"/>
        <v>0.1415964559259715</v>
      </c>
      <c r="O15" s="32">
        <f t="shared" si="7"/>
        <v>0.9995804626655751</v>
      </c>
      <c r="P15" s="31">
        <v>284347.28399999999</v>
      </c>
      <c r="Q15" s="32">
        <f t="shared" si="8"/>
        <v>0.14537764023878091</v>
      </c>
      <c r="R15" s="33">
        <f t="shared" si="9"/>
        <v>4.7646067897733624E-3</v>
      </c>
      <c r="S15" s="23"/>
      <c r="T15" s="18" t="s">
        <v>35</v>
      </c>
      <c r="U15" s="34">
        <f>+'COLOMB$ '!U15</f>
        <v>646231</v>
      </c>
      <c r="V15" s="34">
        <f>+'COLOMB$ '!V15</f>
        <v>558362.81799999997</v>
      </c>
      <c r="W15" s="34">
        <f>+'COLOMB$ '!W15</f>
        <v>458604.80699999997</v>
      </c>
      <c r="X15" s="34">
        <f>+'COLOMB$ '!X15</f>
        <v>1073372</v>
      </c>
      <c r="Y15" s="34">
        <f>+'COLOMB$ '!Y15</f>
        <v>985504.11199999996</v>
      </c>
      <c r="Z15" s="35">
        <f>+X15-Y15</f>
        <v>87867.888000000035</v>
      </c>
      <c r="AA15" s="36">
        <f>IF(X15=0,"",(Y15-X15)/ABS(X15)+1)</f>
        <v>0.91813845712390485</v>
      </c>
      <c r="AB15" s="34">
        <f>+'COLOMB$ '!AB15</f>
        <v>829726.29200000002</v>
      </c>
      <c r="AC15" s="33">
        <f>IF(AB15=0,"",(Y15-AB15)/ABS(AB15))</f>
        <v>0.18774603324248998</v>
      </c>
      <c r="AE15" s="39"/>
      <c r="AF15" s="39"/>
      <c r="AG15" s="39"/>
    </row>
    <row r="16" spans="1:33" x14ac:dyDescent="0.2">
      <c r="A16" s="37"/>
      <c r="B16" s="18" t="str">
        <f>+'COLOMB$ '!B16</f>
        <v>Fact. Servicio Satelital</v>
      </c>
      <c r="C16" s="31">
        <v>0</v>
      </c>
      <c r="D16" s="32">
        <f t="shared" si="0"/>
        <v>0</v>
      </c>
      <c r="E16" s="34"/>
      <c r="F16" s="32">
        <f t="shared" si="1"/>
        <v>0</v>
      </c>
      <c r="G16" s="32" t="e">
        <f t="shared" si="2"/>
        <v>#DIV/0!</v>
      </c>
      <c r="H16" s="34"/>
      <c r="I16" s="32">
        <f t="shared" si="3"/>
        <v>0</v>
      </c>
      <c r="J16" s="33" t="str">
        <f t="shared" si="4"/>
        <v/>
      </c>
      <c r="K16" s="31">
        <v>0</v>
      </c>
      <c r="L16" s="32">
        <f t="shared" si="5"/>
        <v>0</v>
      </c>
      <c r="M16" s="34">
        <f>+'COLOMB$ '!M16+'PROY SAT$'!M16</f>
        <v>0</v>
      </c>
      <c r="N16" s="32">
        <f t="shared" si="6"/>
        <v>0</v>
      </c>
      <c r="O16" s="32" t="e">
        <f t="shared" si="7"/>
        <v>#DIV/0!</v>
      </c>
      <c r="P16" s="34">
        <f>+'COLOMB$ '!P16+'PROY SAT$'!P16</f>
        <v>0</v>
      </c>
      <c r="Q16" s="32">
        <f t="shared" si="8"/>
        <v>0</v>
      </c>
      <c r="R16" s="33" t="str">
        <f t="shared" si="9"/>
        <v/>
      </c>
      <c r="S16" s="23"/>
      <c r="T16" s="18" t="s">
        <v>36</v>
      </c>
      <c r="U16" s="34">
        <f>+'COLOMB$ '!U16</f>
        <v>371007</v>
      </c>
      <c r="V16" s="34">
        <f>+'COLOMB$ '!V16</f>
        <v>266894.27461000002</v>
      </c>
      <c r="W16" s="34">
        <f>+'COLOMB$ '!W16</f>
        <v>270375.84658000001</v>
      </c>
      <c r="X16" s="34">
        <f>+'COLOMB$ '!X16</f>
        <v>629746</v>
      </c>
      <c r="Y16" s="34">
        <f>+'COLOMB$ '!Y16</f>
        <v>525632.56568999996</v>
      </c>
      <c r="Z16" s="35">
        <f>+X16-Y16</f>
        <v>104113.43431000004</v>
      </c>
      <c r="AA16" s="36">
        <f>IF(X16=0,"",(Y16-X16)/ABS(X16)+1)</f>
        <v>0.83467392518570971</v>
      </c>
      <c r="AB16" s="34">
        <f>+'COLOMB$ '!AB16</f>
        <v>508131.52392000001</v>
      </c>
      <c r="AC16" s="33">
        <f>IF(AB16=0,"",(Y16-AB16)/ABS(AB16))</f>
        <v>3.4441952420088996E-2</v>
      </c>
      <c r="AE16" s="39"/>
      <c r="AF16" s="13"/>
    </row>
    <row r="17" spans="1:32" x14ac:dyDescent="0.2">
      <c r="A17" s="37"/>
      <c r="B17" s="18" t="str">
        <f>+'COLOMB$ '!B17</f>
        <v>Visual Experience</v>
      </c>
      <c r="C17" s="31">
        <v>10001</v>
      </c>
      <c r="D17" s="32">
        <f t="shared" si="0"/>
        <v>9.1999933766671021E-3</v>
      </c>
      <c r="E17" s="31">
        <v>10843.616</v>
      </c>
      <c r="F17" s="32">
        <f t="shared" si="1"/>
        <v>1.0743978588065802E-2</v>
      </c>
      <c r="G17" s="32">
        <f t="shared" si="2"/>
        <v>1.0842531746825317</v>
      </c>
      <c r="H17" s="31">
        <v>15348.575000000001</v>
      </c>
      <c r="I17" s="32">
        <f t="shared" si="3"/>
        <v>1.7620712484060819E-2</v>
      </c>
      <c r="J17" s="33">
        <f t="shared" si="4"/>
        <v>-0.2935099186732319</v>
      </c>
      <c r="K17" s="31">
        <v>19529</v>
      </c>
      <c r="L17" s="32">
        <f t="shared" si="5"/>
        <v>9.3281256194589022E-3</v>
      </c>
      <c r="M17" s="31">
        <v>21744.458999999999</v>
      </c>
      <c r="N17" s="32">
        <f t="shared" si="6"/>
        <v>1.0776744274981771E-2</v>
      </c>
      <c r="O17" s="32">
        <f t="shared" si="7"/>
        <v>1.1134445696144195</v>
      </c>
      <c r="P17" s="31">
        <v>30489.225999999999</v>
      </c>
      <c r="Q17" s="32">
        <f t="shared" si="8"/>
        <v>1.5588162708059787E-2</v>
      </c>
      <c r="R17" s="33">
        <f t="shared" si="9"/>
        <v>-0.28681498835031105</v>
      </c>
      <c r="S17" s="23"/>
      <c r="T17" s="18" t="s">
        <v>37</v>
      </c>
      <c r="U17" s="34">
        <f>U13+U14+U15+U16</f>
        <v>1250579</v>
      </c>
      <c r="V17" s="34">
        <f>V13+V14+V15+V16</f>
        <v>1035868.10861</v>
      </c>
      <c r="W17" s="34">
        <f>W13+W14+W15+W16</f>
        <v>870185.37958000007</v>
      </c>
      <c r="X17" s="34">
        <f>X13+X14+X15+X16</f>
        <v>2079434</v>
      </c>
      <c r="Y17" s="34">
        <f>Y13+Y14+Y15+Y16</f>
        <v>1864723.1116900002</v>
      </c>
      <c r="Z17" s="35">
        <f>+Y17-X17</f>
        <v>-214710.88830999983</v>
      </c>
      <c r="AA17" s="36">
        <f>IF(X17=0,"",(Y17-X17)/ABS(X17)+1)</f>
        <v>0.89674551425532145</v>
      </c>
      <c r="AB17" s="34">
        <f>+'COLOMB$ '!AB17</f>
        <v>1629623.2829200001</v>
      </c>
      <c r="AC17" s="33">
        <f>IF(AB17=0,"",(Y17-AB17)/ABS(AB17))</f>
        <v>0.14426636587367739</v>
      </c>
      <c r="AE17" s="39"/>
      <c r="AF17" s="39"/>
    </row>
    <row r="18" spans="1:32" x14ac:dyDescent="0.2">
      <c r="A18" s="37"/>
      <c r="B18" s="18" t="str">
        <f>+'COLOMB$ '!B18</f>
        <v>Olfa Experience</v>
      </c>
      <c r="C18" s="31">
        <v>150134</v>
      </c>
      <c r="D18" s="32">
        <f t="shared" si="0"/>
        <v>0.13810936962429143</v>
      </c>
      <c r="E18" s="31">
        <v>145918.41699999999</v>
      </c>
      <c r="F18" s="32">
        <f t="shared" si="1"/>
        <v>0.14457763423681333</v>
      </c>
      <c r="G18" s="32">
        <f t="shared" si="2"/>
        <v>0.97192119706395608</v>
      </c>
      <c r="H18" s="31">
        <v>130020.20600000001</v>
      </c>
      <c r="I18" s="32">
        <f t="shared" si="3"/>
        <v>0.14926784193609891</v>
      </c>
      <c r="J18" s="40">
        <f t="shared" si="4"/>
        <v>0.12227492548350508</v>
      </c>
      <c r="K18" s="31">
        <v>293771</v>
      </c>
      <c r="L18" s="32">
        <f t="shared" si="5"/>
        <v>0.14032120392001954</v>
      </c>
      <c r="M18" s="31">
        <v>281383.28399999999</v>
      </c>
      <c r="N18" s="32">
        <f t="shared" si="6"/>
        <v>0.13945601934371279</v>
      </c>
      <c r="O18" s="32">
        <f t="shared" si="7"/>
        <v>0.95783206647354568</v>
      </c>
      <c r="P18" s="31">
        <v>242876.82699999999</v>
      </c>
      <c r="Q18" s="32">
        <f t="shared" si="8"/>
        <v>0.12417512656088051</v>
      </c>
      <c r="R18" s="33">
        <f t="shared" si="9"/>
        <v>0.15854314911648609</v>
      </c>
      <c r="S18" s="23"/>
      <c r="AC18" s="2"/>
      <c r="AE18" s="39"/>
    </row>
    <row r="19" spans="1:32" x14ac:dyDescent="0.2">
      <c r="A19" s="30"/>
      <c r="B19" s="18" t="str">
        <f>+'COLOMB$ '!B19</f>
        <v>Locutor virtual</v>
      </c>
      <c r="C19" s="31">
        <v>59333</v>
      </c>
      <c r="D19" s="32">
        <f t="shared" si="0"/>
        <v>5.4580862615517367E-2</v>
      </c>
      <c r="E19" s="31">
        <v>55866.440999999999</v>
      </c>
      <c r="F19" s="32">
        <f t="shared" si="1"/>
        <v>5.5353107846629897E-2</v>
      </c>
      <c r="G19" s="32">
        <f t="shared" si="2"/>
        <v>0.9415745200815735</v>
      </c>
      <c r="H19" s="31">
        <v>57484.444000000003</v>
      </c>
      <c r="I19" s="32">
        <f t="shared" si="3"/>
        <v>6.5994195554316612E-2</v>
      </c>
      <c r="J19" s="33">
        <f t="shared" si="4"/>
        <v>-2.8146797418793928E-2</v>
      </c>
      <c r="K19" s="31">
        <v>118640</v>
      </c>
      <c r="L19" s="32">
        <f t="shared" si="5"/>
        <v>5.6668996031164126E-2</v>
      </c>
      <c r="M19" s="31">
        <v>115810.353</v>
      </c>
      <c r="N19" s="32">
        <f t="shared" si="6"/>
        <v>5.7396624982776909E-2</v>
      </c>
      <c r="O19" s="32">
        <f t="shared" si="7"/>
        <v>0.97614930040458536</v>
      </c>
      <c r="P19" s="31">
        <v>114685.68799999999</v>
      </c>
      <c r="Q19" s="32">
        <f t="shared" si="8"/>
        <v>5.8635111459693329E-2</v>
      </c>
      <c r="R19" s="33">
        <f t="shared" si="9"/>
        <v>9.8064982615791441E-3</v>
      </c>
      <c r="S19" s="23"/>
      <c r="T19" s="18" t="s">
        <v>38</v>
      </c>
      <c r="U19" s="34">
        <f>U11-U17</f>
        <v>-208481</v>
      </c>
      <c r="V19" s="34">
        <f>V11-V17</f>
        <v>-56541.945829999982</v>
      </c>
      <c r="W19" s="34">
        <f>W11-W17</f>
        <v>189695.14541</v>
      </c>
      <c r="X19" s="34">
        <f>X11-X17</f>
        <v>149550</v>
      </c>
      <c r="Y19" s="34">
        <f>Y11-Y17</f>
        <v>301489.10273999954</v>
      </c>
      <c r="Z19" s="35">
        <f>+Y19-X19</f>
        <v>151939.10273999954</v>
      </c>
      <c r="AA19" s="36">
        <f>IF(X19=0,"",(Y19-X19)/ABS(X19)+1)</f>
        <v>2.0159752774322941</v>
      </c>
      <c r="AB19" s="34">
        <f>AB11-AB17</f>
        <v>640435.07557999995</v>
      </c>
      <c r="AC19" s="33">
        <f>IF(AB19=0,"",(Y19-AB19)/ABS(AB19))</f>
        <v>-0.52924330000670139</v>
      </c>
      <c r="AE19" s="39"/>
    </row>
    <row r="20" spans="1:32" x14ac:dyDescent="0.2">
      <c r="B20" s="41" t="s">
        <v>39</v>
      </c>
      <c r="C20" s="42">
        <f>SUM(C10:C19)</f>
        <v>1087066</v>
      </c>
      <c r="D20" s="43">
        <f t="shared" si="0"/>
        <v>1</v>
      </c>
      <c r="E20" s="42">
        <f>SUM(E10:E19)</f>
        <v>1009273.791</v>
      </c>
      <c r="F20" s="43">
        <f t="shared" si="1"/>
        <v>1</v>
      </c>
      <c r="G20" s="43">
        <f t="shared" si="2"/>
        <v>0.92843837540682905</v>
      </c>
      <c r="H20" s="42">
        <f>SUM(H10:H19)</f>
        <v>871053.02999999991</v>
      </c>
      <c r="I20" s="43">
        <f>+H22/$H$22</f>
        <v>1</v>
      </c>
      <c r="J20" s="44">
        <f t="shared" si="4"/>
        <v>0.15868237207096342</v>
      </c>
      <c r="K20" s="42">
        <f>SUM(K10:K19)</f>
        <v>2093561</v>
      </c>
      <c r="L20" s="43">
        <f t="shared" si="5"/>
        <v>1</v>
      </c>
      <c r="M20" s="42">
        <f>SUM(M10:M19)</f>
        <v>2017720.6070000003</v>
      </c>
      <c r="N20" s="43">
        <f t="shared" si="6"/>
        <v>1</v>
      </c>
      <c r="O20" s="43">
        <f t="shared" si="7"/>
        <v>0.96377445271477657</v>
      </c>
      <c r="P20" s="42">
        <f>SUM(P10:P19)</f>
        <v>1955921.7190000003</v>
      </c>
      <c r="Q20" s="43">
        <f t="shared" si="8"/>
        <v>1</v>
      </c>
      <c r="R20" s="44">
        <f t="shared" si="9"/>
        <v>3.1595788011186773E-2</v>
      </c>
      <c r="S20" s="23"/>
      <c r="T20" s="18"/>
      <c r="U20" s="34"/>
      <c r="V20" s="34"/>
      <c r="W20" s="34"/>
      <c r="X20" s="34"/>
      <c r="Y20" s="34"/>
      <c r="Z20" s="35"/>
      <c r="AA20" s="36"/>
      <c r="AB20" s="34"/>
      <c r="AC20" s="33" t="str">
        <f>IF(AB20=0,"",(Y20-AB20)/ABS(AB20))</f>
        <v/>
      </c>
      <c r="AE20" s="39"/>
    </row>
    <row r="21" spans="1:32" x14ac:dyDescent="0.2">
      <c r="J21" s="33"/>
      <c r="R21" s="33"/>
      <c r="S21" s="23"/>
      <c r="T21" s="18" t="s">
        <v>40</v>
      </c>
      <c r="U21" s="34">
        <f>+U10+U19</f>
        <v>-168019</v>
      </c>
      <c r="V21" s="34">
        <f>+V10+V19</f>
        <v>-16079.945829999982</v>
      </c>
      <c r="W21" s="34">
        <f>+'COLOMB$ '!W21</f>
        <v>209698.14541</v>
      </c>
      <c r="X21" s="34">
        <f>+X10+X19</f>
        <v>195301</v>
      </c>
      <c r="Y21" s="34">
        <f>+Y10+Y19</f>
        <v>347240.10273999954</v>
      </c>
      <c r="Z21" s="35">
        <f>+Y21-X21</f>
        <v>151939.10273999954</v>
      </c>
      <c r="AA21" s="36">
        <f>IF(X21=0,"",(Y21-X21)/ABS(X21)+1)</f>
        <v>1.7779740131386912</v>
      </c>
      <c r="AB21" s="34">
        <f>+'COLOMB$ '!AB21</f>
        <v>672543.07557999995</v>
      </c>
      <c r="AC21" s="33">
        <f>IF(AB21=0,"",(Y21-AB21)/ABS(AB21))</f>
        <v>-0.48369091088992289</v>
      </c>
    </row>
    <row r="22" spans="1:32" x14ac:dyDescent="0.2">
      <c r="B22" s="18" t="s">
        <v>41</v>
      </c>
      <c r="C22" s="31">
        <v>157534</v>
      </c>
      <c r="D22" s="32">
        <f>+C22/$C$20</f>
        <v>0.14491668399158836</v>
      </c>
      <c r="E22" s="31">
        <v>160134.28036999999</v>
      </c>
      <c r="F22" s="32">
        <f>+E22/$E$20</f>
        <v>0.15866287403672411</v>
      </c>
      <c r="G22" s="32">
        <f>IF(C22=0,"",(E22-C22)/ABS(C22)+1)</f>
        <v>1.0165061534018054</v>
      </c>
      <c r="H22" s="31">
        <v>61982.791499999999</v>
      </c>
      <c r="I22" s="32">
        <f>+H22/$H$20</f>
        <v>7.1158459204257646E-2</v>
      </c>
      <c r="J22" s="33">
        <f>IF(H22=0,"",(E22-H22)/ABS(H22))</f>
        <v>1.5835280485874859</v>
      </c>
      <c r="K22" s="31">
        <v>248522</v>
      </c>
      <c r="L22" s="32">
        <f>+K22/$K$20</f>
        <v>0.11870779021963057</v>
      </c>
      <c r="M22" s="31">
        <v>267357.84068999998</v>
      </c>
      <c r="N22" s="32">
        <f>+M22/$M$20</f>
        <v>0.13250488683243147</v>
      </c>
      <c r="O22" s="32">
        <f>IF(K22=0,"",(M22-K22)/ABS(K22)+1)</f>
        <v>1.0757914417637069</v>
      </c>
      <c r="P22" s="31">
        <v>155564.56649999999</v>
      </c>
      <c r="Q22" s="32">
        <f>+P22/$P$20</f>
        <v>7.9535170037139905E-2</v>
      </c>
      <c r="R22" s="33">
        <f>IF(P22=0,"",(M22-P22)/ABS(P22))</f>
        <v>0.71862941995856111</v>
      </c>
      <c r="S22" s="23"/>
      <c r="AC22" s="33"/>
      <c r="AE22" s="39"/>
    </row>
    <row r="23" spans="1:32" x14ac:dyDescent="0.2">
      <c r="J23" s="33"/>
      <c r="R23" s="33"/>
      <c r="S23" s="23"/>
      <c r="T23" s="18" t="s">
        <v>42</v>
      </c>
      <c r="U23" s="34">
        <f>+'COLOMB$ '!U23</f>
        <v>0</v>
      </c>
      <c r="V23" s="34">
        <f>+'COLOMB$ '!V23</f>
        <v>62554.208399999996</v>
      </c>
      <c r="W23" s="34">
        <f>+'COLOMB$ '!W23</f>
        <v>36691.403570000002</v>
      </c>
      <c r="X23" s="34">
        <f>+'COLOMB$ '!X23</f>
        <v>34738</v>
      </c>
      <c r="Y23" s="34">
        <f>+'COLOMB$ '!Y23</f>
        <v>97292.011150000006</v>
      </c>
      <c r="Z23" s="35">
        <f>+Y23-X23</f>
        <v>62554.011150000006</v>
      </c>
      <c r="AA23" s="36">
        <f>IF(X23=0,"",(Y23-X23)/ABS(X23)+1)</f>
        <v>2.8007372661062817</v>
      </c>
      <c r="AB23" s="34">
        <f>+'COLOMB$ '!AB23</f>
        <v>36691.403570000002</v>
      </c>
      <c r="AC23" s="33">
        <f>IF(AB23=0,"",(Y23-AB23)/ABS(AB23))</f>
        <v>1.6516295830544048</v>
      </c>
    </row>
    <row r="24" spans="1:32" x14ac:dyDescent="0.2">
      <c r="B24" s="45" t="s">
        <v>43</v>
      </c>
      <c r="C24" s="34">
        <f>+C20-C22</f>
        <v>929532</v>
      </c>
      <c r="D24" s="32">
        <f>+C24/$C$20</f>
        <v>0.85508331600841159</v>
      </c>
      <c r="E24" s="34">
        <f>+E20-E22</f>
        <v>849139.51062999992</v>
      </c>
      <c r="F24" s="32">
        <f>+E24/$E$20</f>
        <v>0.84133712596327581</v>
      </c>
      <c r="G24" s="32">
        <f>IF(C24=0,"",(E24-C24)/ABS(C24)+1)</f>
        <v>0.91351294052275755</v>
      </c>
      <c r="H24" s="34">
        <f>+H20-H22</f>
        <v>809070.23849999986</v>
      </c>
      <c r="I24" s="32">
        <f>+H24/$H$20</f>
        <v>0.92884154079574233</v>
      </c>
      <c r="J24" s="33">
        <f>IF(H24=0,"",(E24-H24)/ABS(H24))</f>
        <v>4.9525084749486879E-2</v>
      </c>
      <c r="K24" s="34">
        <f>+K20-K22</f>
        <v>1845039</v>
      </c>
      <c r="L24" s="32">
        <f>+K24/$K$20</f>
        <v>0.88129220978036937</v>
      </c>
      <c r="M24" s="34">
        <f>+M20-M22</f>
        <v>1750362.7663100003</v>
      </c>
      <c r="N24" s="32">
        <f>+M24/$M$20</f>
        <v>0.86749511316756855</v>
      </c>
      <c r="O24" s="32">
        <f>IF(K24=0,"",(M24-K24)/ABS(K24)+1)</f>
        <v>0.94868605287476326</v>
      </c>
      <c r="P24" s="34">
        <f>+P20-P22</f>
        <v>1800357.1525000003</v>
      </c>
      <c r="Q24" s="32">
        <f>+P24/$P$20</f>
        <v>0.92046482996286016</v>
      </c>
      <c r="R24" s="33">
        <f>IF(P24=0,"",(M24-P24)/ABS(P24))</f>
        <v>-2.7769149093876795E-2</v>
      </c>
      <c r="S24" s="23"/>
      <c r="AC24" s="33"/>
    </row>
    <row r="25" spans="1:32" x14ac:dyDescent="0.2">
      <c r="J25" s="33"/>
      <c r="R25" s="33"/>
      <c r="T25" s="18" t="s">
        <v>44</v>
      </c>
      <c r="U25" s="34">
        <f>+'COLOMB$ '!U25</f>
        <v>61837</v>
      </c>
      <c r="V25" s="34">
        <f>+'COLOMB$ '!V25</f>
        <v>57259.08988</v>
      </c>
      <c r="W25" s="34">
        <f>+'COLOMB$ '!W25</f>
        <v>57037.856540000001</v>
      </c>
      <c r="X25" s="34">
        <f>+'COLOMB$ '!X25</f>
        <v>380375</v>
      </c>
      <c r="Y25" s="34">
        <f>+'COLOMB$ '!Y25</f>
        <v>375796.86304000003</v>
      </c>
      <c r="Z25" s="35">
        <f>+Y25-X25</f>
        <v>-4578.1369599999744</v>
      </c>
      <c r="AA25" s="36">
        <f>IF(X25=0,"",(Y25-X25)/ABS(X25)+1)</f>
        <v>0.98796414864278681</v>
      </c>
      <c r="AB25" s="34">
        <f>+'COLOMB$ '!AB25</f>
        <v>391875.79907999997</v>
      </c>
      <c r="AC25" s="33">
        <f>IF(AB25=0,"",(Y25-AB25)/ABS(AB25))</f>
        <v>-4.1030694107031314E-2</v>
      </c>
    </row>
    <row r="26" spans="1:32" x14ac:dyDescent="0.2">
      <c r="B26" s="18" t="s">
        <v>45</v>
      </c>
      <c r="C26" s="31">
        <v>311642</v>
      </c>
      <c r="D26" s="32">
        <f>+C26/$C$20</f>
        <v>0.28668176541258766</v>
      </c>
      <c r="E26" s="31">
        <v>243152.29340999998</v>
      </c>
      <c r="F26" s="32">
        <f>+E26/$E$20</f>
        <v>0.24091806958454942</v>
      </c>
      <c r="G26" s="32">
        <f>IF(C26=0,"",(E26-C26)/ABS(C26)+1)</f>
        <v>0.78022953712914167</v>
      </c>
      <c r="H26" s="31">
        <v>203975.31466999999</v>
      </c>
      <c r="I26" s="32">
        <f>+H26/$H$20</f>
        <v>0.23417094900639979</v>
      </c>
      <c r="J26" s="33">
        <f>IF(H26=0,"",(E26-H26)/ABS(H26))</f>
        <v>0.19206725482140907</v>
      </c>
      <c r="K26" s="31">
        <v>523443</v>
      </c>
      <c r="L26" s="32">
        <f>+K26/$K$20</f>
        <v>0.25002519630428727</v>
      </c>
      <c r="M26" s="31">
        <v>403927.15299999999</v>
      </c>
      <c r="N26" s="32">
        <f>+M26/$M$20</f>
        <v>0.20018983381478639</v>
      </c>
      <c r="O26" s="32">
        <f>IF(K26=0,"",(M26-K26)/ABS(K26)+1)</f>
        <v>0.77167361680259361</v>
      </c>
      <c r="P26" s="31">
        <v>376619.36268999998</v>
      </c>
      <c r="Q26" s="32">
        <f>+P26/$P$20</f>
        <v>0.1925533926186746</v>
      </c>
      <c r="R26" s="33">
        <f>IF(P26=0,"",(M26-P26)/ABS(P26))</f>
        <v>7.2507664276617104E-2</v>
      </c>
      <c r="S26" s="23"/>
      <c r="AC26" s="33"/>
    </row>
    <row r="27" spans="1:32" x14ac:dyDescent="0.2">
      <c r="B27" s="18" t="s">
        <v>46</v>
      </c>
      <c r="C27" s="31">
        <v>355319</v>
      </c>
      <c r="D27" s="32">
        <f>+C27/$C$20</f>
        <v>0.32686055860453733</v>
      </c>
      <c r="E27" s="31">
        <v>345558.40841999999</v>
      </c>
      <c r="F27" s="32">
        <f>+E27/$E$20</f>
        <v>0.34238321801422861</v>
      </c>
      <c r="G27" s="32">
        <f>IF(C27=0,"",(E27-C27)/ABS(C27)+1)</f>
        <v>0.9725300600868515</v>
      </c>
      <c r="H27" s="31">
        <v>309969.49904000002</v>
      </c>
      <c r="I27" s="32">
        <f>+H27/$H$20</f>
        <v>0.35585605969363321</v>
      </c>
      <c r="J27" s="33">
        <f>IF(H27=0,"",(E27-H27)/ABS(H27))</f>
        <v>0.11481423007819036</v>
      </c>
      <c r="K27" s="31">
        <v>690032</v>
      </c>
      <c r="L27" s="32">
        <f>+K27/$K$20</f>
        <v>0.32959727469130345</v>
      </c>
      <c r="M27" s="31">
        <v>662413.69783000008</v>
      </c>
      <c r="N27" s="32">
        <f>+M27/$M$20</f>
        <v>0.32829802874189506</v>
      </c>
      <c r="O27" s="32">
        <f>IF(K27=0,"",(M27-K27)/ABS(K27)+1)</f>
        <v>0.95997533133246005</v>
      </c>
      <c r="P27" s="31">
        <v>591893.51725000003</v>
      </c>
      <c r="Q27" s="32">
        <f>+P27/$P$20</f>
        <v>0.3026161586633519</v>
      </c>
      <c r="R27" s="33">
        <f>IF(P27=0,"",(M27-P27)/ABS(P27))</f>
        <v>0.11914335691264921</v>
      </c>
      <c r="S27" s="23"/>
      <c r="T27" s="18" t="s">
        <v>47</v>
      </c>
      <c r="U27" s="34">
        <f>+'COLOMB$ '!U27</f>
        <v>-263240</v>
      </c>
      <c r="V27" s="34">
        <f>+'COLOMB$ '!V27</f>
        <v>-195726.92474000002</v>
      </c>
      <c r="W27" s="34">
        <f>+'COLOMB$ '!W27</f>
        <v>26452</v>
      </c>
      <c r="X27" s="34">
        <f>+'COLOMB$ '!X27</f>
        <v>-253196</v>
      </c>
      <c r="Y27" s="34">
        <f>+'COLOMB$ '!Y27</f>
        <v>-185682</v>
      </c>
      <c r="Z27" s="35">
        <f>+Y27-X27</f>
        <v>67514</v>
      </c>
      <c r="AA27" s="36">
        <f>IF(X27=0,"",(Y27-X27)/ABS(X27)+1)</f>
        <v>1.2666471824199435</v>
      </c>
      <c r="AB27" s="34">
        <f>+'COLOMB$ '!AB27</f>
        <v>154459</v>
      </c>
      <c r="AC27" s="33">
        <f>IF(AB27=0,"",(Y27-AB27)/ABS(AB27))</f>
        <v>-2.2021442583468751</v>
      </c>
    </row>
    <row r="28" spans="1:32" x14ac:dyDescent="0.2">
      <c r="B28" s="18" t="s">
        <v>48</v>
      </c>
      <c r="C28" s="34">
        <f>SUM(C26:C27)</f>
        <v>666961</v>
      </c>
      <c r="D28" s="32">
        <f>+C28/$C$20</f>
        <v>0.61354232401712494</v>
      </c>
      <c r="E28" s="34">
        <f>SUM(E26:E27)</f>
        <v>588710.70182999992</v>
      </c>
      <c r="F28" s="32">
        <f>+E28/$E$20</f>
        <v>0.58330128759877797</v>
      </c>
      <c r="G28" s="32">
        <f>IF(C28=0,"",(E28-C28)/ABS(C28)+1)</f>
        <v>0.88267635113597331</v>
      </c>
      <c r="H28" s="34">
        <f>SUM(H26:H27)</f>
        <v>513944.81371000002</v>
      </c>
      <c r="I28" s="32">
        <f>+H28/$H$20</f>
        <v>0.590027008700033</v>
      </c>
      <c r="J28" s="33">
        <f>IF(H28=0,"",(E28-H28)/ABS(H28))</f>
        <v>0.14547454537052204</v>
      </c>
      <c r="K28" s="34">
        <f>SUM(K26:K27)</f>
        <v>1213475</v>
      </c>
      <c r="L28" s="32">
        <f>+K28/$K$20</f>
        <v>0.57962247099559072</v>
      </c>
      <c r="M28" s="34">
        <f>SUM(M26:M27)</f>
        <v>1066340.8508300001</v>
      </c>
      <c r="N28" s="32">
        <f>+M28/$M$20</f>
        <v>0.52848786255668145</v>
      </c>
      <c r="O28" s="32">
        <f>IF(K28=0,"",(M28-K28)/ABS(K28)+1)</f>
        <v>0.87874974830960684</v>
      </c>
      <c r="P28" s="34">
        <f>SUM(P26:P27)</f>
        <v>968512.87994000001</v>
      </c>
      <c r="Q28" s="32">
        <f>+P28/$P$20</f>
        <v>0.4951695512820265</v>
      </c>
      <c r="R28" s="33">
        <f>IF(P28=0,"",(M28-P28)/ABS(P28))</f>
        <v>0.10100843562974673</v>
      </c>
      <c r="S28" s="23"/>
      <c r="T28" s="18" t="s">
        <v>49</v>
      </c>
      <c r="U28" s="34">
        <f>+'COLOMB$ '!U28</f>
        <v>0</v>
      </c>
      <c r="V28" s="34">
        <f>+'COLOMB$ '!V28</f>
        <v>0</v>
      </c>
      <c r="W28" s="34">
        <f>+'COLOMB$ '!W28</f>
        <v>0</v>
      </c>
      <c r="X28" s="34">
        <f>+'COLOMB$ '!X28</f>
        <v>0</v>
      </c>
      <c r="Y28" s="34">
        <f>+'COLOMB$ '!Y28</f>
        <v>0</v>
      </c>
      <c r="Z28" s="35">
        <f>+Y28-X28</f>
        <v>0</v>
      </c>
      <c r="AA28" s="36" t="str">
        <f>IF(X28=0,"",(Y28-X28)/ABS(X28)+1)</f>
        <v/>
      </c>
      <c r="AB28" s="34">
        <f>+'COLOMB$ '!AB28</f>
        <v>0</v>
      </c>
      <c r="AC28" s="33" t="str">
        <f>IF(AB28=0,"",(Y28-AB28)/ABS(AB28))</f>
        <v/>
      </c>
    </row>
    <row r="29" spans="1:32" x14ac:dyDescent="0.2">
      <c r="J29" s="33"/>
      <c r="R29" s="33"/>
      <c r="S29" s="23"/>
      <c r="AC29" s="2"/>
    </row>
    <row r="30" spans="1:32" x14ac:dyDescent="0.2">
      <c r="B30" s="18" t="s">
        <v>50</v>
      </c>
      <c r="C30" s="34">
        <v>65302</v>
      </c>
      <c r="D30" s="32">
        <f>+C30/$C$20</f>
        <v>6.0071789569354578E-2</v>
      </c>
      <c r="E30" s="34">
        <v>57078.203000000001</v>
      </c>
      <c r="F30" s="32">
        <f>+E30/$E$20</f>
        <v>5.6553735476917784E-2</v>
      </c>
      <c r="G30" s="32">
        <f>IF(C30=0,"",(E30-C30)/ABS(C30)+1)</f>
        <v>0.87406515880064928</v>
      </c>
      <c r="H30" s="34">
        <v>54316.66532</v>
      </c>
      <c r="I30" s="32">
        <f>+H30/$H$20</f>
        <v>6.235747244918028E-2</v>
      </c>
      <c r="J30" s="33">
        <f>IF(H30=0,"",(E30-H30)/ABS(H30))</f>
        <v>5.08414436661518E-2</v>
      </c>
      <c r="K30" s="34">
        <v>122448</v>
      </c>
      <c r="L30" s="32">
        <f>+K30/$K$20</f>
        <v>5.8487906490424686E-2</v>
      </c>
      <c r="M30" s="34">
        <v>111298.28978000001</v>
      </c>
      <c r="N30" s="32">
        <f>+M30/$M$20</f>
        <v>5.5160406943298858E-2</v>
      </c>
      <c r="O30" s="32">
        <f>IF(K30=0,"",(M30-K30)/ABS(K30)+1)</f>
        <v>0.90894330474977136</v>
      </c>
      <c r="P30" s="34">
        <v>103372.65979999999</v>
      </c>
      <c r="Q30" s="32">
        <f>+P30/$P$20</f>
        <v>5.2851123230458888E-2</v>
      </c>
      <c r="R30" s="33">
        <f>IF(P30=0,"",(M30-P30)/ABS(P30))</f>
        <v>7.6670465820789624E-2</v>
      </c>
      <c r="S30" s="23"/>
      <c r="T30" s="41" t="s">
        <v>51</v>
      </c>
      <c r="U30" s="42">
        <f>U21-U23-U25-U27-U28</f>
        <v>33384</v>
      </c>
      <c r="V30" s="42">
        <f>V21-V23-V25-V27-V28</f>
        <v>59833.680630000046</v>
      </c>
      <c r="W30" s="42">
        <f>W21-W23-W25-W27-W28</f>
        <v>89516.885299999994</v>
      </c>
      <c r="X30" s="42">
        <f>X21-X23-X25-X27-X28</f>
        <v>33384</v>
      </c>
      <c r="Y30" s="42">
        <f>Y21-Y23-Y25-Y27-Y28</f>
        <v>59833.228549999505</v>
      </c>
      <c r="Z30" s="46">
        <f>+Y30-X30</f>
        <v>26449.228549999505</v>
      </c>
      <c r="AA30" s="47">
        <f>IF(U30=0,"",(V30-U30)/ABS(U30)+1)</f>
        <v>1.7922861439611804</v>
      </c>
      <c r="AB30" s="42">
        <f>AB21-AB23-AB25-AB27-AB28</f>
        <v>89516.872930000012</v>
      </c>
      <c r="AC30" s="33">
        <f>IF(AB30=0,"",(Y30-AB30)/ABS(AB30))</f>
        <v>-0.33159831670183992</v>
      </c>
    </row>
    <row r="31" spans="1:32" x14ac:dyDescent="0.2">
      <c r="B31" s="18" t="s">
        <v>52</v>
      </c>
      <c r="C31" s="34">
        <v>192373</v>
      </c>
      <c r="D31" s="32">
        <f>+C31/$C$20</f>
        <v>0.1769653360513529</v>
      </c>
      <c r="E31" s="34">
        <v>187879.82569999999</v>
      </c>
      <c r="F31" s="32">
        <f>+E31/$E$20</f>
        <v>0.18615347725798617</v>
      </c>
      <c r="G31" s="32">
        <f>IF(C31=0,"",(E31-C31)/ABS(C31)+1)</f>
        <v>0.97664342553268901</v>
      </c>
      <c r="H31" s="34">
        <v>165072.72175</v>
      </c>
      <c r="I31" s="32">
        <f>+H31/$H$20</f>
        <v>0.18950938239661483</v>
      </c>
      <c r="J31" s="33">
        <f>IF(H31=0,"",(E31-H31)/ABS(H31))</f>
        <v>0.13816397832551028</v>
      </c>
      <c r="K31" s="34">
        <v>396044</v>
      </c>
      <c r="L31" s="32">
        <f>+K31/$K$20</f>
        <v>0.18917241962378933</v>
      </c>
      <c r="M31" s="34">
        <v>390810.99306999997</v>
      </c>
      <c r="N31" s="32">
        <f>+M31/$M$20</f>
        <v>0.19368935010832247</v>
      </c>
      <c r="O31" s="32">
        <f>IF(K31=0,"",(M31-K31)/ABS(K31)+1)</f>
        <v>0.98678680416822362</v>
      </c>
      <c r="P31" s="34">
        <v>330825.11458999995</v>
      </c>
      <c r="Q31" s="32">
        <f>+P31/$P$20</f>
        <v>0.16914026332257315</v>
      </c>
      <c r="R31" s="33">
        <f>IF(P31=0,"",(M31-P31)/ABS(P31))</f>
        <v>0.18132202131734179</v>
      </c>
      <c r="S31" s="23"/>
    </row>
    <row r="32" spans="1:32" x14ac:dyDescent="0.2">
      <c r="B32" s="18" t="s">
        <v>53</v>
      </c>
      <c r="C32" s="34">
        <f>SUM(C30:C31)</f>
        <v>257675</v>
      </c>
      <c r="D32" s="32">
        <f>+C32/$C$20</f>
        <v>0.23703712562070747</v>
      </c>
      <c r="E32" s="34">
        <f>SUM(E30:E31)</f>
        <v>244958.0287</v>
      </c>
      <c r="F32" s="32">
        <f>+E32/$E$20</f>
        <v>0.24270721273490398</v>
      </c>
      <c r="G32" s="32">
        <f>IF(C32=0,"",(E32-C32)/ABS(C32)+1)</f>
        <v>0.95064724439701176</v>
      </c>
      <c r="H32" s="34">
        <f>SUM(H30:H31)</f>
        <v>219389.38707</v>
      </c>
      <c r="I32" s="32">
        <f>+H32/$H$20</f>
        <v>0.25186685484579513</v>
      </c>
      <c r="J32" s="33">
        <f>IF(H32=0,"",(E32-H32)/ABS(H32))</f>
        <v>0.11654456932249817</v>
      </c>
      <c r="K32" s="34">
        <f>SUM(K30:K31)</f>
        <v>518492</v>
      </c>
      <c r="L32" s="32">
        <f>+K32/$K$20</f>
        <v>0.24766032611421401</v>
      </c>
      <c r="M32" s="34">
        <f>SUM(M30:M31)</f>
        <v>502109.28284999996</v>
      </c>
      <c r="N32" s="32">
        <f>+M32/$M$20</f>
        <v>0.24884975705162132</v>
      </c>
      <c r="O32" s="32">
        <f>IF(K32=0,"",(M32-K32)/ABS(K32)+1)</f>
        <v>0.96840314382864146</v>
      </c>
      <c r="P32" s="34">
        <f t="shared" ref="P32" si="10">SUM(P30:P31)</f>
        <v>434197.77438999992</v>
      </c>
      <c r="Q32" s="32">
        <f>+P32/$P$20</f>
        <v>0.22199138655303202</v>
      </c>
      <c r="R32" s="33">
        <f>IF(P32=0,"",(M32-P32)/ABS(P32))</f>
        <v>0.15640685527559012</v>
      </c>
      <c r="S32" s="23"/>
    </row>
    <row r="33" spans="2:20" x14ac:dyDescent="0.2">
      <c r="J33" s="33"/>
      <c r="R33" s="33"/>
      <c r="S33" s="23"/>
    </row>
    <row r="34" spans="2:20" x14ac:dyDescent="0.2">
      <c r="B34" s="18" t="s">
        <v>54</v>
      </c>
      <c r="C34" s="34">
        <f>C28+C32</f>
        <v>924636</v>
      </c>
      <c r="D34" s="32">
        <f>+C34/$C$20</f>
        <v>0.8505794496378325</v>
      </c>
      <c r="E34" s="34">
        <f>E28+E32</f>
        <v>833668.73052999994</v>
      </c>
      <c r="F34" s="32">
        <f>+E34/$E$20</f>
        <v>0.82600850033368201</v>
      </c>
      <c r="G34" s="32">
        <f>IF(C34=0,"",(E34-C34)/ABS(C34)+1)</f>
        <v>0.90161829144658001</v>
      </c>
      <c r="H34" s="34">
        <f>H28+H32</f>
        <v>733334.20078000007</v>
      </c>
      <c r="I34" s="32">
        <f>+H34/$H$20</f>
        <v>0.84189386354582818</v>
      </c>
      <c r="J34" s="33">
        <f>IF(H34=0,"",(E34-H34)/ABS(H34))</f>
        <v>0.13681965145397629</v>
      </c>
      <c r="K34" s="34">
        <f>K28+K32</f>
        <v>1731967</v>
      </c>
      <c r="L34" s="32">
        <f>+K34/$K$20</f>
        <v>0.82728279710980479</v>
      </c>
      <c r="M34" s="34">
        <f>M28+M32</f>
        <v>1568450.13368</v>
      </c>
      <c r="N34" s="32">
        <f>+M34/$M$20</f>
        <v>0.77733761960830272</v>
      </c>
      <c r="O34" s="32">
        <f>IF(K34=0,"",(M34-K34)/ABS(K34)+1)</f>
        <v>0.90558892500838639</v>
      </c>
      <c r="P34" s="34">
        <f>P28+P32</f>
        <v>1402710.6543299998</v>
      </c>
      <c r="Q34" s="32">
        <f>+P34/$P$20</f>
        <v>0.71716093783505841</v>
      </c>
      <c r="R34" s="33">
        <f>IF(P34=0,"",(M34-P34)/ABS(P34))</f>
        <v>0.11815656980887843</v>
      </c>
      <c r="S34" s="23"/>
    </row>
    <row r="35" spans="2:20" x14ac:dyDescent="0.2">
      <c r="J35" s="33"/>
      <c r="R35" s="33"/>
      <c r="S35" s="23"/>
    </row>
    <row r="36" spans="2:20" x14ac:dyDescent="0.2">
      <c r="B36" s="41" t="s">
        <v>55</v>
      </c>
      <c r="C36" s="42">
        <f>C24-C34</f>
        <v>4896</v>
      </c>
      <c r="D36" s="43">
        <f>+C36/$C$20</f>
        <v>4.5038663705791555E-3</v>
      </c>
      <c r="E36" s="42">
        <f>E24-E34</f>
        <v>15470.780099999974</v>
      </c>
      <c r="F36" s="43">
        <f>+E36/$E$20</f>
        <v>1.5328625629593877E-2</v>
      </c>
      <c r="G36" s="43">
        <f>IF(C36=0,"",(E36-C36)/ABS(C36)+1)</f>
        <v>3.159881556372544</v>
      </c>
      <c r="H36" s="42">
        <f>H24-H34</f>
        <v>75736.037719999789</v>
      </c>
      <c r="I36" s="43">
        <f>+H36/$H$20</f>
        <v>8.694767724991416E-2</v>
      </c>
      <c r="J36" s="44">
        <f>IF(H36=0,"",(E36-H36)/ABS(H36))</f>
        <v>-0.79572762761637617</v>
      </c>
      <c r="K36" s="42">
        <f>K24-K34</f>
        <v>113072</v>
      </c>
      <c r="L36" s="43">
        <f>+K36/$K$20</f>
        <v>5.4009412670564652E-2</v>
      </c>
      <c r="M36" s="42">
        <f>+M24-M34</f>
        <v>181912.63263000036</v>
      </c>
      <c r="N36" s="43">
        <f>+M36/$M$20</f>
        <v>9.0157493559265778E-2</v>
      </c>
      <c r="O36" s="43">
        <f>IF(K36=0,"",(M36-K36)/ABS(K36)+1)</f>
        <v>1.608821216835294</v>
      </c>
      <c r="P36" s="42">
        <f>P24-P34</f>
        <v>397646.4981700005</v>
      </c>
      <c r="Q36" s="43">
        <f>+P36/$P$20</f>
        <v>0.2033038921278017</v>
      </c>
      <c r="R36" s="44">
        <f>IF(P36=0,"",(M36-P36)/ABS(P36))</f>
        <v>-0.54252675814529694</v>
      </c>
      <c r="S36" s="23"/>
    </row>
    <row r="37" spans="2:20" x14ac:dyDescent="0.2">
      <c r="J37" s="33"/>
      <c r="R37" s="33"/>
      <c r="S37" s="23"/>
    </row>
    <row r="38" spans="2:20" x14ac:dyDescent="0.2">
      <c r="B38" s="18" t="s">
        <v>56</v>
      </c>
      <c r="C38" s="31">
        <v>321</v>
      </c>
      <c r="D38" s="32">
        <f>+C38/$C$20</f>
        <v>2.9529025836517748E-4</v>
      </c>
      <c r="E38" s="31">
        <v>463.77338000000003</v>
      </c>
      <c r="F38" s="32">
        <f>+E38/$E$20</f>
        <v>4.5951196210147109E-4</v>
      </c>
      <c r="G38" s="32">
        <f>IF(C38=0,"",(E38-C38)/ABS(C38)+1)</f>
        <v>1.4447768847352025</v>
      </c>
      <c r="H38" s="31">
        <v>1976.14769</v>
      </c>
      <c r="I38" s="32">
        <f>+H38/$H$20</f>
        <v>2.2686881532344824E-3</v>
      </c>
      <c r="J38" s="33">
        <f>IF(H38=0,"",(E38-H38)/ABS(H38))</f>
        <v>-0.76531441331695194</v>
      </c>
      <c r="K38" s="31">
        <v>642</v>
      </c>
      <c r="L38" s="32">
        <f>+K38/$K$20</f>
        <v>3.0665454696567236E-4</v>
      </c>
      <c r="M38" s="31">
        <v>1245.3661100000002</v>
      </c>
      <c r="N38" s="32">
        <f>+M38/$M$20</f>
        <v>6.1721434854731594E-4</v>
      </c>
      <c r="O38" s="32">
        <f>IF(K38=0,"",(M38-K38)/ABS(K38)+1)</f>
        <v>1.9398226012461062</v>
      </c>
      <c r="P38" s="31">
        <v>2119.1996800000002</v>
      </c>
      <c r="Q38" s="32">
        <f>+P38/$P$20</f>
        <v>1.0834787810851032E-3</v>
      </c>
      <c r="R38" s="33">
        <f>IF(P38=0,"",(M38-P38)/ABS(P38))</f>
        <v>-0.41234130896056004</v>
      </c>
      <c r="S38" s="23"/>
    </row>
    <row r="39" spans="2:20" x14ac:dyDescent="0.2">
      <c r="B39" s="18" t="s">
        <v>57</v>
      </c>
      <c r="C39" s="31">
        <v>28304</v>
      </c>
      <c r="D39" s="32">
        <f>+C39/$C$20</f>
        <v>2.6037057547563809E-2</v>
      </c>
      <c r="E39" s="31">
        <v>26086.062620000001</v>
      </c>
      <c r="F39" s="32">
        <f>+E39/$E$20</f>
        <v>2.5846368797661567E-2</v>
      </c>
      <c r="G39" s="32">
        <f>IF(C39=0,"",(E39-C39)/ABS(C39)+1)</f>
        <v>0.92163873021481069</v>
      </c>
      <c r="H39" s="31">
        <v>31328.05386</v>
      </c>
      <c r="I39" s="32">
        <f>+H39/$H$20</f>
        <v>3.5965725140752913E-2</v>
      </c>
      <c r="J39" s="33">
        <f>IF(H39=0,"",(E39-H39)/ABS(H39))</f>
        <v>-0.16732578612848437</v>
      </c>
      <c r="K39" s="31">
        <v>57701</v>
      </c>
      <c r="L39" s="32">
        <f>+K39/$K$20</f>
        <v>2.7561174477361776E-2</v>
      </c>
      <c r="M39" s="31">
        <v>58136.271639999999</v>
      </c>
      <c r="N39" s="32">
        <f>+M39/$M$20</f>
        <v>2.8812845266242549E-2</v>
      </c>
      <c r="O39" s="32">
        <f>IF(K39=0,"",(M39-K39)/ABS(K39)+1)</f>
        <v>1.0075435718618395</v>
      </c>
      <c r="P39" s="31">
        <v>54489.898240000002</v>
      </c>
      <c r="Q39" s="32">
        <f>+P39/$P$20</f>
        <v>2.785893612749437E-2</v>
      </c>
      <c r="R39" s="33">
        <f>IF(P39=0,"",(M39-P39)/ABS(P39))</f>
        <v>6.6918337485961085E-2</v>
      </c>
      <c r="S39" s="23"/>
    </row>
    <row r="40" spans="2:20" x14ac:dyDescent="0.2">
      <c r="J40" s="33"/>
      <c r="R40" s="33"/>
    </row>
    <row r="41" spans="2:20" x14ac:dyDescent="0.2">
      <c r="B41" s="18" t="s">
        <v>58</v>
      </c>
      <c r="C41" s="34">
        <f>C36+C38-C39</f>
        <v>-23087</v>
      </c>
      <c r="D41" s="32">
        <f>+C41/$C$20</f>
        <v>-2.1237900918619476E-2</v>
      </c>
      <c r="E41" s="34">
        <f>E36+E38-E39</f>
        <v>-10151.509140000026</v>
      </c>
      <c r="F41" s="32">
        <f>+E41/$E$20</f>
        <v>-1.0058231205966217E-2</v>
      </c>
      <c r="G41" s="32">
        <f>IF(C41=0,"",(E41-C41)/ABS(C41)+1)</f>
        <v>1.5602932758695358</v>
      </c>
      <c r="H41" s="34">
        <f>H36+H38-H39</f>
        <v>46384.131549999787</v>
      </c>
      <c r="I41" s="32">
        <f>+H41/$H$20</f>
        <v>5.3250640262395725E-2</v>
      </c>
      <c r="J41" s="33">
        <f>IF(H41=0,"",(E41-H41)/ABS(H41))</f>
        <v>-1.218857372139375</v>
      </c>
      <c r="K41" s="34">
        <f>K36+K38-K39</f>
        <v>56013</v>
      </c>
      <c r="L41" s="32">
        <f>+K41/$K$20</f>
        <v>2.6754892740168547E-2</v>
      </c>
      <c r="M41" s="34">
        <f>M36+M38-M39</f>
        <v>125021.72710000037</v>
      </c>
      <c r="N41" s="32">
        <f>+M41/$M$20</f>
        <v>6.1961862641570546E-2</v>
      </c>
      <c r="O41" s="32">
        <f>IF(K41=0,"",(M41-K41)/ABS(K41)+1)</f>
        <v>2.2320126952671764</v>
      </c>
      <c r="P41" s="34">
        <f>P36+P38-P39</f>
        <v>345275.79961000051</v>
      </c>
      <c r="Q41" s="32">
        <f>+P41/$P$20</f>
        <v>0.17652843478139243</v>
      </c>
      <c r="R41" s="33">
        <f>IF(P41=0,"",(M41-P41)/ABS(P41))</f>
        <v>-0.63790764588419979</v>
      </c>
    </row>
    <row r="42" spans="2:20" x14ac:dyDescent="0.2">
      <c r="B42" s="18" t="s">
        <v>44</v>
      </c>
      <c r="C42" s="31">
        <v>-6930</v>
      </c>
      <c r="D42" s="32">
        <f>+C42/$C$20</f>
        <v>-6.3749579142388779E-3</v>
      </c>
      <c r="E42" s="31">
        <v>-3966.2060000000001</v>
      </c>
      <c r="F42" s="32">
        <f>+E42/$E$20</f>
        <v>-3.9297622066161433E-3</v>
      </c>
      <c r="G42" s="32">
        <f>IF(C42=0,"",(E42-C42)/ABS(C42)+1)</f>
        <v>1.4276759018759018</v>
      </c>
      <c r="H42" s="31">
        <v>20705.144</v>
      </c>
      <c r="I42" s="32">
        <f>+H42/$H$20</f>
        <v>2.3770245079108448E-2</v>
      </c>
      <c r="J42" s="33">
        <f>IF(H42=0,"",(E42-H42)/ABS(H42))</f>
        <v>-1.1915565523234226</v>
      </c>
      <c r="K42" s="31">
        <v>24326</v>
      </c>
      <c r="L42" s="32">
        <f>+K42/$K$20</f>
        <v>1.1619436930665025E-2</v>
      </c>
      <c r="M42" s="31">
        <v>46182.517</v>
      </c>
      <c r="N42" s="32">
        <f>+M42/$M$20</f>
        <v>2.2888459799528624E-2</v>
      </c>
      <c r="O42" s="32">
        <f>IF(K42=0,"",(M42-K42)/ABS(K42)+1)</f>
        <v>1.8984838033379923</v>
      </c>
      <c r="P42" s="31">
        <v>122691.41</v>
      </c>
      <c r="Q42" s="32">
        <f>+P42/$P$20</f>
        <v>6.2728180176212858E-2</v>
      </c>
      <c r="R42" s="33">
        <f>IF(P42=0,"",(M42-P42)/ABS(P42))</f>
        <v>-0.62358801647156892</v>
      </c>
    </row>
    <row r="43" spans="2:20" x14ac:dyDescent="0.2">
      <c r="B43" s="41" t="s">
        <v>59</v>
      </c>
      <c r="C43" s="42">
        <f>C41-C42</f>
        <v>-16157</v>
      </c>
      <c r="D43" s="43">
        <f>+C43/$C$20</f>
        <v>-1.4862943004380598E-2</v>
      </c>
      <c r="E43" s="42">
        <f>E41-E42</f>
        <v>-6185.3031400000255</v>
      </c>
      <c r="F43" s="43">
        <f>+E43/$E$20</f>
        <v>-6.1284689993500738E-3</v>
      </c>
      <c r="G43" s="43">
        <f>IF(C43=0,"",(E43-C43)/ABS(C43)+1)</f>
        <v>1.6171750238286795</v>
      </c>
      <c r="H43" s="42">
        <f>H41-H42</f>
        <v>25678.987549999787</v>
      </c>
      <c r="I43" s="43">
        <f>+H43/$H$20</f>
        <v>2.9480395183287277E-2</v>
      </c>
      <c r="J43" s="44">
        <f>IF(H43=0,"",(E43-H43)/ABS(H43))</f>
        <v>-1.2408702106325868</v>
      </c>
      <c r="K43" s="42">
        <f>+K41-K42</f>
        <v>31687</v>
      </c>
      <c r="L43" s="43">
        <f>+K43/$K$20</f>
        <v>1.5135455809503521E-2</v>
      </c>
      <c r="M43" s="42">
        <f>+M41-M42</f>
        <v>78839.210100000375</v>
      </c>
      <c r="N43" s="43">
        <f>+M43/$M$20</f>
        <v>3.9073402842041929E-2</v>
      </c>
      <c r="O43" s="43">
        <f>IF(K43=0,"",(M43-K43)/ABS(K43)+1)</f>
        <v>2.4880616688231885</v>
      </c>
      <c r="P43" s="42">
        <f>+P41-P42</f>
        <v>222584.38961000051</v>
      </c>
      <c r="Q43" s="43">
        <f>+P43/$P$20</f>
        <v>0.11380025460517956</v>
      </c>
      <c r="R43" s="44">
        <f>IF(P43=0,"",(M43-P43)/ABS(P43))</f>
        <v>-0.64580081182630156</v>
      </c>
      <c r="T43" s="39"/>
    </row>
    <row r="44" spans="2:20" x14ac:dyDescent="0.2">
      <c r="J44" s="33"/>
      <c r="R44" s="33"/>
    </row>
    <row r="45" spans="2:20" x14ac:dyDescent="0.2">
      <c r="B45" s="18" t="s">
        <v>60</v>
      </c>
      <c r="C45" s="31">
        <v>55165</v>
      </c>
      <c r="D45" s="32">
        <f>+C45/$C$20</f>
        <v>5.0746688793504718E-2</v>
      </c>
      <c r="E45" s="31">
        <v>64126.238369999977</v>
      </c>
      <c r="F45" s="32">
        <f>+E45/$E$20</f>
        <v>6.3537009423838275E-2</v>
      </c>
      <c r="G45" s="32">
        <f>IF(C45=0,"",(E45-C45)/ABS(C45)+1)</f>
        <v>1.1624442739055556</v>
      </c>
      <c r="H45" s="31">
        <v>119193.71341999978</v>
      </c>
      <c r="I45" s="32">
        <f>+H45/$H$20</f>
        <v>0.13683864163815582</v>
      </c>
      <c r="J45" s="33">
        <f>IF(H45=0,"",(E45-H45)/ABS(H45))</f>
        <v>-0.46199982759124197</v>
      </c>
      <c r="K45" s="31">
        <v>213569</v>
      </c>
      <c r="L45" s="32">
        <f>+K45/$K$20</f>
        <v>0.10201231299207426</v>
      </c>
      <c r="M45" s="31">
        <v>278328.54746000038</v>
      </c>
      <c r="N45" s="32">
        <f>+M45/$M$20</f>
        <v>0.13794206516720198</v>
      </c>
      <c r="O45" s="32">
        <f>IF(K45=0,"",(M45-K45)/ABS(K45)+1)</f>
        <v>1.3032254093993059</v>
      </c>
      <c r="P45" s="31">
        <v>484847.31023000053</v>
      </c>
      <c r="Q45" s="32">
        <f>+P45/$P$20</f>
        <v>0.24788686864108617</v>
      </c>
      <c r="R45" s="33">
        <f>IF(P45=0,"",(M45-P45)/ABS(P45))</f>
        <v>-0.42594598013141982</v>
      </c>
      <c r="T45" s="39"/>
    </row>
    <row r="46" spans="2:20" x14ac:dyDescent="0.2">
      <c r="B46" s="18" t="s">
        <v>35</v>
      </c>
      <c r="C46" s="31">
        <v>449516</v>
      </c>
      <c r="D46" s="33">
        <f t="shared" ref="D46" si="11">+C46/$C$20</f>
        <v>0.41351307096349255</v>
      </c>
      <c r="E46" s="31">
        <v>426267.60499999998</v>
      </c>
      <c r="F46" s="33">
        <f>+E46/$E$20</f>
        <v>0.42235081184229423</v>
      </c>
      <c r="G46" s="33">
        <f>IF(C46=0,"",(E46-C46)/ABS(C46)+1)</f>
        <v>0.94828127363653347</v>
      </c>
      <c r="H46" s="31">
        <v>358900.69799999997</v>
      </c>
      <c r="I46" s="33">
        <f t="shared" ref="I46" si="12">+H46/$H$20</f>
        <v>0.41203082434602173</v>
      </c>
      <c r="J46" s="33">
        <f>IF(H46=0,"",(E46-H46)/ABS(H46))</f>
        <v>0.18770347167171017</v>
      </c>
      <c r="K46" s="31">
        <v>874142</v>
      </c>
      <c r="L46" s="33">
        <f t="shared" ref="L46" si="13">+K46/$K$20</f>
        <v>0.41753834734216005</v>
      </c>
      <c r="M46" s="31">
        <v>822835.63500000001</v>
      </c>
      <c r="N46" s="33">
        <f>+M46/$M$20</f>
        <v>0.4078045454585576</v>
      </c>
      <c r="O46" s="33">
        <f>IF(K46=0,"",(M46-K46)/ABS(K46)+1)</f>
        <v>0.94130660121582077</v>
      </c>
      <c r="P46" s="31">
        <v>697405.61179999996</v>
      </c>
      <c r="Q46" s="33">
        <f t="shared" ref="Q46" si="14">+P46/$P$20</f>
        <v>0.35656110621674625</v>
      </c>
      <c r="R46" s="33">
        <f>IF(P46=0,"",(M46-P46)/ABS(P46))</f>
        <v>0.17985232851262248</v>
      </c>
    </row>
    <row r="47" spans="2:20" x14ac:dyDescent="0.2"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 t="s">
        <v>61</v>
      </c>
      <c r="Q47" s="34"/>
      <c r="R47" s="34"/>
    </row>
    <row r="48" spans="2:20" x14ac:dyDescent="0.2">
      <c r="C48" s="12" t="s">
        <v>61</v>
      </c>
      <c r="E48" s="12" t="s">
        <v>61</v>
      </c>
      <c r="H48" s="12" t="s">
        <v>61</v>
      </c>
      <c r="K48" s="12" t="s">
        <v>61</v>
      </c>
      <c r="M48" s="12" t="s">
        <v>61</v>
      </c>
    </row>
    <row r="49" spans="8:16" x14ac:dyDescent="0.2">
      <c r="H49" s="39"/>
      <c r="P49" s="39"/>
    </row>
  </sheetData>
  <conditionalFormatting sqref="J10:J46 D46 G46">
    <cfRule type="cellIs" dxfId="68" priority="2" operator="lessThan">
      <formula>0</formula>
    </cfRule>
  </conditionalFormatting>
  <conditionalFormatting sqref="R10:R46">
    <cfRule type="cellIs" dxfId="67" priority="1" operator="lessThan">
      <formula>0</formula>
    </cfRule>
  </conditionalFormatting>
  <conditionalFormatting sqref="AC10:AC11 AC13:AC17 AC19:AC28 AC30">
    <cfRule type="cellIs" dxfId="66" priority="3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5D632-44DA-4659-8980-7CD0FF9CE8C6}">
  <sheetPr>
    <tabColor theme="2" tint="-0.499984740745262"/>
  </sheetPr>
  <dimension ref="A1:AI56"/>
  <sheetViews>
    <sheetView showGridLines="0" zoomScale="95" zoomScaleNormal="95" workbookViewId="0">
      <selection activeCell="A42" sqref="A42"/>
    </sheetView>
  </sheetViews>
  <sheetFormatPr baseColWidth="10" defaultRowHeight="12.75" x14ac:dyDescent="0.2"/>
  <cols>
    <col min="1" max="1" width="3.140625" style="30" customWidth="1"/>
    <col min="2" max="2" width="24.42578125" style="2" customWidth="1"/>
    <col min="3" max="3" width="16.42578125" style="2" customWidth="1"/>
    <col min="4" max="4" width="7" style="2" customWidth="1"/>
    <col min="5" max="5" width="11.140625" style="2" customWidth="1"/>
    <col min="6" max="6" width="6" style="2" customWidth="1"/>
    <col min="7" max="7" width="8.42578125" style="2" customWidth="1"/>
    <col min="8" max="8" width="10.5703125" style="2" customWidth="1"/>
    <col min="9" max="9" width="7" style="2" customWidth="1"/>
    <col min="10" max="10" width="9.85546875" style="2" customWidth="1"/>
    <col min="11" max="11" width="14.7109375" style="2" customWidth="1"/>
    <col min="12" max="12" width="7" style="2" customWidth="1"/>
    <col min="13" max="13" width="10.7109375" style="2" bestFit="1" customWidth="1"/>
    <col min="14" max="15" width="7" style="2" customWidth="1"/>
    <col min="16" max="16" width="12.5703125" style="2" customWidth="1"/>
    <col min="17" max="17" width="7" style="2" customWidth="1"/>
    <col min="18" max="18" width="8" style="2" customWidth="1"/>
    <col min="19" max="19" width="9.42578125" style="52" customWidth="1"/>
    <col min="20" max="20" width="20.42578125" style="2" customWidth="1"/>
    <col min="21" max="21" width="15" style="2" bestFit="1" customWidth="1"/>
    <col min="22" max="23" width="9.7109375" style="2" bestFit="1" customWidth="1"/>
    <col min="24" max="27" width="11.7109375" style="2" customWidth="1"/>
    <col min="28" max="28" width="12.5703125" style="2" customWidth="1"/>
    <col min="29" max="29" width="7.5703125" style="2" customWidth="1"/>
    <col min="30" max="33" width="13.140625" style="2" customWidth="1"/>
    <col min="34" max="34" width="16.7109375" style="2" customWidth="1"/>
    <col min="35" max="16384" width="11.42578125" style="2"/>
  </cols>
  <sheetData>
    <row r="1" spans="1:35" s="50" customFormat="1" x14ac:dyDescent="0.2">
      <c r="A1" s="48"/>
      <c r="B1" s="49"/>
      <c r="S1" s="51"/>
    </row>
    <row r="2" spans="1:35" x14ac:dyDescent="0.2">
      <c r="X2" s="53"/>
      <c r="Y2" s="53"/>
      <c r="Z2" s="53"/>
      <c r="AA2" s="53"/>
      <c r="AB2" s="53"/>
    </row>
    <row r="3" spans="1:35" ht="18" x14ac:dyDescent="0.25">
      <c r="B3" s="15" t="s">
        <v>62</v>
      </c>
      <c r="T3" s="17" t="str">
        <f>+B3</f>
        <v>MUSICAR COLOMBIA</v>
      </c>
      <c r="Y3" s="54"/>
    </row>
    <row r="4" spans="1:35" x14ac:dyDescent="0.2">
      <c r="B4" s="2" t="s">
        <v>20</v>
      </c>
      <c r="T4" s="3" t="s">
        <v>21</v>
      </c>
      <c r="U4" s="53"/>
      <c r="V4" s="53"/>
      <c r="W4" s="53"/>
      <c r="X4" s="53"/>
      <c r="Y4" s="53"/>
      <c r="Z4" s="53"/>
      <c r="AA4" s="53"/>
      <c r="AB4" s="53"/>
      <c r="AC4" s="53"/>
    </row>
    <row r="5" spans="1:35" x14ac:dyDescent="0.2">
      <c r="B5" s="3" t="s">
        <v>22</v>
      </c>
      <c r="T5" s="3" t="s">
        <v>22</v>
      </c>
      <c r="U5" s="53"/>
      <c r="V5" s="53"/>
      <c r="W5" s="53"/>
      <c r="X5" s="53"/>
      <c r="Y5" s="53"/>
      <c r="Z5" s="53"/>
      <c r="AA5" s="53"/>
      <c r="AB5" s="53"/>
      <c r="AC5" s="53"/>
    </row>
    <row r="6" spans="1:35" ht="13.5" thickBot="1" x14ac:dyDescent="0.25">
      <c r="B6" s="19" t="str">
        <f>Paramet!E3&amp;" de "&amp;Paramet!F3</f>
        <v>FEBRERO de 2024</v>
      </c>
      <c r="C6" s="55"/>
      <c r="D6" s="55"/>
      <c r="E6" s="55"/>
      <c r="F6" s="55"/>
      <c r="G6" s="55"/>
      <c r="H6" s="55"/>
      <c r="I6" s="55"/>
      <c r="J6" s="56"/>
      <c r="K6" s="20" t="s">
        <v>23</v>
      </c>
      <c r="L6" s="20"/>
      <c r="M6" s="20"/>
      <c r="N6" s="20"/>
      <c r="O6" s="20"/>
      <c r="P6" s="20"/>
      <c r="Q6" s="20"/>
      <c r="R6" s="20"/>
      <c r="S6" s="57"/>
      <c r="T6" s="19" t="str">
        <f>+B6</f>
        <v>FEBRERO de 2024</v>
      </c>
      <c r="U6" s="58"/>
      <c r="V6" s="58"/>
      <c r="W6" s="58"/>
      <c r="X6" s="20" t="s">
        <v>23</v>
      </c>
      <c r="Y6" s="20"/>
      <c r="Z6" s="20"/>
      <c r="AA6" s="20"/>
      <c r="AB6" s="20"/>
      <c r="AC6" s="20"/>
    </row>
    <row r="7" spans="1:35" s="60" customFormat="1" ht="15.75" customHeight="1" x14ac:dyDescent="0.2">
      <c r="A7" s="59"/>
      <c r="D7" s="60" t="str">
        <f>"Ppto "&amp;Paramet!F3</f>
        <v>Ppto 2024</v>
      </c>
      <c r="F7" s="60" t="str">
        <f>"Real "&amp;Paramet!F3</f>
        <v>Real 2024</v>
      </c>
      <c r="G7" s="61" t="s">
        <v>24</v>
      </c>
      <c r="I7" s="60" t="str">
        <f>"Real "&amp;Paramet!F4</f>
        <v>Real 2023</v>
      </c>
      <c r="J7" s="61" t="s">
        <v>25</v>
      </c>
      <c r="K7" s="61"/>
      <c r="L7" s="60" t="str">
        <f>+D7</f>
        <v>Ppto 2024</v>
      </c>
      <c r="M7" s="61"/>
      <c r="N7" s="60" t="str">
        <f>+F7</f>
        <v>Real 2024</v>
      </c>
      <c r="O7" s="61" t="s">
        <v>24</v>
      </c>
      <c r="P7" s="61" t="str">
        <f>+I7</f>
        <v>Real 2023</v>
      </c>
      <c r="Q7" s="61"/>
      <c r="R7" s="61" t="s">
        <v>25</v>
      </c>
      <c r="S7" s="62"/>
      <c r="U7" s="60" t="str">
        <f>+D7</f>
        <v>Ppto 2024</v>
      </c>
      <c r="V7" s="60" t="str">
        <f>+N7</f>
        <v>Real 2024</v>
      </c>
      <c r="W7" s="60" t="str">
        <f>+I7</f>
        <v>Real 2023</v>
      </c>
      <c r="X7" s="60" t="str">
        <f>+U7</f>
        <v>Ppto 2024</v>
      </c>
      <c r="Y7" s="60" t="str">
        <f>+V7</f>
        <v>Real 2024</v>
      </c>
      <c r="Z7" s="60" t="s">
        <v>26</v>
      </c>
      <c r="AA7" s="60" t="s">
        <v>24</v>
      </c>
      <c r="AB7" s="60" t="str">
        <f>+W7</f>
        <v>Real 2023</v>
      </c>
      <c r="AC7" s="60" t="s">
        <v>25</v>
      </c>
    </row>
    <row r="8" spans="1:35" ht="13.5" thickBot="1" x14ac:dyDescent="0.25">
      <c r="A8" s="63" t="s">
        <v>63</v>
      </c>
      <c r="B8" s="64" t="s">
        <v>27</v>
      </c>
      <c r="C8" s="65" t="s">
        <v>28</v>
      </c>
      <c r="D8" s="65" t="s">
        <v>29</v>
      </c>
      <c r="E8" s="65" t="s">
        <v>28</v>
      </c>
      <c r="F8" s="65" t="s">
        <v>29</v>
      </c>
      <c r="G8" s="65" t="s">
        <v>30</v>
      </c>
      <c r="H8" s="65" t="s">
        <v>28</v>
      </c>
      <c r="I8" s="65" t="s">
        <v>29</v>
      </c>
      <c r="J8" s="65" t="s">
        <v>30</v>
      </c>
      <c r="K8" s="65" t="s">
        <v>28</v>
      </c>
      <c r="L8" s="65" t="s">
        <v>29</v>
      </c>
      <c r="M8" s="65" t="s">
        <v>28</v>
      </c>
      <c r="N8" s="65" t="s">
        <v>29</v>
      </c>
      <c r="O8" s="65" t="s">
        <v>30</v>
      </c>
      <c r="P8" s="65" t="s">
        <v>28</v>
      </c>
      <c r="Q8" s="65" t="s">
        <v>29</v>
      </c>
      <c r="R8" s="65" t="s">
        <v>30</v>
      </c>
      <c r="S8" s="57"/>
      <c r="T8" s="28"/>
      <c r="U8" s="29"/>
      <c r="V8" s="29"/>
      <c r="W8" s="29"/>
      <c r="X8" s="29"/>
      <c r="Y8" s="29"/>
      <c r="Z8" s="29"/>
      <c r="AA8" s="29" t="s">
        <v>30</v>
      </c>
      <c r="AB8" s="29"/>
      <c r="AC8" s="29" t="s">
        <v>30</v>
      </c>
      <c r="AD8" s="53"/>
      <c r="AE8" s="53"/>
      <c r="AF8" s="53"/>
    </row>
    <row r="9" spans="1:35" x14ac:dyDescent="0.2">
      <c r="A9" s="63"/>
      <c r="B9" s="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7"/>
      <c r="T9" s="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</row>
    <row r="10" spans="1:35" x14ac:dyDescent="0.2">
      <c r="A10" s="30" t="s">
        <v>64</v>
      </c>
      <c r="B10" s="3" t="s">
        <v>65</v>
      </c>
      <c r="C10" s="31">
        <v>363545</v>
      </c>
      <c r="D10" s="33">
        <f t="shared" ref="D10:D15" si="0">+C10/$C$20</f>
        <v>0.33573009717883101</v>
      </c>
      <c r="E10" s="31">
        <v>377920.68</v>
      </c>
      <c r="F10" s="33">
        <f t="shared" ref="F10:F20" si="1">+E10/$E$20</f>
        <v>0.3745884772565316</v>
      </c>
      <c r="G10" s="33">
        <f t="shared" ref="G10:G20" si="2">IF(C10=0,"",(E10-C10)/ABS(C10)+1)</f>
        <v>1.039543055192617</v>
      </c>
      <c r="H10" s="31">
        <v>355053.12</v>
      </c>
      <c r="I10" s="33">
        <f t="shared" ref="I10:I18" si="3">+H10/$H$20</f>
        <v>0.40761366733320475</v>
      </c>
      <c r="J10" s="33">
        <f t="shared" ref="J10:J20" si="4">IF(H10=0,"",(E10-H10)/ABS(H10))</f>
        <v>6.4406024653437768E-2</v>
      </c>
      <c r="K10" s="31">
        <v>800284</v>
      </c>
      <c r="L10" s="33">
        <f t="shared" ref="L10:L46" si="5">+K10/$K$20</f>
        <v>0.38380606255928901</v>
      </c>
      <c r="M10" s="31">
        <v>779698.44700000004</v>
      </c>
      <c r="N10" s="33">
        <f t="shared" ref="N10:N20" si="6">+M10/$M$20</f>
        <v>0.39628882617520589</v>
      </c>
      <c r="O10" s="33">
        <f t="shared" ref="O10:O19" si="7">IF(K10=0,"",(M10-K10)/ABS(K10)+1)</f>
        <v>0.97427719034742677</v>
      </c>
      <c r="P10" s="31">
        <v>829527.56099999999</v>
      </c>
      <c r="Q10" s="33">
        <f t="shared" ref="Q10:Q46" si="8">+P10/$P$20</f>
        <v>0.42411081841460951</v>
      </c>
      <c r="R10" s="33">
        <f t="shared" ref="R10:R18" si="9">IF(P10=0,"",(M10-P10)/ABS(P10))</f>
        <v>-6.0069268753325897E-2</v>
      </c>
      <c r="S10" s="66"/>
      <c r="T10" s="3" t="s">
        <v>31</v>
      </c>
      <c r="U10" s="31">
        <v>40462</v>
      </c>
      <c r="V10" s="31">
        <v>40462</v>
      </c>
      <c r="W10" s="31">
        <v>20003</v>
      </c>
      <c r="X10" s="31">
        <v>45751</v>
      </c>
      <c r="Y10" s="31">
        <v>45751</v>
      </c>
      <c r="Z10" s="62">
        <f>+Y10-X10</f>
        <v>0</v>
      </c>
      <c r="AA10" s="67">
        <f>IF(X10=0,"",(Y10-X10)/ABS(X10)+1)</f>
        <v>1</v>
      </c>
      <c r="AB10" s="31">
        <v>32108</v>
      </c>
      <c r="AC10" s="33">
        <f>IF(W10=0,"",(Y10-AB10)/ABS(AB10))</f>
        <v>0.42490967983057182</v>
      </c>
      <c r="AD10" s="52"/>
      <c r="AE10" s="52"/>
      <c r="AF10" s="52"/>
      <c r="AH10" s="52"/>
    </row>
    <row r="11" spans="1:35" x14ac:dyDescent="0.2">
      <c r="A11" s="37" t="s">
        <v>66</v>
      </c>
      <c r="B11" s="3" t="s">
        <v>67</v>
      </c>
      <c r="C11" s="31">
        <v>93405</v>
      </c>
      <c r="D11" s="33">
        <f t="shared" si="0"/>
        <v>8.6258564213477593E-2</v>
      </c>
      <c r="E11" s="31">
        <v>9109.2340000000004</v>
      </c>
      <c r="F11" s="33">
        <f t="shared" si="1"/>
        <v>9.028916049350421E-3</v>
      </c>
      <c r="G11" s="33">
        <f t="shared" si="2"/>
        <v>9.7524051174990634E-2</v>
      </c>
      <c r="H11" s="31">
        <v>20333.874</v>
      </c>
      <c r="I11" s="33">
        <f t="shared" si="3"/>
        <v>2.3344013854127803E-2</v>
      </c>
      <c r="J11" s="33">
        <f t="shared" si="4"/>
        <v>-0.55201679719270413</v>
      </c>
      <c r="K11" s="31">
        <v>134919</v>
      </c>
      <c r="L11" s="33">
        <f t="shared" si="5"/>
        <v>6.4705442261043217E-2</v>
      </c>
      <c r="M11" s="31">
        <v>50275.608</v>
      </c>
      <c r="N11" s="33">
        <f t="shared" si="6"/>
        <v>2.5553034966561618E-2</v>
      </c>
      <c r="O11" s="33">
        <f t="shared" si="7"/>
        <v>0.37263549240655514</v>
      </c>
      <c r="P11" s="31">
        <v>61086.461000000003</v>
      </c>
      <c r="Q11" s="33">
        <f t="shared" si="8"/>
        <v>3.1231546951291864E-2</v>
      </c>
      <c r="R11" s="33">
        <f t="shared" si="9"/>
        <v>-0.17697625337961553</v>
      </c>
      <c r="S11" s="66"/>
      <c r="T11" s="3" t="s">
        <v>32</v>
      </c>
      <c r="U11" s="31">
        <v>1042098</v>
      </c>
      <c r="V11" s="31">
        <v>979326.16278000001</v>
      </c>
      <c r="W11" s="31">
        <v>1059880.5249900001</v>
      </c>
      <c r="X11" s="31">
        <v>2228984</v>
      </c>
      <c r="Y11" s="31">
        <v>2166212.2144299997</v>
      </c>
      <c r="Z11" s="62">
        <f>+Y11-X11</f>
        <v>-62771.785570000298</v>
      </c>
      <c r="AA11" s="67">
        <f>IF(X11=0,"",(Y11-X11)/ABS(X11)+1)</f>
        <v>0.97183838665059941</v>
      </c>
      <c r="AB11" s="31">
        <v>2270058.3585000001</v>
      </c>
      <c r="AC11" s="33">
        <f>IF(AB11=0,"",(Y11-AB11)/ABS(AB11))</f>
        <v>-4.5746023965048822E-2</v>
      </c>
      <c r="AD11" s="52"/>
      <c r="AE11" s="52"/>
      <c r="AF11" s="52"/>
      <c r="AG11" s="52"/>
      <c r="AH11" s="52"/>
      <c r="AI11" s="54"/>
    </row>
    <row r="12" spans="1:35" x14ac:dyDescent="0.2">
      <c r="A12" s="37" t="s">
        <v>68</v>
      </c>
      <c r="B12" s="3" t="s">
        <v>69</v>
      </c>
      <c r="C12" s="31">
        <v>64096</v>
      </c>
      <c r="D12" s="33">
        <f t="shared" si="0"/>
        <v>5.9192001839591668E-2</v>
      </c>
      <c r="E12" s="31">
        <v>68076.369000000006</v>
      </c>
      <c r="F12" s="33">
        <f t="shared" si="1"/>
        <v>6.7476125944903986E-2</v>
      </c>
      <c r="G12" s="33">
        <f t="shared" si="2"/>
        <v>1.0621001154518224</v>
      </c>
      <c r="H12" s="31">
        <v>81563.900999999998</v>
      </c>
      <c r="I12" s="33">
        <f t="shared" si="3"/>
        <v>9.3638272517116442E-2</v>
      </c>
      <c r="J12" s="33">
        <f t="shared" si="4"/>
        <v>-0.16536153659447936</v>
      </c>
      <c r="K12" s="31">
        <v>138094</v>
      </c>
      <c r="L12" s="33">
        <f t="shared" si="5"/>
        <v>6.6228132016962038E-2</v>
      </c>
      <c r="M12" s="31">
        <v>147826.67300000001</v>
      </c>
      <c r="N12" s="33">
        <f t="shared" si="6"/>
        <v>7.5134250870908817E-2</v>
      </c>
      <c r="O12" s="33">
        <f t="shared" si="7"/>
        <v>1.0704786087737339</v>
      </c>
      <c r="P12" s="31">
        <v>196765.52499999999</v>
      </c>
      <c r="Q12" s="33">
        <f t="shared" si="8"/>
        <v>0.10059989778149192</v>
      </c>
      <c r="R12" s="33">
        <f t="shared" si="9"/>
        <v>-0.24871659809308561</v>
      </c>
      <c r="S12" s="66"/>
      <c r="AD12" s="52"/>
      <c r="AE12" s="52"/>
      <c r="AF12" s="52"/>
      <c r="AG12" s="52"/>
      <c r="AH12" s="52"/>
      <c r="AI12" s="54"/>
    </row>
    <row r="13" spans="1:35" x14ac:dyDescent="0.2">
      <c r="A13" s="37" t="s">
        <v>70</v>
      </c>
      <c r="B13" s="3" t="s">
        <v>71</v>
      </c>
      <c r="C13" s="31">
        <v>209309</v>
      </c>
      <c r="D13" s="33">
        <f t="shared" si="0"/>
        <v>0.19329472530334332</v>
      </c>
      <c r="E13" s="31">
        <v>204839.70499999999</v>
      </c>
      <c r="F13" s="33">
        <f t="shared" si="1"/>
        <v>0.20303359206918006</v>
      </c>
      <c r="G13" s="33">
        <f t="shared" si="2"/>
        <v>0.97864738257791106</v>
      </c>
      <c r="H13" s="31">
        <v>80987.760999999999</v>
      </c>
      <c r="I13" s="33">
        <f t="shared" si="3"/>
        <v>9.2976843212404653E-2</v>
      </c>
      <c r="J13" s="33">
        <f t="shared" si="4"/>
        <v>1.5292674160976001</v>
      </c>
      <c r="K13" s="31">
        <v>301658</v>
      </c>
      <c r="L13" s="33">
        <f t="shared" si="5"/>
        <v>0.14467135319400362</v>
      </c>
      <c r="M13" s="31">
        <v>302138.054</v>
      </c>
      <c r="N13" s="33">
        <f t="shared" si="6"/>
        <v>0.15356441355400183</v>
      </c>
      <c r="O13" s="33">
        <f t="shared" si="7"/>
        <v>1.001591384945866</v>
      </c>
      <c r="P13" s="31">
        <v>196143.147</v>
      </c>
      <c r="Q13" s="33">
        <f t="shared" si="8"/>
        <v>0.10028169588519201</v>
      </c>
      <c r="R13" s="33">
        <f t="shared" si="9"/>
        <v>0.54039566827180563</v>
      </c>
      <c r="S13" s="66"/>
      <c r="T13" s="3" t="s">
        <v>33</v>
      </c>
      <c r="U13" s="31">
        <v>221210</v>
      </c>
      <c r="V13" s="31">
        <v>196876.584</v>
      </c>
      <c r="W13" s="31">
        <v>131143.66200000001</v>
      </c>
      <c r="X13" s="31">
        <v>352474</v>
      </c>
      <c r="Y13" s="31">
        <v>328141.25900000002</v>
      </c>
      <c r="Z13" s="62">
        <f>+X13-Y13</f>
        <v>24332.74099999998</v>
      </c>
      <c r="AA13" s="67">
        <f>IF(X13=0,"",(Y13-X13)/ABS(X13)+1)</f>
        <v>0.93096585563757905</v>
      </c>
      <c r="AB13" s="31">
        <v>271363.20899999997</v>
      </c>
      <c r="AC13" s="33">
        <f>IF(AB13=0,"",(Y13-AB13)/ABS(AB13))</f>
        <v>0.2092326745738036</v>
      </c>
      <c r="AD13" s="52"/>
      <c r="AE13" s="52"/>
      <c r="AF13" s="52"/>
      <c r="AG13" s="52"/>
      <c r="AH13" s="52"/>
      <c r="AI13" s="54"/>
    </row>
    <row r="14" spans="1:35" x14ac:dyDescent="0.2">
      <c r="A14" s="37">
        <v>4170250500</v>
      </c>
      <c r="B14" s="3" t="s">
        <v>72</v>
      </c>
      <c r="C14" s="31">
        <v>0</v>
      </c>
      <c r="D14" s="33">
        <f t="shared" si="0"/>
        <v>0</v>
      </c>
      <c r="E14" s="31">
        <v>0</v>
      </c>
      <c r="F14" s="33">
        <f t="shared" si="1"/>
        <v>0</v>
      </c>
      <c r="G14" s="33" t="str">
        <f t="shared" si="2"/>
        <v/>
      </c>
      <c r="H14" s="31">
        <v>0</v>
      </c>
      <c r="I14" s="33">
        <f t="shared" si="3"/>
        <v>0</v>
      </c>
      <c r="J14" s="33" t="e">
        <f t="shared" si="4"/>
        <v>#DIV/0!</v>
      </c>
      <c r="K14" s="31">
        <v>0</v>
      </c>
      <c r="L14" s="33">
        <f t="shared" si="5"/>
        <v>0</v>
      </c>
      <c r="M14" s="31">
        <v>0</v>
      </c>
      <c r="N14" s="33">
        <f t="shared" si="6"/>
        <v>0</v>
      </c>
      <c r="O14" s="33" t="str">
        <f t="shared" si="7"/>
        <v/>
      </c>
      <c r="P14" s="31">
        <v>0</v>
      </c>
      <c r="Q14" s="33">
        <f t="shared" si="8"/>
        <v>0</v>
      </c>
      <c r="R14" s="33" t="str">
        <f t="shared" si="9"/>
        <v/>
      </c>
      <c r="S14" s="66"/>
      <c r="T14" s="3" t="s">
        <v>34</v>
      </c>
      <c r="U14" s="31">
        <v>12131</v>
      </c>
      <c r="V14" s="31">
        <v>13734.432000000001</v>
      </c>
      <c r="W14" s="31">
        <v>10061.064</v>
      </c>
      <c r="X14" s="31">
        <v>23842</v>
      </c>
      <c r="Y14" s="31">
        <v>25445.174999999999</v>
      </c>
      <c r="Z14" s="62">
        <f>+X14-Y14</f>
        <v>-1603.1749999999993</v>
      </c>
      <c r="AA14" s="67">
        <f>IF(X14=0,"",(Y14-X14)/ABS(X14)+1)</f>
        <v>1.0672416324133882</v>
      </c>
      <c r="AB14" s="31">
        <v>20402.258000000002</v>
      </c>
      <c r="AC14" s="33">
        <f>IF(AB14=0,"",(Y14-AB14)/ABS(AB14))</f>
        <v>0.24717445490592252</v>
      </c>
      <c r="AD14" s="52"/>
      <c r="AE14" s="52"/>
      <c r="AF14" s="52"/>
      <c r="AG14" s="52"/>
      <c r="AH14" s="52"/>
      <c r="AI14" s="54"/>
    </row>
    <row r="15" spans="1:35" x14ac:dyDescent="0.2">
      <c r="A15" s="37" t="s">
        <v>73</v>
      </c>
      <c r="B15" s="3" t="s">
        <v>74</v>
      </c>
      <c r="C15" s="31">
        <v>137243</v>
      </c>
      <c r="D15" s="33">
        <f t="shared" si="0"/>
        <v>0.12674250980515289</v>
      </c>
      <c r="E15" s="31">
        <v>136321.174</v>
      </c>
      <c r="F15" s="33">
        <f t="shared" si="1"/>
        <v>0.13511920275567529</v>
      </c>
      <c r="G15" s="33">
        <f t="shared" si="2"/>
        <v>0.99328325670525996</v>
      </c>
      <c r="H15" s="31">
        <v>130261.149</v>
      </c>
      <c r="I15" s="33">
        <f t="shared" si="3"/>
        <v>0.14954445310867012</v>
      </c>
      <c r="J15" s="33">
        <f t="shared" si="4"/>
        <v>4.6522121496103137E-2</v>
      </c>
      <c r="K15" s="31">
        <v>285822</v>
      </c>
      <c r="L15" s="33">
        <f t="shared" si="5"/>
        <v>0.13707660832007273</v>
      </c>
      <c r="M15" s="31">
        <v>281062.44500000001</v>
      </c>
      <c r="N15" s="33">
        <f t="shared" si="6"/>
        <v>0.14285254362060229</v>
      </c>
      <c r="O15" s="33">
        <f t="shared" si="7"/>
        <v>0.98334783536606707</v>
      </c>
      <c r="P15" s="31">
        <v>284347.28399999999</v>
      </c>
      <c r="Q15" s="33">
        <f t="shared" si="8"/>
        <v>0.14537764023878091</v>
      </c>
      <c r="R15" s="33">
        <f t="shared" si="9"/>
        <v>-1.1552208109010734E-2</v>
      </c>
      <c r="S15" s="66"/>
      <c r="T15" s="3" t="s">
        <v>35</v>
      </c>
      <c r="U15" s="31">
        <v>646231</v>
      </c>
      <c r="V15" s="31">
        <v>558362.81799999997</v>
      </c>
      <c r="W15" s="31">
        <v>458604.80699999997</v>
      </c>
      <c r="X15" s="31">
        <v>1073372</v>
      </c>
      <c r="Y15" s="31">
        <v>985504.11199999996</v>
      </c>
      <c r="Z15" s="62">
        <f>+X15-Y15</f>
        <v>87867.888000000035</v>
      </c>
      <c r="AA15" s="67">
        <f>IF(X15=0,"",(Y15-X15)/ABS(X15)+1)</f>
        <v>0.91813845712390485</v>
      </c>
      <c r="AB15" s="31">
        <v>829726.29200000002</v>
      </c>
      <c r="AC15" s="33">
        <f>IF(AB15=0,"",(Y15-AB15)/ABS(AB15))</f>
        <v>0.18774603324248998</v>
      </c>
      <c r="AD15" s="52"/>
      <c r="AE15" s="52"/>
      <c r="AF15" s="52"/>
      <c r="AG15" s="52"/>
      <c r="AH15" s="52"/>
      <c r="AI15" s="54"/>
    </row>
    <row r="16" spans="1:35" x14ac:dyDescent="0.2">
      <c r="A16" s="37">
        <v>4155951000</v>
      </c>
      <c r="B16" s="3" t="s">
        <v>75</v>
      </c>
      <c r="C16" s="31">
        <v>0</v>
      </c>
      <c r="D16" s="33"/>
      <c r="E16" s="31">
        <v>0</v>
      </c>
      <c r="F16" s="33">
        <f t="shared" si="1"/>
        <v>0</v>
      </c>
      <c r="G16" s="33" t="str">
        <f t="shared" si="2"/>
        <v/>
      </c>
      <c r="H16" s="31">
        <v>0</v>
      </c>
      <c r="I16" s="33">
        <f t="shared" si="3"/>
        <v>0</v>
      </c>
      <c r="J16" s="33" t="e">
        <f t="shared" si="4"/>
        <v>#DIV/0!</v>
      </c>
      <c r="K16" s="31">
        <v>0</v>
      </c>
      <c r="L16" s="33">
        <f t="shared" si="5"/>
        <v>0</v>
      </c>
      <c r="M16" s="31">
        <v>0</v>
      </c>
      <c r="N16" s="33">
        <f t="shared" si="6"/>
        <v>0</v>
      </c>
      <c r="O16" s="33" t="str">
        <f t="shared" si="7"/>
        <v/>
      </c>
      <c r="P16" s="31">
        <v>0</v>
      </c>
      <c r="Q16" s="33">
        <f t="shared" si="8"/>
        <v>0</v>
      </c>
      <c r="R16" s="33" t="str">
        <f t="shared" si="9"/>
        <v/>
      </c>
      <c r="S16" s="66"/>
      <c r="T16" s="3" t="s">
        <v>36</v>
      </c>
      <c r="U16" s="31">
        <v>371007</v>
      </c>
      <c r="V16" s="31">
        <v>266894.27461000002</v>
      </c>
      <c r="W16" s="31">
        <v>270375.84658000001</v>
      </c>
      <c r="X16" s="31">
        <v>629746</v>
      </c>
      <c r="Y16" s="31">
        <v>525632.56568999996</v>
      </c>
      <c r="Z16" s="62">
        <f>+X16-Y16</f>
        <v>104113.43431000004</v>
      </c>
      <c r="AA16" s="67">
        <f>IF(X16=0,"",(Y16-X16)/ABS(X16)+1)</f>
        <v>0.83467392518570971</v>
      </c>
      <c r="AB16" s="31">
        <v>508131.52392000001</v>
      </c>
      <c r="AC16" s="33">
        <f>IF(AB16=0,"",(Y16-AB16)/ABS(AB16))</f>
        <v>3.4441952420088996E-2</v>
      </c>
      <c r="AD16" s="52"/>
      <c r="AE16" s="52"/>
      <c r="AF16" s="52"/>
      <c r="AG16" s="52"/>
      <c r="AH16" s="52"/>
      <c r="AI16" s="54"/>
    </row>
    <row r="17" spans="1:35" x14ac:dyDescent="0.2">
      <c r="A17" s="37">
        <v>4155951500</v>
      </c>
      <c r="B17" s="3" t="s">
        <v>76</v>
      </c>
      <c r="C17" s="31">
        <v>10001</v>
      </c>
      <c r="D17" s="33">
        <f>+C17/$C$20</f>
        <v>9.2358214303194623E-3</v>
      </c>
      <c r="E17" s="31">
        <v>10843.616</v>
      </c>
      <c r="F17" s="33">
        <f t="shared" si="1"/>
        <v>1.0748005653976284E-2</v>
      </c>
      <c r="G17" s="33">
        <f t="shared" si="2"/>
        <v>1.0842531746825317</v>
      </c>
      <c r="H17" s="31">
        <v>15348.575000000001</v>
      </c>
      <c r="I17" s="33">
        <f t="shared" si="3"/>
        <v>1.7620712484060819E-2</v>
      </c>
      <c r="J17" s="33">
        <f t="shared" si="4"/>
        <v>-0.2935099186732319</v>
      </c>
      <c r="K17" s="31">
        <v>19529</v>
      </c>
      <c r="L17" s="33">
        <f t="shared" si="5"/>
        <v>9.3658608640437083E-3</v>
      </c>
      <c r="M17" s="31">
        <v>21744.458999999999</v>
      </c>
      <c r="N17" s="33">
        <f t="shared" si="6"/>
        <v>1.1051819028344031E-2</v>
      </c>
      <c r="O17" s="33">
        <f t="shared" si="7"/>
        <v>1.1134445696144195</v>
      </c>
      <c r="P17" s="31">
        <v>30489.225999999999</v>
      </c>
      <c r="Q17" s="33">
        <f t="shared" si="8"/>
        <v>1.5588162708059787E-2</v>
      </c>
      <c r="R17" s="33">
        <f t="shared" si="9"/>
        <v>-0.28681498835031105</v>
      </c>
      <c r="S17" s="66"/>
      <c r="T17" s="3" t="s">
        <v>37</v>
      </c>
      <c r="U17" s="31">
        <f t="shared" ref="U17:AB17" si="10">SUM(U13:U16)</f>
        <v>1250579</v>
      </c>
      <c r="V17" s="31">
        <f>SUM(V13:V16)</f>
        <v>1035868.10861</v>
      </c>
      <c r="W17" s="31">
        <f t="shared" si="10"/>
        <v>870185.37958000007</v>
      </c>
      <c r="X17" s="31">
        <f t="shared" si="10"/>
        <v>2079434</v>
      </c>
      <c r="Y17" s="31">
        <f>SUM(Y13:Y16)</f>
        <v>1864723.1116900002</v>
      </c>
      <c r="Z17" s="62">
        <f>+Y17-X17</f>
        <v>-214710.88830999983</v>
      </c>
      <c r="AA17" s="67">
        <f>IF(X17=0,"",(Y17-X17)/ABS(X17)+1)</f>
        <v>0.89674551425532145</v>
      </c>
      <c r="AB17" s="31">
        <f t="shared" si="10"/>
        <v>1629623.2829200001</v>
      </c>
      <c r="AC17" s="33">
        <f>IF(AB17=0,"",(Y17-AB17)/ABS(AB17))</f>
        <v>0.14426636587367739</v>
      </c>
      <c r="AD17" s="52"/>
      <c r="AE17" s="52"/>
      <c r="AF17" s="52"/>
      <c r="AG17" s="52"/>
      <c r="AH17" s="52"/>
      <c r="AI17" s="54"/>
    </row>
    <row r="18" spans="1:35" x14ac:dyDescent="0.2">
      <c r="A18" s="37" t="s">
        <v>77</v>
      </c>
      <c r="B18" s="3" t="s">
        <v>78</v>
      </c>
      <c r="C18" s="31">
        <v>145917</v>
      </c>
      <c r="D18" s="40">
        <f t="shared" ref="D18:D46" si="11">+C18/$C$20</f>
        <v>0.13475286027876462</v>
      </c>
      <c r="E18" s="31">
        <v>145918.41699999999</v>
      </c>
      <c r="F18" s="33">
        <f t="shared" si="1"/>
        <v>0.14463182493139456</v>
      </c>
      <c r="G18" s="33">
        <f t="shared" si="2"/>
        <v>1.000009711000089</v>
      </c>
      <c r="H18" s="31">
        <v>130020.20600000001</v>
      </c>
      <c r="I18" s="33">
        <f t="shared" si="3"/>
        <v>0.14926784193609891</v>
      </c>
      <c r="J18" s="40">
        <f t="shared" si="4"/>
        <v>0.12227492548350508</v>
      </c>
      <c r="K18" s="31">
        <v>286180</v>
      </c>
      <c r="L18" s="33">
        <f t="shared" si="5"/>
        <v>0.13724830058231494</v>
      </c>
      <c r="M18" s="31">
        <v>268944.41899999999</v>
      </c>
      <c r="N18" s="33">
        <f t="shared" si="6"/>
        <v>0.13669344670617606</v>
      </c>
      <c r="O18" s="33">
        <f t="shared" si="7"/>
        <v>0.93977363547417703</v>
      </c>
      <c r="P18" s="31">
        <v>242876.82699999999</v>
      </c>
      <c r="Q18" s="33">
        <f t="shared" si="8"/>
        <v>0.12417512656088051</v>
      </c>
      <c r="R18" s="40">
        <f t="shared" si="9"/>
        <v>0.10732844430646322</v>
      </c>
      <c r="S18" s="66"/>
      <c r="AD18" s="52"/>
      <c r="AE18" s="52"/>
      <c r="AF18" s="52"/>
      <c r="AG18" s="52"/>
      <c r="AH18" s="52"/>
      <c r="AI18" s="54"/>
    </row>
    <row r="19" spans="1:35" x14ac:dyDescent="0.2">
      <c r="A19" s="30" t="s">
        <v>79</v>
      </c>
      <c r="B19" s="3" t="s">
        <v>80</v>
      </c>
      <c r="C19" s="31">
        <v>59333</v>
      </c>
      <c r="D19" s="33">
        <f t="shared" si="11"/>
        <v>5.4793419950519416E-2</v>
      </c>
      <c r="E19" s="31">
        <v>55866.440999999999</v>
      </c>
      <c r="F19" s="33">
        <f t="shared" si="1"/>
        <v>5.5373855338987706E-2</v>
      </c>
      <c r="G19" s="33">
        <f t="shared" si="2"/>
        <v>0.9415745200815735</v>
      </c>
      <c r="H19" s="31">
        <v>57484.444000000003</v>
      </c>
      <c r="I19" s="33"/>
      <c r="J19" s="33">
        <f t="shared" si="4"/>
        <v>-2.8146797418793928E-2</v>
      </c>
      <c r="K19" s="31">
        <v>118640</v>
      </c>
      <c r="L19" s="33">
        <f t="shared" si="5"/>
        <v>5.6898240202270751E-2</v>
      </c>
      <c r="M19" s="31">
        <v>115810.353</v>
      </c>
      <c r="N19" s="33">
        <f t="shared" si="6"/>
        <v>5.8861665078199434E-2</v>
      </c>
      <c r="O19" s="33">
        <f t="shared" si="7"/>
        <v>0.97614930040458536</v>
      </c>
      <c r="P19" s="31">
        <v>114685.68799999999</v>
      </c>
      <c r="Q19" s="33">
        <f t="shared" si="8"/>
        <v>5.8635111459693329E-2</v>
      </c>
      <c r="R19" s="33"/>
      <c r="S19" s="66"/>
      <c r="T19" s="3" t="s">
        <v>38</v>
      </c>
      <c r="U19" s="31">
        <f>U11-U17</f>
        <v>-208481</v>
      </c>
      <c r="V19" s="31">
        <f>V11-V17</f>
        <v>-56541.945829999982</v>
      </c>
      <c r="W19" s="31">
        <f>W11-W17</f>
        <v>189695.14541</v>
      </c>
      <c r="X19" s="31">
        <f>X11-X17</f>
        <v>149550</v>
      </c>
      <c r="Y19" s="31">
        <f>Y11-Y17</f>
        <v>301489.10273999954</v>
      </c>
      <c r="Z19" s="31">
        <f>+Y19-X19</f>
        <v>151939.10273999954</v>
      </c>
      <c r="AA19" s="67">
        <f>IF(X19=0,"",(Y19-X19)/ABS(X19)+1)</f>
        <v>2.0159752774322941</v>
      </c>
      <c r="AB19" s="31">
        <f>AB11-AB17</f>
        <v>640435.07557999995</v>
      </c>
      <c r="AC19" s="33">
        <f>IF(AB19=0,"",(Y19-AB19)/ABS(AB19))</f>
        <v>-0.52924330000670139</v>
      </c>
      <c r="AD19" s="52"/>
      <c r="AE19" s="52"/>
      <c r="AF19" s="52"/>
      <c r="AG19" s="52"/>
      <c r="AH19" s="52"/>
    </row>
    <row r="20" spans="1:35" x14ac:dyDescent="0.2">
      <c r="B20" s="19" t="s">
        <v>39</v>
      </c>
      <c r="C20" s="68">
        <f>SUM(C10:C19)</f>
        <v>1082849</v>
      </c>
      <c r="D20" s="44">
        <f t="shared" si="11"/>
        <v>1</v>
      </c>
      <c r="E20" s="68">
        <f>SUM(E10:E19)</f>
        <v>1008895.6360000001</v>
      </c>
      <c r="F20" s="44">
        <f t="shared" si="1"/>
        <v>1</v>
      </c>
      <c r="G20" s="44">
        <f t="shared" si="2"/>
        <v>0.93170482311014746</v>
      </c>
      <c r="H20" s="68">
        <f>SUM(H10:H19)</f>
        <v>871053.02999999991</v>
      </c>
      <c r="I20" s="44">
        <f>+H22/$H$22</f>
        <v>1</v>
      </c>
      <c r="J20" s="44">
        <f t="shared" si="4"/>
        <v>0.15824823661999105</v>
      </c>
      <c r="K20" s="68">
        <f>SUM(K10:K19)</f>
        <v>2085126</v>
      </c>
      <c r="L20" s="44">
        <f t="shared" si="5"/>
        <v>1</v>
      </c>
      <c r="M20" s="68">
        <f>SUM(M10:M19)</f>
        <v>1967500.4580000001</v>
      </c>
      <c r="N20" s="44">
        <f t="shared" si="6"/>
        <v>1</v>
      </c>
      <c r="O20" s="44">
        <f>IF(K20=0,"",(M20-K20)/ABS(K20)+1)</f>
        <v>0.94358828099596859</v>
      </c>
      <c r="P20" s="68">
        <f>SUM(P10:P19)</f>
        <v>1955921.7190000003</v>
      </c>
      <c r="Q20" s="44">
        <f t="shared" si="8"/>
        <v>1</v>
      </c>
      <c r="R20" s="44">
        <f>IF(P20=0,"",(M20-P20)/ABS(P20))</f>
        <v>5.9198376333382419E-3</v>
      </c>
      <c r="S20" s="66"/>
      <c r="T20" s="3"/>
      <c r="U20" s="31"/>
      <c r="V20" s="31"/>
      <c r="W20" s="31"/>
      <c r="X20" s="31"/>
      <c r="Y20" s="31"/>
      <c r="Z20" s="62"/>
      <c r="AA20" s="67"/>
      <c r="AB20" s="31"/>
      <c r="AC20" s="33" t="str">
        <f>IF(AB20=0,"",(Y20-AB20)/ABS(AB20))</f>
        <v/>
      </c>
      <c r="AD20" s="52"/>
      <c r="AE20" s="52"/>
      <c r="AF20" s="52"/>
      <c r="AG20" s="52"/>
      <c r="AH20" s="52"/>
      <c r="AI20" s="54"/>
    </row>
    <row r="21" spans="1:35" x14ac:dyDescent="0.2">
      <c r="B21" s="3"/>
      <c r="C21" s="31"/>
      <c r="D21" s="33"/>
      <c r="E21" s="31"/>
      <c r="F21" s="33"/>
      <c r="G21" s="33"/>
      <c r="H21" s="31"/>
      <c r="I21" s="33"/>
      <c r="J21" s="33"/>
      <c r="K21" s="31"/>
      <c r="L21" s="33"/>
      <c r="M21" s="31"/>
      <c r="N21" s="33"/>
      <c r="O21" s="33"/>
      <c r="P21" s="31"/>
      <c r="Q21" s="33"/>
      <c r="R21" s="33"/>
      <c r="S21" s="66"/>
      <c r="T21" s="3" t="s">
        <v>40</v>
      </c>
      <c r="U21" s="31">
        <f>+U10+U19</f>
        <v>-168019</v>
      </c>
      <c r="V21" s="31">
        <f>+V10+V19</f>
        <v>-16079.945829999982</v>
      </c>
      <c r="W21" s="31">
        <f>+W10+W19</f>
        <v>209698.14541</v>
      </c>
      <c r="X21" s="31">
        <f>+X10+X19</f>
        <v>195301</v>
      </c>
      <c r="Y21" s="31">
        <f>+Y10+Y19</f>
        <v>347240.10273999954</v>
      </c>
      <c r="Z21" s="62">
        <f>+Y21-X21</f>
        <v>151939.10273999954</v>
      </c>
      <c r="AA21" s="67">
        <f>IF(X21=0,"",(Y21-X21)/ABS(X21)+1)</f>
        <v>1.7779740131386912</v>
      </c>
      <c r="AB21" s="31">
        <f>+AB10+AB19</f>
        <v>672543.07557999995</v>
      </c>
      <c r="AC21" s="33">
        <f>IF(AB21=0,"",(Y21-AB21)/ABS(AB21))</f>
        <v>-0.48369091088992289</v>
      </c>
      <c r="AD21" s="52"/>
      <c r="AE21" s="52"/>
      <c r="AF21" s="52"/>
      <c r="AG21" s="52"/>
      <c r="AH21" s="52"/>
      <c r="AI21" s="54"/>
    </row>
    <row r="22" spans="1:35" x14ac:dyDescent="0.2">
      <c r="A22" s="69"/>
      <c r="B22" s="3" t="s">
        <v>41</v>
      </c>
      <c r="C22" s="31">
        <v>154652</v>
      </c>
      <c r="D22" s="33">
        <f t="shared" si="11"/>
        <v>0.14281954362981358</v>
      </c>
      <c r="E22" s="31">
        <v>160353.25436000002</v>
      </c>
      <c r="F22" s="33">
        <f>+E22/$E$20</f>
        <v>0.15893938742341832</v>
      </c>
      <c r="G22" s="33">
        <f>IF(C22=0,"",(E22-C22)/ABS(C22)+1)</f>
        <v>1.036865054186173</v>
      </c>
      <c r="H22" s="31">
        <v>61982.791499999999</v>
      </c>
      <c r="I22" s="33">
        <f t="shared" ref="I22:I46" si="12">+H22/$H$20</f>
        <v>7.1158459204257646E-2</v>
      </c>
      <c r="J22" s="33">
        <f>IF(H22=0,"",(E22-H22)/ABS(H22))</f>
        <v>1.5870608676926083</v>
      </c>
      <c r="K22" s="31">
        <v>243334</v>
      </c>
      <c r="L22" s="33">
        <f t="shared" si="5"/>
        <v>0.1166999020682683</v>
      </c>
      <c r="M22" s="31">
        <v>265608.71409999998</v>
      </c>
      <c r="N22" s="33">
        <f>+M22/$M$20</f>
        <v>0.13499804435623666</v>
      </c>
      <c r="O22" s="33">
        <f>IF(K22=0,"",(M22-K22)/ABS(K22)+1)</f>
        <v>1.0915396701652871</v>
      </c>
      <c r="P22" s="31">
        <v>155564.56649999999</v>
      </c>
      <c r="Q22" s="33">
        <f t="shared" si="8"/>
        <v>7.9535170037139905E-2</v>
      </c>
      <c r="R22" s="33">
        <f>IF(P22=0,"",(M22-P22)/ABS(P22))</f>
        <v>0.70738568605852803</v>
      </c>
      <c r="S22" s="66"/>
      <c r="T22" s="3"/>
      <c r="U22" s="31"/>
      <c r="V22" s="31"/>
      <c r="W22" s="31"/>
      <c r="X22" s="31"/>
      <c r="Y22" s="31"/>
      <c r="Z22" s="62"/>
      <c r="AA22" s="67"/>
      <c r="AB22" s="31"/>
      <c r="AC22" s="33"/>
      <c r="AD22" s="52"/>
      <c r="AE22" s="52"/>
      <c r="AF22" s="52"/>
      <c r="AG22" s="52"/>
      <c r="AH22" s="52"/>
      <c r="AI22" s="54"/>
    </row>
    <row r="23" spans="1:35" x14ac:dyDescent="0.2">
      <c r="A23" s="69"/>
      <c r="B23" s="3"/>
      <c r="C23" s="31"/>
      <c r="D23" s="33"/>
      <c r="E23" s="31"/>
      <c r="F23" s="33"/>
      <c r="G23" s="33"/>
      <c r="H23" s="31"/>
      <c r="I23" s="33"/>
      <c r="J23" s="33"/>
      <c r="K23" s="31"/>
      <c r="L23" s="33"/>
      <c r="M23" s="31"/>
      <c r="N23" s="33"/>
      <c r="O23" s="33"/>
      <c r="P23" s="31"/>
      <c r="Q23" s="33"/>
      <c r="R23" s="33"/>
      <c r="S23" s="66"/>
      <c r="T23" s="3" t="s">
        <v>42</v>
      </c>
      <c r="U23" s="31">
        <v>0</v>
      </c>
      <c r="V23" s="31">
        <v>62554.208399999996</v>
      </c>
      <c r="W23" s="31">
        <v>36691.403570000002</v>
      </c>
      <c r="X23" s="31">
        <v>34738</v>
      </c>
      <c r="Y23" s="31">
        <v>97292.011150000006</v>
      </c>
      <c r="Z23" s="62">
        <f>+Y23-X23</f>
        <v>62554.011150000006</v>
      </c>
      <c r="AA23" s="67">
        <f>IF(X23=0,"",(Y23-X23)/ABS(X23)+1)</f>
        <v>2.8007372661062817</v>
      </c>
      <c r="AB23" s="31">
        <v>36691.403570000002</v>
      </c>
      <c r="AC23" s="33">
        <f>IF(AB23=0,"",(Y23-AB23)/ABS(AB23))</f>
        <v>1.6516295830544048</v>
      </c>
      <c r="AD23" s="52"/>
      <c r="AE23" s="52"/>
      <c r="AF23" s="52"/>
      <c r="AG23" s="52"/>
      <c r="AH23" s="52"/>
      <c r="AI23" s="54"/>
    </row>
    <row r="24" spans="1:35" x14ac:dyDescent="0.2">
      <c r="B24" s="3" t="s">
        <v>43</v>
      </c>
      <c r="C24" s="31">
        <f>+C20-C22</f>
        <v>928197</v>
      </c>
      <c r="D24" s="33">
        <f t="shared" si="11"/>
        <v>0.85718045637018647</v>
      </c>
      <c r="E24" s="31">
        <f>+E20-E22</f>
        <v>848542.38164000004</v>
      </c>
      <c r="F24" s="33">
        <f>+E24/$E$20</f>
        <v>0.84106061257658171</v>
      </c>
      <c r="G24" s="33">
        <f>IF(C24=0,"",(E24-C24)/ABS(C24)+1)</f>
        <v>0.91418349945108635</v>
      </c>
      <c r="H24" s="31">
        <f>+H20-H22</f>
        <v>809070.23849999986</v>
      </c>
      <c r="I24" s="33">
        <f t="shared" si="12"/>
        <v>0.92884154079574233</v>
      </c>
      <c r="J24" s="33">
        <f>IF(H24=0,"",(E24-H24)/ABS(H24))</f>
        <v>4.8787041299628998E-2</v>
      </c>
      <c r="K24" s="31">
        <f>+K20-K22</f>
        <v>1841792</v>
      </c>
      <c r="L24" s="33">
        <f t="shared" si="5"/>
        <v>0.8833000979317317</v>
      </c>
      <c r="M24" s="31">
        <f>+M20-M22</f>
        <v>1701891.7439000001</v>
      </c>
      <c r="N24" s="33">
        <f>+M24/$M$20</f>
        <v>0.86500195564376336</v>
      </c>
      <c r="O24" s="33">
        <f>IF(K24=0,"",(M24-K24)/ABS(K24)+1)</f>
        <v>0.92404122935706101</v>
      </c>
      <c r="P24" s="31">
        <f>+P20-P22</f>
        <v>1800357.1525000003</v>
      </c>
      <c r="Q24" s="33">
        <f t="shared" si="8"/>
        <v>0.92046482996286016</v>
      </c>
      <c r="R24" s="33">
        <f>IF(P24=0,"",(M24-P24)/ABS(P24))</f>
        <v>-5.469215286715183E-2</v>
      </c>
      <c r="S24" s="66"/>
      <c r="T24" s="3"/>
      <c r="U24" s="31"/>
      <c r="V24" s="31"/>
      <c r="W24" s="31"/>
      <c r="X24" s="31"/>
      <c r="Y24" s="31"/>
      <c r="Z24" s="62"/>
      <c r="AA24" s="67"/>
      <c r="AB24" s="31"/>
      <c r="AC24" s="33"/>
      <c r="AD24" s="52"/>
      <c r="AE24" s="52"/>
      <c r="AF24" s="52"/>
      <c r="AG24" s="52"/>
      <c r="AH24" s="52"/>
      <c r="AI24" s="54"/>
    </row>
    <row r="25" spans="1:35" x14ac:dyDescent="0.2">
      <c r="B25" s="3"/>
      <c r="C25" s="31"/>
      <c r="D25" s="33"/>
      <c r="E25" s="31"/>
      <c r="F25" s="33"/>
      <c r="G25" s="33"/>
      <c r="H25" s="31"/>
      <c r="I25" s="33"/>
      <c r="J25" s="33"/>
      <c r="K25" s="31"/>
      <c r="L25" s="33"/>
      <c r="M25" s="31"/>
      <c r="N25" s="33"/>
      <c r="O25" s="33"/>
      <c r="P25" s="31"/>
      <c r="Q25" s="33"/>
      <c r="R25" s="33"/>
      <c r="S25" s="66"/>
      <c r="T25" s="3" t="s">
        <v>44</v>
      </c>
      <c r="U25" s="31">
        <v>61837</v>
      </c>
      <c r="V25" s="31">
        <v>57259.08988</v>
      </c>
      <c r="W25" s="31">
        <v>57037.856540000001</v>
      </c>
      <c r="X25" s="31">
        <v>380375</v>
      </c>
      <c r="Y25" s="31">
        <v>375796.86304000003</v>
      </c>
      <c r="Z25" s="62">
        <f>+Y25-X25</f>
        <v>-4578.1369599999744</v>
      </c>
      <c r="AA25" s="67">
        <f>IF(X25=0,"",(Y25-X25)/ABS(X25)+1)</f>
        <v>0.98796414864278681</v>
      </c>
      <c r="AB25" s="31">
        <v>391875.79907999997</v>
      </c>
      <c r="AC25" s="33">
        <f>IF(AB25=0,"",(Y25-AB25)/ABS(AB25))</f>
        <v>-4.1030694107031314E-2</v>
      </c>
      <c r="AD25" s="52"/>
      <c r="AE25" s="52"/>
      <c r="AF25" s="52"/>
      <c r="AG25" s="52"/>
      <c r="AH25" s="52"/>
      <c r="AI25" s="54"/>
    </row>
    <row r="26" spans="1:35" x14ac:dyDescent="0.2">
      <c r="B26" s="3" t="s">
        <v>45</v>
      </c>
      <c r="C26" s="31">
        <v>311627</v>
      </c>
      <c r="D26" s="33">
        <f t="shared" si="11"/>
        <v>0.28778435405121122</v>
      </c>
      <c r="E26" s="31">
        <v>242804.75141</v>
      </c>
      <c r="F26" s="33">
        <f>+E26/$E$20</f>
        <v>0.24066389301935684</v>
      </c>
      <c r="G26" s="33">
        <f>IF(C26=0,"",(E26-C26)/ABS(C26)+1)</f>
        <v>0.77915184310088659</v>
      </c>
      <c r="H26" s="31">
        <v>203685.82066999999</v>
      </c>
      <c r="I26" s="33">
        <f t="shared" si="12"/>
        <v>0.23383859955116626</v>
      </c>
      <c r="J26" s="33">
        <f>IF(H26=0,"",(E26-H26)/ABS(H26))</f>
        <v>0.19205524769138568</v>
      </c>
      <c r="K26" s="31">
        <v>523416</v>
      </c>
      <c r="L26" s="33">
        <f t="shared" si="5"/>
        <v>0.25102367914456969</v>
      </c>
      <c r="M26" s="31">
        <v>403290.12663999997</v>
      </c>
      <c r="N26" s="33">
        <f>+M26/$M$20</f>
        <v>0.20497587433852579</v>
      </c>
      <c r="O26" s="33">
        <f>IF(K26=0,"",(M26-K26)/ABS(K26)+1)</f>
        <v>0.77049636740183713</v>
      </c>
      <c r="P26" s="31">
        <v>376034.18772000005</v>
      </c>
      <c r="Q26" s="33">
        <f t="shared" si="8"/>
        <v>0.19225421143758975</v>
      </c>
      <c r="R26" s="33">
        <f>IF(P26=0,"",(M26-P26)/ABS(P26))</f>
        <v>7.2482608789536593E-2</v>
      </c>
      <c r="S26" s="66"/>
      <c r="T26" s="3"/>
      <c r="U26" s="31"/>
      <c r="V26" s="31"/>
      <c r="W26" s="31"/>
      <c r="X26" s="31"/>
      <c r="Y26" s="31"/>
      <c r="Z26" s="62"/>
      <c r="AA26" s="67"/>
      <c r="AB26" s="31"/>
      <c r="AC26" s="33"/>
      <c r="AD26" s="52"/>
      <c r="AE26" s="52"/>
      <c r="AF26" s="52"/>
      <c r="AG26" s="52"/>
      <c r="AH26" s="52"/>
      <c r="AI26" s="54"/>
    </row>
    <row r="27" spans="1:35" x14ac:dyDescent="0.2">
      <c r="B27" s="3" t="s">
        <v>46</v>
      </c>
      <c r="C27" s="31">
        <v>355319</v>
      </c>
      <c r="D27" s="33">
        <f t="shared" si="11"/>
        <v>0.32813347013295485</v>
      </c>
      <c r="E27" s="31">
        <v>345558.40841999999</v>
      </c>
      <c r="F27" s="33">
        <f>+E27/$E$20</f>
        <v>0.34251155034235869</v>
      </c>
      <c r="G27" s="33">
        <f>IF(C27=0,"",(E27-C27)/ABS(C27)+1)</f>
        <v>0.9725300600868515</v>
      </c>
      <c r="H27" s="31">
        <v>309969.49904000002</v>
      </c>
      <c r="I27" s="33">
        <f t="shared" si="12"/>
        <v>0.35585605969363321</v>
      </c>
      <c r="J27" s="33">
        <f>IF(H27=0,"",(E27-H27)/ABS(H27))</f>
        <v>0.11481423007819036</v>
      </c>
      <c r="K27" s="31">
        <v>690032</v>
      </c>
      <c r="L27" s="33">
        <f t="shared" si="5"/>
        <v>0.33093060083659215</v>
      </c>
      <c r="M27" s="31">
        <v>662413.69783000008</v>
      </c>
      <c r="N27" s="33">
        <f>+M27/$M$20</f>
        <v>0.33667778583561581</v>
      </c>
      <c r="O27" s="33">
        <f>IF(K27=0,"",(M27-K27)/ABS(K27)+1)</f>
        <v>0.95997533133246005</v>
      </c>
      <c r="P27" s="31">
        <v>591893.51725000003</v>
      </c>
      <c r="Q27" s="33">
        <f t="shared" si="8"/>
        <v>0.3026161586633519</v>
      </c>
      <c r="R27" s="33">
        <f>IF(P27=0,"",(M27-P27)/ABS(P27))</f>
        <v>0.11914335691264921</v>
      </c>
      <c r="S27" s="66"/>
      <c r="T27" s="3" t="s">
        <v>47</v>
      </c>
      <c r="U27" s="31">
        <v>-263240</v>
      </c>
      <c r="V27" s="31">
        <v>-195726.92474000002</v>
      </c>
      <c r="W27" s="31">
        <v>26452</v>
      </c>
      <c r="X27" s="31">
        <v>-253196</v>
      </c>
      <c r="Y27" s="31">
        <v>-185682</v>
      </c>
      <c r="Z27" s="62">
        <f>+Y27-X27</f>
        <v>67514</v>
      </c>
      <c r="AA27" s="67">
        <f>IF(X27=0,"",(Y27-X27)/ABS(X27)+1)</f>
        <v>1.2666471824199435</v>
      </c>
      <c r="AB27" s="31">
        <v>154459</v>
      </c>
      <c r="AC27" s="33">
        <f>IF(AB27=0,"",(Y27-AB27)/ABS(AB27))</f>
        <v>-2.2021442583468751</v>
      </c>
      <c r="AD27" s="52"/>
      <c r="AE27" s="52"/>
      <c r="AF27" s="52"/>
      <c r="AG27" s="52"/>
      <c r="AH27" s="52"/>
      <c r="AI27" s="54"/>
    </row>
    <row r="28" spans="1:35" x14ac:dyDescent="0.2">
      <c r="B28" s="3" t="s">
        <v>48</v>
      </c>
      <c r="C28" s="31">
        <f>SUM(C26:C27)</f>
        <v>666946</v>
      </c>
      <c r="D28" s="33">
        <f t="shared" si="11"/>
        <v>0.61591782418416607</v>
      </c>
      <c r="E28" s="31">
        <f>SUM(E26:E27)</f>
        <v>588363.15983000002</v>
      </c>
      <c r="F28" s="33">
        <f>+E28/$E$20</f>
        <v>0.58317544336171556</v>
      </c>
      <c r="G28" s="33">
        <f>IF(C28=0,"",(E28-C28)/ABS(C28)+1)</f>
        <v>0.88217510837459112</v>
      </c>
      <c r="H28" s="31">
        <f>SUM(H26:H27)</f>
        <v>513655.31971000001</v>
      </c>
      <c r="I28" s="33">
        <f t="shared" si="12"/>
        <v>0.58969465924479947</v>
      </c>
      <c r="J28" s="33">
        <f>IF(H28=0,"",(E28-H28)/ABS(H28))</f>
        <v>0.1454435245841095</v>
      </c>
      <c r="K28" s="31">
        <f>SUM(K26:K27)</f>
        <v>1213448</v>
      </c>
      <c r="L28" s="33">
        <f t="shared" si="5"/>
        <v>0.58195427998116178</v>
      </c>
      <c r="M28" s="31">
        <f>SUM(M26:M27)</f>
        <v>1065703.8244700001</v>
      </c>
      <c r="N28" s="33">
        <f>+M28/$M$20</f>
        <v>0.54165366017414163</v>
      </c>
      <c r="O28" s="33">
        <f>IF(K28=0,"",(M28-K28)/ABS(K28)+1)</f>
        <v>0.87824432894528659</v>
      </c>
      <c r="P28" s="31">
        <f>SUM(P26:P27)</f>
        <v>967927.70497000008</v>
      </c>
      <c r="Q28" s="33">
        <f t="shared" si="8"/>
        <v>0.49487037010094165</v>
      </c>
      <c r="R28" s="33">
        <f>IF(P28=0,"",(M28-P28)/ABS(P28))</f>
        <v>0.10101593228290795</v>
      </c>
      <c r="S28" s="66"/>
      <c r="T28" s="3" t="s">
        <v>49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62">
        <f>+Y28-X28</f>
        <v>0</v>
      </c>
      <c r="AA28" s="67" t="str">
        <f>IF(X28=0,"",(Y28-X28)/ABS(X28)+1)</f>
        <v/>
      </c>
      <c r="AB28" s="31">
        <v>0</v>
      </c>
      <c r="AC28" s="33" t="str">
        <f>IF(AB28=0,"",(Y28-AB28)/ABS(AB28))</f>
        <v/>
      </c>
      <c r="AD28" s="52"/>
      <c r="AE28" s="52"/>
      <c r="AF28" s="52"/>
      <c r="AG28" s="52"/>
      <c r="AH28" s="52"/>
      <c r="AI28" s="54"/>
    </row>
    <row r="29" spans="1:35" x14ac:dyDescent="0.2">
      <c r="B29" s="3"/>
      <c r="C29" s="31"/>
      <c r="D29" s="33"/>
      <c r="E29" s="31"/>
      <c r="F29" s="33"/>
      <c r="G29" s="33"/>
      <c r="H29" s="31"/>
      <c r="I29" s="33"/>
      <c r="J29" s="33"/>
      <c r="K29" s="31"/>
      <c r="L29" s="33"/>
      <c r="M29" s="31"/>
      <c r="N29" s="33"/>
      <c r="O29" s="33"/>
      <c r="P29" s="31"/>
      <c r="Q29" s="33"/>
      <c r="R29" s="33"/>
      <c r="S29" s="66"/>
      <c r="AD29" s="52"/>
      <c r="AE29" s="52"/>
      <c r="AF29" s="52"/>
      <c r="AG29" s="52"/>
      <c r="AH29" s="52"/>
      <c r="AI29" s="54"/>
    </row>
    <row r="30" spans="1:35" x14ac:dyDescent="0.2">
      <c r="B30" s="3" t="s">
        <v>50</v>
      </c>
      <c r="C30" s="31">
        <v>65302</v>
      </c>
      <c r="D30" s="33">
        <f t="shared" si="11"/>
        <v>6.0305730531219036E-2</v>
      </c>
      <c r="E30" s="31">
        <v>57074</v>
      </c>
      <c r="F30" s="33">
        <f>+E30/$E$20</f>
        <v>5.657076704809931E-2</v>
      </c>
      <c r="G30" s="33">
        <f>IF(C30=0,"",(E30-C30)/ABS(C30)+1)</f>
        <v>0.8740007963002665</v>
      </c>
      <c r="H30" s="31">
        <v>53729.740319999997</v>
      </c>
      <c r="I30" s="33">
        <f t="shared" si="12"/>
        <v>6.1683661579134859E-2</v>
      </c>
      <c r="J30" s="33">
        <f>IF(H30=0,"",(E30-H30)/ABS(H30))</f>
        <v>6.2242245357645214E-2</v>
      </c>
      <c r="K30" s="31">
        <v>122448</v>
      </c>
      <c r="L30" s="33">
        <f t="shared" si="5"/>
        <v>5.8724508734723943E-2</v>
      </c>
      <c r="M30" s="31">
        <v>111289.88234</v>
      </c>
      <c r="N30" s="33">
        <f>+M30/$M$20</f>
        <v>5.6564094756617327E-2</v>
      </c>
      <c r="O30" s="33">
        <f>IF(K30=0,"",(M30-K30)/ABS(K30)+1)</f>
        <v>0.90887464344048086</v>
      </c>
      <c r="P30" s="31">
        <v>102198.8088</v>
      </c>
      <c r="Q30" s="33">
        <f t="shared" si="8"/>
        <v>5.2250970888676952E-2</v>
      </c>
      <c r="R30" s="33">
        <f>IF(P30=0,"",(M30-P30)/ABS(P30))</f>
        <v>8.8954789657000363E-2</v>
      </c>
      <c r="S30" s="66"/>
      <c r="T30" s="19" t="s">
        <v>51</v>
      </c>
      <c r="U30" s="68">
        <f>U21-U23-U25-U27-U28</f>
        <v>33384</v>
      </c>
      <c r="V30" s="68">
        <f>V21-V23-V25-V27-V28</f>
        <v>59833.680630000046</v>
      </c>
      <c r="W30" s="68">
        <f>W21-W23-W25-W27-W28</f>
        <v>89516.885299999994</v>
      </c>
      <c r="X30" s="68">
        <f>X21-X23-X25-X27-X28</f>
        <v>33384</v>
      </c>
      <c r="Y30" s="68">
        <f>Y21-Y23-Y25-Y27-Y28</f>
        <v>59833.228549999505</v>
      </c>
      <c r="Z30" s="70">
        <f>+Y30-X30</f>
        <v>26449.228549999505</v>
      </c>
      <c r="AA30" s="71">
        <f>IF(U30=0,"",(V30-U30)/ABS(U30)+1)</f>
        <v>1.7922861439611804</v>
      </c>
      <c r="AB30" s="68">
        <f>AB21-AB23-AB25-AB27-AB28</f>
        <v>89516.872930000012</v>
      </c>
      <c r="AC30" s="33">
        <f>IF(AB30=0,"",(Y30-AB30)/ABS(AB30))</f>
        <v>-0.33159831670183992</v>
      </c>
      <c r="AD30" s="53"/>
      <c r="AE30" s="53"/>
    </row>
    <row r="31" spans="1:35" x14ac:dyDescent="0.2">
      <c r="B31" s="3" t="s">
        <v>52</v>
      </c>
      <c r="C31" s="31">
        <v>192373</v>
      </c>
      <c r="D31" s="33">
        <f t="shared" si="11"/>
        <v>0.17765450215126949</v>
      </c>
      <c r="E31" s="31">
        <v>187879.82569999999</v>
      </c>
      <c r="F31" s="33">
        <f>+E31/$E$20</f>
        <v>0.18622325144044927</v>
      </c>
      <c r="G31" s="33">
        <f>IF(C31=0,"",(E31-C31)/ABS(C31)+1)</f>
        <v>0.97664342553268901</v>
      </c>
      <c r="H31" s="31">
        <v>165072.72175</v>
      </c>
      <c r="I31" s="33">
        <f t="shared" si="12"/>
        <v>0.18950938239661483</v>
      </c>
      <c r="J31" s="33">
        <f>IF(H31=0,"",(E31-H31)/ABS(H31))</f>
        <v>0.13816397832551028</v>
      </c>
      <c r="K31" s="31">
        <v>396044</v>
      </c>
      <c r="L31" s="33">
        <f t="shared" si="5"/>
        <v>0.18993768242302864</v>
      </c>
      <c r="M31" s="31">
        <v>390810.99306999997</v>
      </c>
      <c r="N31" s="33">
        <f>+M31/$M$20</f>
        <v>0.19863324121777662</v>
      </c>
      <c r="O31" s="33">
        <f>IF(K31=0,"",(M31-K31)/ABS(K31)+1)</f>
        <v>0.98678680416822362</v>
      </c>
      <c r="P31" s="31">
        <v>330825.11458999995</v>
      </c>
      <c r="Q31" s="33">
        <f t="shared" si="8"/>
        <v>0.16914026332257315</v>
      </c>
      <c r="R31" s="33">
        <f>IF(P31=0,"",(M31-P31)/ABS(P31))</f>
        <v>0.18132202131734179</v>
      </c>
      <c r="S31" s="66"/>
      <c r="T31" s="53"/>
      <c r="U31" s="57" t="s">
        <v>61</v>
      </c>
      <c r="V31" s="57" t="s">
        <v>61</v>
      </c>
      <c r="W31" s="53"/>
      <c r="X31" s="57" t="s">
        <v>61</v>
      </c>
      <c r="Y31" s="57" t="s">
        <v>61</v>
      </c>
      <c r="Z31" s="57"/>
      <c r="AA31" s="57"/>
      <c r="AB31" s="72"/>
      <c r="AC31" s="53"/>
      <c r="AD31" s="53"/>
      <c r="AE31" s="53"/>
    </row>
    <row r="32" spans="1:35" x14ac:dyDescent="0.2">
      <c r="B32" s="3" t="s">
        <v>53</v>
      </c>
      <c r="C32" s="31">
        <f>SUM(C30:C31)</f>
        <v>257675</v>
      </c>
      <c r="D32" s="33">
        <f t="shared" si="11"/>
        <v>0.2379602326824885</v>
      </c>
      <c r="E32" s="31">
        <f>SUM(E30:E31)</f>
        <v>244953.82569999999</v>
      </c>
      <c r="F32" s="33">
        <f>+E32/$E$20</f>
        <v>0.24279401848854856</v>
      </c>
      <c r="G32" s="33">
        <f>IF(C32=0,"",(E32-C32)/ABS(C32)+1)</f>
        <v>0.95063093315222658</v>
      </c>
      <c r="H32" s="31">
        <f>SUM(H30:H31)</f>
        <v>218802.46207000001</v>
      </c>
      <c r="I32" s="33">
        <f t="shared" si="12"/>
        <v>0.25119304397574971</v>
      </c>
      <c r="J32" s="33">
        <f>IF(H32=0,"",(E32-H32)/ABS(H32))</f>
        <v>0.11952042670175049</v>
      </c>
      <c r="K32" s="31">
        <f>SUM(K30:K31)</f>
        <v>518492</v>
      </c>
      <c r="L32" s="33">
        <f t="shared" si="5"/>
        <v>0.24866219115775257</v>
      </c>
      <c r="M32" s="31">
        <f>SUM(M30:M31)</f>
        <v>502100.87540999998</v>
      </c>
      <c r="N32" s="33">
        <f>+M32/$M$20</f>
        <v>0.25519733597439392</v>
      </c>
      <c r="O32" s="33">
        <f>IF(K32=0,"",(M32-K32)/ABS(K32)+1)</f>
        <v>0.96838692865077958</v>
      </c>
      <c r="P32" s="31">
        <f>SUM(P30:P31)</f>
        <v>433023.92338999995</v>
      </c>
      <c r="Q32" s="33">
        <f t="shared" si="8"/>
        <v>0.22139123421125009</v>
      </c>
      <c r="R32" s="33">
        <f>IF(P32=0,"",(M32-P32)/ABS(P32))</f>
        <v>0.15952225336470927</v>
      </c>
      <c r="S32" s="66"/>
      <c r="T32" s="53" t="s">
        <v>81</v>
      </c>
      <c r="U32" s="72"/>
      <c r="V32" s="72"/>
      <c r="W32" s="72"/>
      <c r="X32" s="72"/>
      <c r="Y32" s="72"/>
      <c r="Z32" s="72"/>
      <c r="AA32" s="72"/>
      <c r="AB32" s="72"/>
      <c r="AC32" s="53"/>
    </row>
    <row r="33" spans="1:29" x14ac:dyDescent="0.2">
      <c r="B33" s="3"/>
      <c r="C33" s="31"/>
      <c r="D33" s="33"/>
      <c r="E33" s="31"/>
      <c r="F33" s="33"/>
      <c r="G33" s="33"/>
      <c r="H33" s="31"/>
      <c r="I33" s="33"/>
      <c r="J33" s="33"/>
      <c r="K33" s="31"/>
      <c r="L33" s="33"/>
      <c r="M33" s="31"/>
      <c r="N33" s="33"/>
      <c r="O33" s="33"/>
      <c r="P33" s="31"/>
      <c r="Q33" s="33"/>
      <c r="R33" s="33"/>
      <c r="S33" s="66"/>
      <c r="T33" s="53"/>
      <c r="U33" s="72"/>
      <c r="V33" s="72"/>
      <c r="W33" s="72"/>
      <c r="X33" s="72"/>
      <c r="Y33" s="72"/>
      <c r="Z33" s="72"/>
      <c r="AA33" s="72"/>
      <c r="AB33" s="72"/>
      <c r="AC33" s="53"/>
    </row>
    <row r="34" spans="1:29" x14ac:dyDescent="0.2">
      <c r="B34" s="3" t="s">
        <v>54</v>
      </c>
      <c r="C34" s="31">
        <f>C28+C32</f>
        <v>924621</v>
      </c>
      <c r="D34" s="33">
        <f t="shared" si="11"/>
        <v>0.85387805686665452</v>
      </c>
      <c r="E34" s="31">
        <f>E28+E32</f>
        <v>833316.98552999995</v>
      </c>
      <c r="F34" s="33">
        <f>+E34/$E$20</f>
        <v>0.8259694618502641</v>
      </c>
      <c r="G34" s="33">
        <f>IF(C34=0,"",(E34-C34)/ABS(C34)+1)</f>
        <v>0.90125249754223613</v>
      </c>
      <c r="H34" s="31">
        <f>H28+H32</f>
        <v>732457.78178000008</v>
      </c>
      <c r="I34" s="33">
        <f t="shared" si="12"/>
        <v>0.84088770322054918</v>
      </c>
      <c r="J34" s="33">
        <f>IF(H34=0,"",(E34-H34)/ABS(H34))</f>
        <v>0.13769968216447154</v>
      </c>
      <c r="K34" s="31">
        <f>K28+K32</f>
        <v>1731940</v>
      </c>
      <c r="L34" s="33">
        <f t="shared" si="5"/>
        <v>0.83061647113891435</v>
      </c>
      <c r="M34" s="31">
        <f>M28+M32</f>
        <v>1567804.6998800002</v>
      </c>
      <c r="N34" s="33">
        <f>+M34/$M$20</f>
        <v>0.79685099614853561</v>
      </c>
      <c r="O34" s="33">
        <f>IF(K34=0,"",(M34-K34)/ABS(K34)+1)</f>
        <v>0.90523037742646983</v>
      </c>
      <c r="P34" s="31">
        <f>P28+P32</f>
        <v>1400951.62836</v>
      </c>
      <c r="Q34" s="33">
        <f t="shared" si="8"/>
        <v>0.71626160431219166</v>
      </c>
      <c r="R34" s="33">
        <f>IF(P34=0,"",(M34-P34)/ABS(P34))</f>
        <v>0.11909980911712413</v>
      </c>
      <c r="S34" s="66"/>
      <c r="T34" s="52"/>
      <c r="U34" s="54"/>
      <c r="V34" s="54"/>
      <c r="W34" s="54"/>
      <c r="X34" s="72"/>
      <c r="Y34" s="72"/>
      <c r="Z34" s="72"/>
      <c r="AA34" s="72"/>
    </row>
    <row r="35" spans="1:29" x14ac:dyDescent="0.2">
      <c r="B35" s="3"/>
      <c r="C35" s="31"/>
      <c r="D35" s="33"/>
      <c r="E35" s="31"/>
      <c r="F35" s="33"/>
      <c r="G35" s="33"/>
      <c r="H35" s="31"/>
      <c r="I35" s="33"/>
      <c r="J35" s="33"/>
      <c r="K35" s="31"/>
      <c r="L35" s="33"/>
      <c r="M35" s="31"/>
      <c r="N35" s="33"/>
      <c r="O35" s="33"/>
      <c r="P35" s="31"/>
      <c r="Q35" s="33"/>
      <c r="R35" s="33"/>
      <c r="S35" s="66"/>
      <c r="T35" s="52"/>
      <c r="U35" s="54"/>
      <c r="V35" s="54"/>
      <c r="W35" s="54"/>
      <c r="X35" s="72"/>
      <c r="Y35" s="72"/>
      <c r="Z35" s="72"/>
      <c r="AA35" s="72"/>
    </row>
    <row r="36" spans="1:29" x14ac:dyDescent="0.2">
      <c r="B36" s="19" t="s">
        <v>55</v>
      </c>
      <c r="C36" s="68">
        <f>C24-C34</f>
        <v>3576</v>
      </c>
      <c r="D36" s="44">
        <f t="shared" si="11"/>
        <v>3.3023995035318869E-3</v>
      </c>
      <c r="E36" s="68">
        <f>E24-E34</f>
        <v>15225.396110000089</v>
      </c>
      <c r="F36" s="44">
        <f>+E36/$E$20</f>
        <v>1.509115072631763E-2</v>
      </c>
      <c r="G36" s="44">
        <f>IF(C36=0,"",(E36-C36)/ABS(C36)+1)</f>
        <v>4.2576611045861545</v>
      </c>
      <c r="H36" s="68">
        <f>H24-H34</f>
        <v>76612.456719999784</v>
      </c>
      <c r="I36" s="44">
        <f t="shared" si="12"/>
        <v>8.7953837575193081E-2</v>
      </c>
      <c r="J36" s="44">
        <f>IF(H36=0,"",(E36-H36)/ABS(H36))</f>
        <v>-0.8012673557037171</v>
      </c>
      <c r="K36" s="68">
        <f>K24-K34</f>
        <v>109852</v>
      </c>
      <c r="L36" s="44">
        <f t="shared" si="5"/>
        <v>5.2683626792817316E-2</v>
      </c>
      <c r="M36" s="68">
        <f>+M24-M34</f>
        <v>134087.04401999991</v>
      </c>
      <c r="N36" s="44">
        <f>+M36/$M$20</f>
        <v>6.8150959495227675E-2</v>
      </c>
      <c r="O36" s="44">
        <f>IF(K36=0,"",(M36-K36)/ABS(K36)+1)</f>
        <v>1.2206154100061894</v>
      </c>
      <c r="P36" s="68">
        <f>P24-P34</f>
        <v>399405.52414000034</v>
      </c>
      <c r="Q36" s="44">
        <f t="shared" si="8"/>
        <v>0.20420322565066842</v>
      </c>
      <c r="R36" s="44">
        <f>IF(P36=0,"",(M36-P36)/ABS(P36))</f>
        <v>-0.66428345149027157</v>
      </c>
      <c r="S36" s="66"/>
      <c r="T36" s="52"/>
      <c r="W36" s="54"/>
      <c r="X36" s="72"/>
      <c r="Y36" s="72"/>
      <c r="Z36" s="72"/>
      <c r="AA36" s="72"/>
    </row>
    <row r="37" spans="1:29" x14ac:dyDescent="0.2">
      <c r="B37" s="3"/>
      <c r="C37" s="31"/>
      <c r="D37" s="33"/>
      <c r="E37" s="31"/>
      <c r="F37" s="33"/>
      <c r="G37" s="33"/>
      <c r="H37" s="31"/>
      <c r="I37" s="33"/>
      <c r="J37" s="33"/>
      <c r="K37" s="31"/>
      <c r="L37" s="33"/>
      <c r="M37" s="31"/>
      <c r="N37" s="33"/>
      <c r="O37" s="33"/>
      <c r="P37" s="31"/>
      <c r="Q37" s="33"/>
      <c r="R37" s="33"/>
      <c r="S37" s="66"/>
      <c r="W37" s="54"/>
      <c r="X37" s="72"/>
      <c r="Y37" s="72"/>
      <c r="Z37" s="72"/>
      <c r="AA37" s="72"/>
    </row>
    <row r="38" spans="1:29" x14ac:dyDescent="0.2">
      <c r="B38" s="3" t="s">
        <v>56</v>
      </c>
      <c r="C38" s="31">
        <v>321</v>
      </c>
      <c r="D38" s="33">
        <f t="shared" si="11"/>
        <v>2.9644022389086567E-4</v>
      </c>
      <c r="E38" s="31">
        <v>463.77338000000003</v>
      </c>
      <c r="F38" s="33">
        <f>+E38/$E$20</f>
        <v>4.596841967111056E-4</v>
      </c>
      <c r="G38" s="33">
        <f>IF(C38=0,"",(E38-C38)/ABS(C38)+1)</f>
        <v>1.4447768847352025</v>
      </c>
      <c r="H38" s="31">
        <v>1976.14769</v>
      </c>
      <c r="I38" s="33">
        <f t="shared" si="12"/>
        <v>2.2686881532344824E-3</v>
      </c>
      <c r="J38" s="33">
        <f>IF(H38=0,"",(E38-H38)/ABS(H38))</f>
        <v>-0.76531441331695194</v>
      </c>
      <c r="K38" s="31">
        <v>642</v>
      </c>
      <c r="L38" s="33">
        <f t="shared" si="5"/>
        <v>3.0789506245665728E-4</v>
      </c>
      <c r="M38" s="31">
        <v>1245.3661100000002</v>
      </c>
      <c r="N38" s="33">
        <f>+M38/$M$20</f>
        <v>6.3296865062279959E-4</v>
      </c>
      <c r="O38" s="33">
        <f>IF(K38=0,"",(M38-K38)/ABS(K38)+1)</f>
        <v>1.9398226012461062</v>
      </c>
      <c r="P38" s="31">
        <v>2119.1996800000002</v>
      </c>
      <c r="Q38" s="33">
        <f t="shared" si="8"/>
        <v>1.0834787810851032E-3</v>
      </c>
      <c r="R38" s="33">
        <f>IF(P38=0,"",(M38-P38)/ABS(P38))</f>
        <v>-0.41234130896056004</v>
      </c>
      <c r="S38" s="66"/>
      <c r="T38" s="52"/>
      <c r="X38" s="72"/>
      <c r="Y38" s="72"/>
      <c r="Z38" s="72"/>
      <c r="AA38" s="72"/>
    </row>
    <row r="39" spans="1:29" x14ac:dyDescent="0.2">
      <c r="B39" s="3" t="s">
        <v>57</v>
      </c>
      <c r="C39" s="31">
        <v>28304</v>
      </c>
      <c r="D39" s="33">
        <f t="shared" si="11"/>
        <v>2.613845513086312E-2</v>
      </c>
      <c r="E39" s="31">
        <v>25479.211620000002</v>
      </c>
      <c r="F39" s="33">
        <f>+E39/$E$20</f>
        <v>2.525455627999168E-2</v>
      </c>
      <c r="G39" s="33">
        <f>IF(C39=0,"",(E39-C39)/ABS(C39)+1)</f>
        <v>0.90019826243640477</v>
      </c>
      <c r="H39" s="31">
        <v>28968.752860000001</v>
      </c>
      <c r="I39" s="33">
        <f t="shared" si="12"/>
        <v>3.3257163298083016E-2</v>
      </c>
      <c r="J39" s="33">
        <f>IF(H39=0,"",(E39-H39)/ABS(H39))</f>
        <v>-0.12045880113873837</v>
      </c>
      <c r="K39" s="31">
        <v>57701</v>
      </c>
      <c r="L39" s="33">
        <f t="shared" si="5"/>
        <v>2.7672668222447946E-2</v>
      </c>
      <c r="M39" s="31">
        <v>55692.773639999999</v>
      </c>
      <c r="N39" s="33">
        <f>+M39/$M$20</f>
        <v>2.8306358666169113E-2</v>
      </c>
      <c r="O39" s="33">
        <f>IF(K39=0,"",(M39-K39)/ABS(K39)+1)</f>
        <v>0.96519598689797403</v>
      </c>
      <c r="P39" s="31">
        <v>49482.910240000005</v>
      </c>
      <c r="Q39" s="33">
        <f t="shared" si="8"/>
        <v>2.5299023861394116E-2</v>
      </c>
      <c r="R39" s="33">
        <f>IF(P39=0,"",(M39-P39)/ABS(P39))</f>
        <v>0.12549511275471001</v>
      </c>
      <c r="S39" s="66"/>
      <c r="T39" s="52"/>
      <c r="X39" s="72"/>
      <c r="Y39" s="72"/>
      <c r="Z39" s="72"/>
      <c r="AA39" s="72"/>
    </row>
    <row r="40" spans="1:29" x14ac:dyDescent="0.2">
      <c r="B40" s="3"/>
      <c r="C40" s="31"/>
      <c r="D40" s="33"/>
      <c r="E40" s="31"/>
      <c r="F40" s="33"/>
      <c r="G40" s="33"/>
      <c r="H40" s="31"/>
      <c r="I40" s="33"/>
      <c r="J40" s="33"/>
      <c r="K40" s="31"/>
      <c r="L40" s="33"/>
      <c r="M40" s="31"/>
      <c r="N40" s="33"/>
      <c r="O40" s="33"/>
      <c r="P40" s="31"/>
      <c r="Q40" s="33"/>
      <c r="R40" s="33"/>
      <c r="S40" s="66"/>
      <c r="T40" s="52"/>
      <c r="X40" s="72"/>
      <c r="Y40" s="72"/>
      <c r="Z40" s="72"/>
      <c r="AA40" s="72"/>
    </row>
    <row r="41" spans="1:29" x14ac:dyDescent="0.2">
      <c r="B41" s="3" t="s">
        <v>58</v>
      </c>
      <c r="C41" s="31">
        <f>C36+C38-C39</f>
        <v>-24407</v>
      </c>
      <c r="D41" s="33">
        <f t="shared" si="11"/>
        <v>-2.253961540344037E-2</v>
      </c>
      <c r="E41" s="31">
        <f>E36+E38-E39</f>
        <v>-9790.0421299999125</v>
      </c>
      <c r="F41" s="33">
        <f>+E41/$E$20</f>
        <v>-9.7037213569629438E-3</v>
      </c>
      <c r="G41" s="33">
        <f>IF(C41=0,"",(E41-C41)/ABS(C41)+1)</f>
        <v>1.5988838394722862</v>
      </c>
      <c r="H41" s="31">
        <f>H36+H38-H39</f>
        <v>49619.851549999781</v>
      </c>
      <c r="I41" s="33">
        <f t="shared" si="12"/>
        <v>5.696536243034455E-2</v>
      </c>
      <c r="J41" s="33">
        <f>IF(H41=0,"",(E41-H41)/ABS(H41))</f>
        <v>-1.1973009153430239</v>
      </c>
      <c r="K41" s="31">
        <f>K36+K38-K39</f>
        <v>52793</v>
      </c>
      <c r="L41" s="33">
        <f t="shared" si="5"/>
        <v>2.5318853632826026E-2</v>
      </c>
      <c r="M41" s="31">
        <f>M36+M38-M39</f>
        <v>79639.636489999917</v>
      </c>
      <c r="N41" s="33">
        <f>+M41/$M$20</f>
        <v>4.0477569479681369E-2</v>
      </c>
      <c r="O41" s="33">
        <f>IF(K41=0,"",(M41-K41)/ABS(K41)+1)</f>
        <v>1.5085264427102061</v>
      </c>
      <c r="P41" s="31">
        <f>P36+P38-P39</f>
        <v>352041.81358000037</v>
      </c>
      <c r="Q41" s="33">
        <f t="shared" si="8"/>
        <v>0.17998768057035944</v>
      </c>
      <c r="R41" s="33">
        <f>IF(P41=0,"",(M41-P41)/ABS(P41))</f>
        <v>-0.77377790530015533</v>
      </c>
      <c r="S41" s="66"/>
      <c r="T41" s="52"/>
      <c r="X41" s="72"/>
      <c r="Y41" s="72"/>
      <c r="Z41" s="72"/>
      <c r="AA41" s="72"/>
    </row>
    <row r="42" spans="1:29" x14ac:dyDescent="0.2">
      <c r="B42" s="3" t="s">
        <v>44</v>
      </c>
      <c r="C42" s="31">
        <v>-7599</v>
      </c>
      <c r="D42" s="33">
        <f t="shared" si="11"/>
        <v>-7.0175989450052597E-3</v>
      </c>
      <c r="E42" s="31">
        <v>-3966.2060000000001</v>
      </c>
      <c r="F42" s="33">
        <f>+E42/$E$20</f>
        <v>-3.9312351629599077E-3</v>
      </c>
      <c r="G42" s="33">
        <f>IF(C42=0,"",(E42-C42)/ABS(C42)+1)</f>
        <v>1.4780621134359784</v>
      </c>
      <c r="H42" s="31">
        <v>20705.144</v>
      </c>
      <c r="I42" s="33">
        <f t="shared" si="12"/>
        <v>2.3770245079108448E-2</v>
      </c>
      <c r="J42" s="33">
        <f>IF(H42=0,"",(E42-H42)/ABS(H42))</f>
        <v>-1.1915565523234226</v>
      </c>
      <c r="K42" s="31">
        <v>23122</v>
      </c>
      <c r="L42" s="33">
        <f t="shared" si="5"/>
        <v>1.1089018121686651E-2</v>
      </c>
      <c r="M42" s="31">
        <v>46182.517</v>
      </c>
      <c r="N42" s="33">
        <f>+M42/$M$20</f>
        <v>2.3472684243715687E-2</v>
      </c>
      <c r="O42" s="33">
        <f>IF(K42=0,"",(M42-K42)/ABS(K42)+1)</f>
        <v>1.997340930715336</v>
      </c>
      <c r="P42" s="31">
        <v>122691.41</v>
      </c>
      <c r="Q42" s="33">
        <f t="shared" si="8"/>
        <v>6.2728180176212858E-2</v>
      </c>
      <c r="R42" s="33">
        <f>IF(P42=0,"",(M42-P42)/ABS(P42))</f>
        <v>-0.62358801647156892</v>
      </c>
      <c r="S42" s="66"/>
      <c r="X42" s="72"/>
      <c r="Y42" s="72"/>
      <c r="Z42" s="72"/>
      <c r="AA42" s="72"/>
    </row>
    <row r="43" spans="1:29" x14ac:dyDescent="0.2">
      <c r="B43" s="19" t="s">
        <v>59</v>
      </c>
      <c r="C43" s="68">
        <f>+C41-C42</f>
        <v>-16808</v>
      </c>
      <c r="D43" s="44">
        <f t="shared" si="11"/>
        <v>-1.5522016458435109E-2</v>
      </c>
      <c r="E43" s="68">
        <f>E41-E42</f>
        <v>-5823.8361299999124</v>
      </c>
      <c r="F43" s="44">
        <f>+E43/$E$20</f>
        <v>-5.7724861940030353E-3</v>
      </c>
      <c r="G43" s="44">
        <f>IF(C43=0,"",(E43-C43)/ABS(C43)+1)</f>
        <v>1.6535080836506477</v>
      </c>
      <c r="H43" s="68">
        <f>+H41-H42</f>
        <v>28914.707549999781</v>
      </c>
      <c r="I43" s="44">
        <f t="shared" si="12"/>
        <v>3.3195117351236106E-2</v>
      </c>
      <c r="J43" s="44">
        <f>IF(H43=0,"",(E43-H43)/ABS(H43))</f>
        <v>-1.2014143189907505</v>
      </c>
      <c r="K43" s="68">
        <f>+K41-K42</f>
        <v>29671</v>
      </c>
      <c r="L43" s="44">
        <f t="shared" si="5"/>
        <v>1.4229835511139375E-2</v>
      </c>
      <c r="M43" s="68">
        <f>+M41-M42</f>
        <v>33457.119489999917</v>
      </c>
      <c r="N43" s="44">
        <f>+M43/$M$20</f>
        <v>1.7004885235965682E-2</v>
      </c>
      <c r="O43" s="44">
        <f>IF(K43=0,"",(M43-K43)/ABS(K43)+1)</f>
        <v>1.1276033665869003</v>
      </c>
      <c r="P43" s="68">
        <f>P41-P42</f>
        <v>229350.40358000036</v>
      </c>
      <c r="Q43" s="44">
        <f t="shared" si="8"/>
        <v>0.11725950039414657</v>
      </c>
      <c r="R43" s="44">
        <f>IF(P43=0,"",(M43-P43)/ABS(P43))</f>
        <v>-0.85412225586806234</v>
      </c>
      <c r="S43" s="66"/>
      <c r="T43" s="73"/>
      <c r="W43" s="54"/>
      <c r="X43" s="72"/>
      <c r="Y43" s="72"/>
      <c r="Z43" s="72"/>
      <c r="AA43" s="72"/>
    </row>
    <row r="44" spans="1:29" x14ac:dyDescent="0.2">
      <c r="B44" s="3"/>
      <c r="C44" s="31"/>
      <c r="D44" s="33"/>
      <c r="E44" s="31"/>
      <c r="F44" s="33"/>
      <c r="G44" s="33"/>
      <c r="H44" s="31"/>
      <c r="I44" s="33"/>
      <c r="J44" s="33"/>
      <c r="K44" s="31"/>
      <c r="L44" s="33"/>
      <c r="M44" s="31"/>
      <c r="N44" s="33"/>
      <c r="O44" s="33"/>
      <c r="P44" s="31"/>
      <c r="Q44" s="33"/>
      <c r="R44" s="33"/>
      <c r="S44" s="66"/>
      <c r="W44" s="54"/>
      <c r="X44" s="72"/>
      <c r="Y44" s="72"/>
      <c r="Z44" s="72"/>
      <c r="AA44" s="72"/>
    </row>
    <row r="45" spans="1:29" x14ac:dyDescent="0.2">
      <c r="A45" s="37" t="s">
        <v>82</v>
      </c>
      <c r="B45" s="3" t="s">
        <v>83</v>
      </c>
      <c r="C45" s="31">
        <v>53845</v>
      </c>
      <c r="D45" s="33">
        <f t="shared" si="11"/>
        <v>4.9725307960759073E-2</v>
      </c>
      <c r="E45" s="31">
        <v>63587.157380000092</v>
      </c>
      <c r="F45" s="33">
        <f>+E45/$E$20</f>
        <v>6.3026496607821669E-2</v>
      </c>
      <c r="G45" s="33">
        <f>IF(C45=0,"",(E45-C45)/ABS(C45)+1)</f>
        <v>1.1809296569783656</v>
      </c>
      <c r="H45" s="31">
        <v>71495.964249999786</v>
      </c>
      <c r="I45" s="33">
        <f t="shared" si="12"/>
        <v>8.2079921414198856E-2</v>
      </c>
      <c r="J45" s="33">
        <f>IF(H45=0,"",(E45-H45)/ABS(H45))</f>
        <v>-0.11061892727741927</v>
      </c>
      <c r="K45" s="31">
        <v>210349</v>
      </c>
      <c r="L45" s="33">
        <f t="shared" si="5"/>
        <v>0.10088071416307695</v>
      </c>
      <c r="M45" s="31">
        <v>229915.57304999992</v>
      </c>
      <c r="N45" s="33">
        <f>+M45/$M$20</f>
        <v>0.11685668082827959</v>
      </c>
      <c r="O45" s="33">
        <f>IF(K45=0,"",(M45-K45)/ABS(K45)+1)</f>
        <v>1.0930195677184105</v>
      </c>
      <c r="P45" s="31">
        <v>486606.33620000037</v>
      </c>
      <c r="Q45" s="33">
        <f t="shared" si="8"/>
        <v>0.24878620216395292</v>
      </c>
      <c r="R45" s="33">
        <f>IF(P45=0,"",(M45-P45)/ABS(P45))</f>
        <v>-0.52751216754501495</v>
      </c>
      <c r="S45" s="66"/>
      <c r="X45" s="72"/>
      <c r="Y45" s="72"/>
      <c r="Z45" s="72"/>
      <c r="AA45" s="72"/>
    </row>
    <row r="46" spans="1:29" x14ac:dyDescent="0.2">
      <c r="A46" s="74"/>
      <c r="B46" s="3" t="s">
        <v>35</v>
      </c>
      <c r="C46" s="31">
        <v>449516</v>
      </c>
      <c r="D46" s="33">
        <f t="shared" si="11"/>
        <v>0.41512343826332204</v>
      </c>
      <c r="E46" s="31">
        <v>426267.60499999998</v>
      </c>
      <c r="F46" s="33">
        <f>+E46/$E$20</f>
        <v>0.422509117682416</v>
      </c>
      <c r="G46" s="33">
        <f>IF(C46=0,"",(E46-C46)/ABS(C46)+1)</f>
        <v>0.94828127363653347</v>
      </c>
      <c r="H46" s="31">
        <v>358900.69799999997</v>
      </c>
      <c r="I46" s="33">
        <f t="shared" si="12"/>
        <v>0.41203082434602173</v>
      </c>
      <c r="J46" s="33">
        <f>IF(H46=0,"",(E46-H46)/ABS(H46))</f>
        <v>0.18770347167171017</v>
      </c>
      <c r="K46" s="31">
        <v>874142</v>
      </c>
      <c r="L46" s="33">
        <f t="shared" si="5"/>
        <v>0.41922742318689615</v>
      </c>
      <c r="M46" s="31">
        <v>822835.63500000001</v>
      </c>
      <c r="N46" s="33">
        <f>+M46/$M$20</f>
        <v>0.41821369426080202</v>
      </c>
      <c r="O46" s="33">
        <f>IF(K46=0,"",(M46-K46)/ABS(K46)+1)</f>
        <v>0.94130660121582077</v>
      </c>
      <c r="P46" s="31">
        <v>697405.61179999996</v>
      </c>
      <c r="Q46" s="33">
        <f t="shared" si="8"/>
        <v>0.35656110621674625</v>
      </c>
      <c r="R46" s="33">
        <f>IF(P46=0,"",(M46-P46)/ABS(P46))</f>
        <v>0.17985232851262248</v>
      </c>
      <c r="S46" s="66"/>
      <c r="X46" s="72"/>
      <c r="Y46" s="72"/>
      <c r="Z46" s="72"/>
      <c r="AA46" s="72"/>
    </row>
    <row r="47" spans="1:29" x14ac:dyDescent="0.2">
      <c r="B47" s="3" t="s">
        <v>81</v>
      </c>
      <c r="C47" s="31"/>
      <c r="J47" s="31"/>
      <c r="K47" s="31"/>
      <c r="L47" s="31"/>
      <c r="M47" s="31"/>
      <c r="N47" s="31"/>
      <c r="O47" s="31"/>
      <c r="P47" s="31"/>
      <c r="Q47" s="31"/>
      <c r="S47" s="66"/>
      <c r="X47" s="72"/>
      <c r="Y47" s="72"/>
      <c r="Z47" s="72"/>
      <c r="AA47" s="72"/>
    </row>
    <row r="48" spans="1:29" x14ac:dyDescent="0.2"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S48" s="66"/>
      <c r="X48" s="72"/>
      <c r="Y48" s="72"/>
      <c r="Z48" s="72"/>
      <c r="AA48" s="72"/>
    </row>
    <row r="49" spans="1:27" x14ac:dyDescent="0.2"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X49" s="72"/>
      <c r="Y49" s="72"/>
      <c r="Z49" s="72"/>
      <c r="AA49" s="72"/>
    </row>
    <row r="50" spans="1:27" x14ac:dyDescent="0.2"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75"/>
    </row>
    <row r="51" spans="1:27" x14ac:dyDescent="0.2"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</row>
    <row r="52" spans="1:27" x14ac:dyDescent="0.2"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</row>
    <row r="53" spans="1:27" x14ac:dyDescent="0.2"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</row>
    <row r="54" spans="1:27" x14ac:dyDescent="0.2">
      <c r="J54" s="31"/>
      <c r="K54" s="31"/>
      <c r="L54" s="31"/>
      <c r="M54" s="31"/>
      <c r="N54" s="31"/>
      <c r="O54" s="31"/>
      <c r="P54" s="31"/>
      <c r="Q54" s="31"/>
      <c r="R54" s="31"/>
      <c r="S54" s="31"/>
    </row>
    <row r="55" spans="1:27" x14ac:dyDescent="0.2">
      <c r="A55" s="30" t="s">
        <v>84</v>
      </c>
    </row>
    <row r="56" spans="1:27" x14ac:dyDescent="0.2">
      <c r="C56" s="52"/>
    </row>
  </sheetData>
  <conditionalFormatting sqref="D9:D46 AC10:AC11 G10:G46 J10:J46 AC13:AC17 AC19:AC28 AC30">
    <cfRule type="cellIs" dxfId="65" priority="2" operator="lessThan">
      <formula>0</formula>
    </cfRule>
  </conditionalFormatting>
  <conditionalFormatting sqref="R10:R46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2D5B4-649C-4FF0-AA0C-2E2C0B83B149}">
  <sheetPr>
    <tabColor theme="2" tint="-0.249977111117893"/>
  </sheetPr>
  <dimension ref="A1:V48"/>
  <sheetViews>
    <sheetView showGridLines="0" zoomScale="93" zoomScaleNormal="93" workbookViewId="0">
      <selection activeCell="M10" sqref="M10"/>
    </sheetView>
  </sheetViews>
  <sheetFormatPr baseColWidth="10" defaultRowHeight="12.75" x14ac:dyDescent="0.2"/>
  <cols>
    <col min="1" max="1" width="4.140625" style="77" customWidth="1"/>
    <col min="2" max="2" width="33" style="2" customWidth="1"/>
    <col min="3" max="6" width="10" style="2" customWidth="1"/>
    <col min="7" max="7" width="8.140625" style="2" bestFit="1" customWidth="1"/>
    <col min="8" max="8" width="10" style="2" customWidth="1"/>
    <col min="9" max="9" width="7.85546875" style="2" hidden="1" customWidth="1"/>
    <col min="10" max="10" width="7.5703125" style="2" bestFit="1" customWidth="1"/>
    <col min="11" max="11" width="10.42578125" style="2" bestFit="1" customWidth="1"/>
    <col min="12" max="12" width="6.5703125" style="2" customWidth="1"/>
    <col min="13" max="13" width="9.85546875" style="2" bestFit="1" customWidth="1"/>
    <col min="14" max="14" width="7.85546875" style="2" bestFit="1" customWidth="1"/>
    <col min="15" max="15" width="8.140625" style="2" bestFit="1" customWidth="1"/>
    <col min="16" max="16" width="8.140625" style="2" customWidth="1"/>
    <col min="17" max="19" width="10.42578125" style="2" customWidth="1"/>
    <col min="20" max="20" width="11.42578125" style="2" customWidth="1"/>
    <col min="21" max="21" width="11.7109375" style="2" customWidth="1"/>
    <col min="22" max="16384" width="11.42578125" style="2"/>
  </cols>
  <sheetData>
    <row r="1" spans="1:22" s="50" customFormat="1" ht="18.75" customHeight="1" x14ac:dyDescent="0.2">
      <c r="A1" s="76"/>
      <c r="B1" s="49"/>
      <c r="S1" s="2"/>
      <c r="T1" s="2"/>
      <c r="U1" s="2"/>
      <c r="V1" s="2"/>
    </row>
    <row r="2" spans="1:22" ht="15.75" customHeight="1" x14ac:dyDescent="0.2"/>
    <row r="3" spans="1:22" ht="18" x14ac:dyDescent="0.25">
      <c r="B3" s="15" t="s">
        <v>85</v>
      </c>
      <c r="T3" s="17"/>
    </row>
    <row r="4" spans="1:22" x14ac:dyDescent="0.2">
      <c r="B4" s="3" t="s">
        <v>86</v>
      </c>
    </row>
    <row r="5" spans="1:22" x14ac:dyDescent="0.2">
      <c r="A5" s="77" t="str">
        <f>+Paramet!A3</f>
        <v>202301</v>
      </c>
      <c r="B5" s="3" t="s">
        <v>22</v>
      </c>
    </row>
    <row r="6" spans="1:22" ht="13.5" thickBot="1" x14ac:dyDescent="0.25">
      <c r="A6" s="77" t="str">
        <f>+Paramet!A4</f>
        <v>202302</v>
      </c>
      <c r="B6" s="78" t="str">
        <f>+'COLOMB$ '!B6</f>
        <v>FEBRERO de 2024</v>
      </c>
      <c r="K6" s="20" t="s">
        <v>23</v>
      </c>
      <c r="L6" s="20"/>
      <c r="M6" s="20"/>
      <c r="N6" s="20"/>
      <c r="O6" s="20"/>
      <c r="P6" s="20"/>
      <c r="Q6" s="20"/>
      <c r="R6" s="20"/>
    </row>
    <row r="7" spans="1:22" x14ac:dyDescent="0.2">
      <c r="A7" s="77" t="str">
        <f>+Paramet!B3</f>
        <v>202401</v>
      </c>
      <c r="B7" s="3"/>
      <c r="C7" s="53" t="str">
        <f>+'COLOMB$ '!D7:D7</f>
        <v>Ppto 2024</v>
      </c>
      <c r="D7" s="53"/>
      <c r="E7" s="53" t="str">
        <f>+'COLOMB$ '!F7:F7</f>
        <v>Real 2024</v>
      </c>
      <c r="F7" s="53"/>
      <c r="G7" s="50" t="s">
        <v>24</v>
      </c>
      <c r="H7" s="53" t="str">
        <f>+'COLOMB$ '!I7:I7</f>
        <v>Real 2023</v>
      </c>
      <c r="I7" s="53"/>
      <c r="J7" s="50" t="s">
        <v>25</v>
      </c>
      <c r="K7" s="53" t="str">
        <f>+C7</f>
        <v>Ppto 2024</v>
      </c>
      <c r="L7" s="53"/>
      <c r="M7" s="53" t="str">
        <f>+E7</f>
        <v>Real 2024</v>
      </c>
      <c r="N7" s="53"/>
      <c r="O7" s="50" t="s">
        <v>24</v>
      </c>
      <c r="P7" s="2" t="str">
        <f>+H7</f>
        <v>Real 2023</v>
      </c>
      <c r="R7" s="50" t="s">
        <v>25</v>
      </c>
    </row>
    <row r="8" spans="1:22" ht="13.5" thickBot="1" x14ac:dyDescent="0.25">
      <c r="A8" s="77" t="str">
        <f>+Paramet!B4</f>
        <v>202402</v>
      </c>
      <c r="B8" s="28" t="s">
        <v>27</v>
      </c>
      <c r="C8" s="29" t="s">
        <v>28</v>
      </c>
      <c r="D8" s="29" t="s">
        <v>29</v>
      </c>
      <c r="E8" s="29" t="s">
        <v>28</v>
      </c>
      <c r="F8" s="29" t="s">
        <v>29</v>
      </c>
      <c r="G8" s="29" t="s">
        <v>30</v>
      </c>
      <c r="H8" s="29" t="s">
        <v>28</v>
      </c>
      <c r="I8" s="29" t="s">
        <v>29</v>
      </c>
      <c r="J8" s="29" t="s">
        <v>30</v>
      </c>
      <c r="K8" s="29" t="s">
        <v>28</v>
      </c>
      <c r="L8" s="29" t="s">
        <v>29</v>
      </c>
      <c r="M8" s="29" t="s">
        <v>28</v>
      </c>
      <c r="N8" s="29" t="s">
        <v>29</v>
      </c>
      <c r="O8" s="29" t="s">
        <v>30</v>
      </c>
      <c r="P8" s="29" t="s">
        <v>28</v>
      </c>
      <c r="Q8" s="29" t="s">
        <v>29</v>
      </c>
      <c r="R8" s="29" t="s">
        <v>30</v>
      </c>
    </row>
    <row r="9" spans="1:22" ht="15.75" customHeight="1" x14ac:dyDescent="0.2">
      <c r="A9" s="79" t="s">
        <v>87</v>
      </c>
    </row>
    <row r="10" spans="1:22" x14ac:dyDescent="0.2">
      <c r="B10" s="3" t="str">
        <f>+'COLOMB$ '!B10</f>
        <v>Musical Experience  (Ambiental)</v>
      </c>
      <c r="C10" s="31">
        <v>0</v>
      </c>
      <c r="D10" s="67">
        <f t="shared" ref="D10:D18" si="0">+C10/$C$20</f>
        <v>0</v>
      </c>
      <c r="E10" s="31"/>
      <c r="F10" s="67">
        <f t="shared" ref="F10:F20" si="1">IF($E$20=0,0,E10/$E$20)</f>
        <v>0</v>
      </c>
      <c r="G10" s="67" t="str">
        <f t="shared" ref="G10:G17" si="2">IF(C10=0,"",(E10-C10)/ABS(C10)+1)</f>
        <v/>
      </c>
      <c r="H10" s="31"/>
      <c r="I10" s="67" t="e">
        <f t="shared" ref="I10:I16" si="3">+H10/$H$20</f>
        <v>#DIV/0!</v>
      </c>
      <c r="J10" s="67" t="str">
        <f t="shared" ref="J10:J46" si="4">IF(H10&lt;=0,"",(E10-H10)/ABS(H10))</f>
        <v/>
      </c>
      <c r="K10" s="31"/>
      <c r="L10" s="67">
        <f t="shared" ref="L10:L20" si="5">+K10/$K$20</f>
        <v>0</v>
      </c>
      <c r="M10" s="31">
        <v>0</v>
      </c>
      <c r="N10" s="67">
        <f t="shared" ref="N10:N20" si="6">IF($M$20=0,0,M10/$M$20)</f>
        <v>0</v>
      </c>
      <c r="O10" s="67" t="str">
        <f t="shared" ref="O10:O17" si="7">IF(K10=0,"",(M10-K10)/ABS(K10)+1)</f>
        <v/>
      </c>
      <c r="P10" s="31"/>
      <c r="Q10" s="67" t="e">
        <f t="shared" ref="Q10:Q17" si="8">+P10/$P$20</f>
        <v>#DIV/0!</v>
      </c>
      <c r="R10" s="33" t="str">
        <f t="shared" ref="R10:R45" si="9">IF(P10&lt;=0,"",(M10-P10)/ABS(P10))</f>
        <v/>
      </c>
    </row>
    <row r="11" spans="1:22" ht="15.75" customHeight="1" x14ac:dyDescent="0.2">
      <c r="B11" s="3" t="str">
        <f>+'COLOMB$ '!B11</f>
        <v>Instalaciones</v>
      </c>
      <c r="C11" s="31">
        <v>0</v>
      </c>
      <c r="D11" s="67">
        <f t="shared" si="0"/>
        <v>0</v>
      </c>
      <c r="E11" s="31"/>
      <c r="F11" s="67">
        <f t="shared" si="1"/>
        <v>0</v>
      </c>
      <c r="G11" s="67" t="str">
        <f t="shared" si="2"/>
        <v/>
      </c>
      <c r="H11" s="31"/>
      <c r="I11" s="67" t="e">
        <f t="shared" si="3"/>
        <v>#DIV/0!</v>
      </c>
      <c r="J11" s="67" t="str">
        <f t="shared" si="4"/>
        <v/>
      </c>
      <c r="K11" s="31"/>
      <c r="L11" s="67">
        <f t="shared" si="5"/>
        <v>0</v>
      </c>
      <c r="M11" s="31">
        <v>0</v>
      </c>
      <c r="N11" s="67">
        <f t="shared" si="6"/>
        <v>0</v>
      </c>
      <c r="O11" s="67" t="str">
        <f t="shared" si="7"/>
        <v/>
      </c>
      <c r="P11" s="31"/>
      <c r="Q11" s="67" t="e">
        <f t="shared" si="8"/>
        <v>#DIV/0!</v>
      </c>
      <c r="R11" s="33" t="str">
        <f t="shared" si="9"/>
        <v/>
      </c>
    </row>
    <row r="12" spans="1:22" ht="15" customHeight="1" x14ac:dyDescent="0.2">
      <c r="B12" s="3" t="str">
        <f>+'COLOMB$ '!B12</f>
        <v>Voice Experience (Publihold)</v>
      </c>
      <c r="C12" s="31">
        <v>0</v>
      </c>
      <c r="D12" s="67">
        <f t="shared" si="0"/>
        <v>0</v>
      </c>
      <c r="E12" s="31"/>
      <c r="F12" s="67">
        <f t="shared" si="1"/>
        <v>0</v>
      </c>
      <c r="G12" s="67" t="str">
        <f t="shared" si="2"/>
        <v/>
      </c>
      <c r="H12" s="31"/>
      <c r="I12" s="67" t="e">
        <f t="shared" si="3"/>
        <v>#DIV/0!</v>
      </c>
      <c r="J12" s="67" t="str">
        <f t="shared" si="4"/>
        <v/>
      </c>
      <c r="K12" s="31"/>
      <c r="L12" s="67">
        <f t="shared" si="5"/>
        <v>0</v>
      </c>
      <c r="M12" s="31">
        <v>0</v>
      </c>
      <c r="N12" s="67">
        <f t="shared" si="6"/>
        <v>0</v>
      </c>
      <c r="O12" s="67" t="str">
        <f t="shared" si="7"/>
        <v/>
      </c>
      <c r="P12" s="31">
        <f>+H12+T13</f>
        <v>0</v>
      </c>
      <c r="Q12" s="67" t="e">
        <f t="shared" si="8"/>
        <v>#DIV/0!</v>
      </c>
      <c r="R12" s="33" t="str">
        <f t="shared" si="9"/>
        <v/>
      </c>
    </row>
    <row r="13" spans="1:22" x14ac:dyDescent="0.2">
      <c r="B13" s="3" t="str">
        <f>+'COLOMB$ '!B13</f>
        <v>Service &amp; Equipment Experience</v>
      </c>
      <c r="C13" s="31">
        <v>469</v>
      </c>
      <c r="D13" s="67">
        <f t="shared" si="0"/>
        <v>0.10008536064874093</v>
      </c>
      <c r="E13" s="31">
        <v>378.15499999999997</v>
      </c>
      <c r="F13" s="67">
        <f t="shared" si="1"/>
        <v>1</v>
      </c>
      <c r="G13" s="67">
        <f t="shared" si="2"/>
        <v>0.80630063965884857</v>
      </c>
      <c r="H13" s="31">
        <v>0</v>
      </c>
      <c r="I13" s="67" t="e">
        <f t="shared" si="3"/>
        <v>#DIV/0!</v>
      </c>
      <c r="J13" s="67" t="str">
        <f t="shared" si="4"/>
        <v/>
      </c>
      <c r="K13" s="31">
        <v>844</v>
      </c>
      <c r="L13" s="67">
        <f t="shared" si="5"/>
        <v>0.10005927682276231</v>
      </c>
      <c r="M13" s="31">
        <v>2729.076</v>
      </c>
      <c r="N13" s="67">
        <f t="shared" si="6"/>
        <v>1</v>
      </c>
      <c r="O13" s="67">
        <f t="shared" si="7"/>
        <v>3.2335023696682463</v>
      </c>
      <c r="P13" s="31">
        <v>0</v>
      </c>
      <c r="Q13" s="67" t="e">
        <f t="shared" si="8"/>
        <v>#DIV/0!</v>
      </c>
      <c r="R13" s="33" t="str">
        <f t="shared" si="9"/>
        <v/>
      </c>
    </row>
    <row r="14" spans="1:22" x14ac:dyDescent="0.2">
      <c r="B14" s="3" t="str">
        <f>+'COLOMB$ '!B14</f>
        <v>POP Satelital</v>
      </c>
      <c r="C14" s="31">
        <v>0</v>
      </c>
      <c r="D14" s="67">
        <f t="shared" si="0"/>
        <v>0</v>
      </c>
      <c r="E14" s="31"/>
      <c r="F14" s="67">
        <f t="shared" si="1"/>
        <v>0</v>
      </c>
      <c r="G14" s="67" t="str">
        <f t="shared" si="2"/>
        <v/>
      </c>
      <c r="H14" s="31"/>
      <c r="I14" s="67" t="e">
        <f t="shared" si="3"/>
        <v>#DIV/0!</v>
      </c>
      <c r="J14" s="67" t="str">
        <f t="shared" si="4"/>
        <v/>
      </c>
      <c r="K14" s="31"/>
      <c r="L14" s="67">
        <f t="shared" si="5"/>
        <v>0</v>
      </c>
      <c r="M14" s="31">
        <v>0</v>
      </c>
      <c r="N14" s="67">
        <f t="shared" si="6"/>
        <v>0</v>
      </c>
      <c r="O14" s="67" t="str">
        <f t="shared" si="7"/>
        <v/>
      </c>
      <c r="P14" s="31">
        <f>+H14+T15</f>
        <v>0</v>
      </c>
      <c r="Q14" s="67" t="e">
        <f t="shared" si="8"/>
        <v>#DIV/0!</v>
      </c>
      <c r="R14" s="33" t="str">
        <f t="shared" si="9"/>
        <v/>
      </c>
    </row>
    <row r="15" spans="1:22" ht="15" customHeight="1" x14ac:dyDescent="0.2">
      <c r="B15" s="3" t="str">
        <f>+'COLOMB$ '!B15</f>
        <v>Voice Experience (Audicóm)</v>
      </c>
      <c r="C15" s="31">
        <v>0</v>
      </c>
      <c r="D15" s="67">
        <f t="shared" si="0"/>
        <v>0</v>
      </c>
      <c r="E15" s="31"/>
      <c r="F15" s="67">
        <f t="shared" si="1"/>
        <v>0</v>
      </c>
      <c r="G15" s="67" t="str">
        <f t="shared" si="2"/>
        <v/>
      </c>
      <c r="H15" s="31"/>
      <c r="I15" s="67" t="e">
        <f t="shared" si="3"/>
        <v>#DIV/0!</v>
      </c>
      <c r="J15" s="67" t="str">
        <f t="shared" si="4"/>
        <v/>
      </c>
      <c r="K15" s="31"/>
      <c r="L15" s="67">
        <f t="shared" si="5"/>
        <v>0</v>
      </c>
      <c r="M15" s="31">
        <v>0</v>
      </c>
      <c r="N15" s="67">
        <f t="shared" si="6"/>
        <v>0</v>
      </c>
      <c r="O15" s="67" t="str">
        <f t="shared" si="7"/>
        <v/>
      </c>
      <c r="P15" s="31"/>
      <c r="Q15" s="67" t="e">
        <f t="shared" si="8"/>
        <v>#DIV/0!</v>
      </c>
      <c r="R15" s="33" t="str">
        <f t="shared" si="9"/>
        <v/>
      </c>
    </row>
    <row r="16" spans="1:22" ht="15" customHeight="1" x14ac:dyDescent="0.2">
      <c r="B16" s="3" t="str">
        <f>+'COLOMB$ '!B16</f>
        <v>Fact. Servicio Satelital</v>
      </c>
      <c r="C16" s="31">
        <v>0</v>
      </c>
      <c r="D16" s="67">
        <f t="shared" si="0"/>
        <v>0</v>
      </c>
      <c r="E16" s="31"/>
      <c r="F16" s="67">
        <f t="shared" si="1"/>
        <v>0</v>
      </c>
      <c r="G16" s="67" t="str">
        <f t="shared" si="2"/>
        <v/>
      </c>
      <c r="H16" s="31"/>
      <c r="I16" s="67" t="e">
        <f t="shared" si="3"/>
        <v>#DIV/0!</v>
      </c>
      <c r="J16" s="67" t="str">
        <f t="shared" si="4"/>
        <v/>
      </c>
      <c r="K16" s="31"/>
      <c r="L16" s="67">
        <f t="shared" si="5"/>
        <v>0</v>
      </c>
      <c r="M16" s="31">
        <v>0</v>
      </c>
      <c r="N16" s="67">
        <f t="shared" si="6"/>
        <v>0</v>
      </c>
      <c r="O16" s="67" t="str">
        <f t="shared" si="7"/>
        <v/>
      </c>
      <c r="P16" s="31"/>
      <c r="Q16" s="67" t="e">
        <f t="shared" si="8"/>
        <v>#DIV/0!</v>
      </c>
      <c r="R16" s="33" t="str">
        <f t="shared" si="9"/>
        <v/>
      </c>
    </row>
    <row r="17" spans="2:21" ht="15" customHeight="1" x14ac:dyDescent="0.2">
      <c r="B17" s="3" t="str">
        <f>+'COLOMB$ '!B17</f>
        <v>Visual Experience</v>
      </c>
      <c r="C17" s="31">
        <v>0</v>
      </c>
      <c r="D17" s="67">
        <f t="shared" si="0"/>
        <v>0</v>
      </c>
      <c r="E17" s="31"/>
      <c r="F17" s="67">
        <f t="shared" si="1"/>
        <v>0</v>
      </c>
      <c r="G17" s="67" t="str">
        <f t="shared" si="2"/>
        <v/>
      </c>
      <c r="H17" s="31">
        <v>0</v>
      </c>
      <c r="I17" s="67"/>
      <c r="J17" s="67" t="str">
        <f t="shared" si="4"/>
        <v/>
      </c>
      <c r="K17" s="31"/>
      <c r="L17" s="67">
        <f t="shared" si="5"/>
        <v>0</v>
      </c>
      <c r="M17" s="31">
        <v>0</v>
      </c>
      <c r="N17" s="67">
        <f t="shared" si="6"/>
        <v>0</v>
      </c>
      <c r="O17" s="67" t="str">
        <f t="shared" si="7"/>
        <v/>
      </c>
      <c r="P17" s="31"/>
      <c r="Q17" s="67" t="e">
        <f t="shared" si="8"/>
        <v>#DIV/0!</v>
      </c>
      <c r="R17" s="33" t="str">
        <f t="shared" si="9"/>
        <v/>
      </c>
    </row>
    <row r="18" spans="2:21" x14ac:dyDescent="0.2">
      <c r="B18" s="3" t="str">
        <f>+'COLOMB$ '!B18</f>
        <v>Olfa Experience</v>
      </c>
      <c r="C18" s="31">
        <v>4217</v>
      </c>
      <c r="D18" s="67">
        <f t="shared" si="0"/>
        <v>0.89991463935125904</v>
      </c>
      <c r="E18" s="31"/>
      <c r="F18" s="67">
        <f t="shared" si="1"/>
        <v>0</v>
      </c>
      <c r="G18" s="67"/>
      <c r="H18" s="31"/>
      <c r="I18" s="67"/>
      <c r="J18" s="67" t="str">
        <f t="shared" si="4"/>
        <v/>
      </c>
      <c r="K18" s="31">
        <v>7591</v>
      </c>
      <c r="L18" s="67">
        <f t="shared" si="5"/>
        <v>0.89994072317723772</v>
      </c>
      <c r="M18" s="31">
        <v>2964.3649999999998</v>
      </c>
      <c r="N18" s="67">
        <f t="shared" si="6"/>
        <v>1.0862156275603903</v>
      </c>
      <c r="O18" s="67"/>
      <c r="P18" s="31"/>
      <c r="Q18" s="67"/>
      <c r="R18" s="33" t="str">
        <f t="shared" si="9"/>
        <v/>
      </c>
    </row>
    <row r="19" spans="2:21" x14ac:dyDescent="0.2">
      <c r="B19" s="3" t="str">
        <f>+'COLOMB$ '!B19</f>
        <v>Locutor virtual</v>
      </c>
      <c r="C19" s="31"/>
      <c r="D19" s="67"/>
      <c r="E19" s="31"/>
      <c r="F19" s="67">
        <f t="shared" si="1"/>
        <v>0</v>
      </c>
      <c r="G19" s="67"/>
      <c r="H19" s="31"/>
      <c r="I19" s="67"/>
      <c r="J19" s="67" t="str">
        <f t="shared" si="4"/>
        <v/>
      </c>
      <c r="K19" s="31"/>
      <c r="L19" s="67">
        <f t="shared" si="5"/>
        <v>0</v>
      </c>
      <c r="M19" s="31"/>
      <c r="N19" s="67">
        <f t="shared" si="6"/>
        <v>0</v>
      </c>
      <c r="O19" s="67"/>
      <c r="P19" s="31"/>
      <c r="Q19" s="67"/>
      <c r="R19" s="33" t="str">
        <f t="shared" si="9"/>
        <v/>
      </c>
    </row>
    <row r="20" spans="2:21" x14ac:dyDescent="0.2">
      <c r="B20" s="19" t="s">
        <v>39</v>
      </c>
      <c r="C20" s="68">
        <f>SUM(C10:C19)</f>
        <v>4686</v>
      </c>
      <c r="D20" s="71">
        <f>+C20/$C$20</f>
        <v>1</v>
      </c>
      <c r="E20" s="68">
        <f>SUM(E10:E17)</f>
        <v>378.15499999999997</v>
      </c>
      <c r="F20" s="71">
        <f t="shared" si="1"/>
        <v>1</v>
      </c>
      <c r="G20" s="71">
        <f>IF(C20=0,"",(E20-C20)/ABS(C20)+1)</f>
        <v>8.0698890311566296E-2</v>
      </c>
      <c r="H20" s="68">
        <f>SUM(H10:H19)</f>
        <v>0</v>
      </c>
      <c r="I20" s="71" t="e">
        <f>+H22/$H$22</f>
        <v>#DIV/0!</v>
      </c>
      <c r="J20" s="67" t="str">
        <f t="shared" si="4"/>
        <v/>
      </c>
      <c r="K20" s="68">
        <f>SUM(K10:K19)</f>
        <v>8435</v>
      </c>
      <c r="L20" s="71">
        <f t="shared" si="5"/>
        <v>1</v>
      </c>
      <c r="M20" s="68">
        <f>SUM(M10:M17)</f>
        <v>2729.076</v>
      </c>
      <c r="N20" s="67">
        <f t="shared" si="6"/>
        <v>1</v>
      </c>
      <c r="O20" s="71">
        <f>IF(K20=0,"",(M20-K20)/ABS(K20)+1)</f>
        <v>0.32354190871369293</v>
      </c>
      <c r="P20" s="68">
        <f>SUM(P10:P17)</f>
        <v>0</v>
      </c>
      <c r="Q20" s="71" t="e">
        <f>+P20/$P$20</f>
        <v>#DIV/0!</v>
      </c>
      <c r="R20" s="33" t="str">
        <f t="shared" si="9"/>
        <v/>
      </c>
    </row>
    <row r="21" spans="2:21" x14ac:dyDescent="0.2">
      <c r="J21" s="67" t="str">
        <f t="shared" si="4"/>
        <v/>
      </c>
      <c r="R21" s="33" t="str">
        <f t="shared" si="9"/>
        <v/>
      </c>
      <c r="S21" s="78"/>
      <c r="T21" s="80"/>
      <c r="U21" s="80"/>
    </row>
    <row r="22" spans="2:21" x14ac:dyDescent="0.2">
      <c r="B22" s="3" t="s">
        <v>41</v>
      </c>
      <c r="C22" s="31">
        <v>2882</v>
      </c>
      <c r="D22" s="67">
        <f>+C22/$C$20</f>
        <v>0.61502347417840375</v>
      </c>
      <c r="E22" s="31">
        <v>-218.97398999999999</v>
      </c>
      <c r="F22" s="67">
        <f>IF($E$20=0,0,E22/$E$20)</f>
        <v>-0.57905882508495199</v>
      </c>
      <c r="G22" s="67">
        <f>IF(C22=0,"",(E22-C22)/ABS(C22)+1)</f>
        <v>-7.5979871616932648E-2</v>
      </c>
      <c r="H22" s="31">
        <v>0</v>
      </c>
      <c r="I22" s="67" t="e">
        <f>+H22/$H$20</f>
        <v>#DIV/0!</v>
      </c>
      <c r="J22" s="67" t="str">
        <f t="shared" si="4"/>
        <v/>
      </c>
      <c r="K22" s="31">
        <v>5188</v>
      </c>
      <c r="L22" s="67">
        <f>+K22/$K$20</f>
        <v>0.61505631298162422</v>
      </c>
      <c r="M22" s="31">
        <v>1749.1265900000001</v>
      </c>
      <c r="N22" s="67">
        <f>IF($M$20=0,0,M22/$M$20)</f>
        <v>0.64092263828489937</v>
      </c>
      <c r="O22" s="67">
        <f>IF(K22=0,"",(M22-K22)/ABS(K22)+1)</f>
        <v>0.33714853315343096</v>
      </c>
      <c r="P22" s="62">
        <v>0</v>
      </c>
      <c r="Q22" s="67"/>
      <c r="R22" s="33" t="str">
        <f t="shared" si="9"/>
        <v/>
      </c>
    </row>
    <row r="23" spans="2:21" x14ac:dyDescent="0.2">
      <c r="J23" s="67" t="str">
        <f t="shared" si="4"/>
        <v/>
      </c>
      <c r="R23" s="33" t="str">
        <f t="shared" si="9"/>
        <v/>
      </c>
      <c r="T23" s="52"/>
      <c r="U23" s="52"/>
    </row>
    <row r="24" spans="2:21" x14ac:dyDescent="0.2">
      <c r="B24" s="3" t="s">
        <v>43</v>
      </c>
      <c r="C24" s="31">
        <f>+C20-C22</f>
        <v>1804</v>
      </c>
      <c r="D24" s="67">
        <f>+C24/$C$20</f>
        <v>0.38497652582159625</v>
      </c>
      <c r="E24" s="31">
        <f>+E20-E22</f>
        <v>597.12898999999993</v>
      </c>
      <c r="F24" s="67">
        <f>IF($E$20=0,0,E24/$E$20)</f>
        <v>1.5790588250849518</v>
      </c>
      <c r="G24" s="67">
        <f>IF(C24=0,"",(E24-C24)/ABS(C24)+1)</f>
        <v>0.33100276607538803</v>
      </c>
      <c r="H24" s="31">
        <f>+H20-H22</f>
        <v>0</v>
      </c>
      <c r="I24" s="67" t="e">
        <f>+H24/$H$20</f>
        <v>#DIV/0!</v>
      </c>
      <c r="J24" s="67" t="str">
        <f t="shared" si="4"/>
        <v/>
      </c>
      <c r="K24" s="31">
        <f>+K20-K22</f>
        <v>3247</v>
      </c>
      <c r="L24" s="67">
        <f>+K24/$K$20</f>
        <v>0.38494368701837584</v>
      </c>
      <c r="M24" s="31">
        <f>+M20-M22</f>
        <v>979.94940999999994</v>
      </c>
      <c r="N24" s="67">
        <f>IF($M$20=0,0,M24/$M$20)</f>
        <v>0.35907736171510063</v>
      </c>
      <c r="O24" s="67">
        <f>IF(K24=0,"",(M24-K24)/ABS(K24)+1)</f>
        <v>0.30180148136741614</v>
      </c>
      <c r="P24" s="31">
        <f>+P20-P22</f>
        <v>0</v>
      </c>
      <c r="Q24" s="67" t="e">
        <f>+P24/$P$20</f>
        <v>#DIV/0!</v>
      </c>
      <c r="R24" s="33" t="str">
        <f t="shared" si="9"/>
        <v/>
      </c>
    </row>
    <row r="25" spans="2:21" x14ac:dyDescent="0.2">
      <c r="J25" s="67" t="str">
        <f t="shared" si="4"/>
        <v/>
      </c>
      <c r="R25" s="33" t="str">
        <f t="shared" si="9"/>
        <v/>
      </c>
      <c r="T25" s="52"/>
      <c r="U25" s="52"/>
    </row>
    <row r="26" spans="2:21" x14ac:dyDescent="0.2">
      <c r="B26" s="3" t="s">
        <v>45</v>
      </c>
      <c r="C26" s="31">
        <v>15</v>
      </c>
      <c r="D26" s="67">
        <f>+C26/$C$20</f>
        <v>3.201024327784891E-3</v>
      </c>
      <c r="E26" s="31">
        <v>347.54199999999997</v>
      </c>
      <c r="F26" s="67">
        <f>IF($E$20=0,0,E26/$E$20)</f>
        <v>0.91904642276315263</v>
      </c>
      <c r="G26" s="67">
        <f>IF(C26=0,"",(E26-C26)/ABS(C26)+1)</f>
        <v>23.169466666666665</v>
      </c>
      <c r="H26" s="31">
        <v>289.49400000000003</v>
      </c>
      <c r="I26" s="67" t="e">
        <f>+H26/$H$20</f>
        <v>#DIV/0!</v>
      </c>
      <c r="J26" s="67">
        <f t="shared" si="4"/>
        <v>0.20051538201137137</v>
      </c>
      <c r="K26" s="31">
        <v>27</v>
      </c>
      <c r="L26" s="67">
        <f>+K26/$K$20</f>
        <v>3.2009484291641967E-3</v>
      </c>
      <c r="M26" s="31">
        <v>637.02635999999995</v>
      </c>
      <c r="N26" s="67">
        <f>IF($M$20=0,0,M26/$M$20)</f>
        <v>0.23342199337797845</v>
      </c>
      <c r="O26" s="67">
        <f>IF(K26=0,"",(M26-K26)/ABS(K26)+1)</f>
        <v>23.593568888888885</v>
      </c>
      <c r="P26" s="31">
        <v>585.17496999999992</v>
      </c>
      <c r="Q26" s="67" t="e">
        <f>+P26/$P$20</f>
        <v>#DIV/0!</v>
      </c>
      <c r="R26" s="33">
        <f t="shared" si="9"/>
        <v>8.860835247276562E-2</v>
      </c>
    </row>
    <row r="27" spans="2:21" x14ac:dyDescent="0.2">
      <c r="B27" s="3" t="s">
        <v>46</v>
      </c>
      <c r="C27" s="31">
        <v>0</v>
      </c>
      <c r="D27" s="67">
        <f>+C27/$C$20</f>
        <v>0</v>
      </c>
      <c r="E27" s="31">
        <v>0</v>
      </c>
      <c r="F27" s="67">
        <f>IF($E$20=0,0,E27/$E$20)</f>
        <v>0</v>
      </c>
      <c r="G27" s="67" t="str">
        <f>IF(C27=0,"",(E27-C27)/ABS(C27)+1)</f>
        <v/>
      </c>
      <c r="H27" s="31">
        <v>0</v>
      </c>
      <c r="I27" s="67" t="e">
        <f>+H27/$H$20</f>
        <v>#DIV/0!</v>
      </c>
      <c r="J27" s="67" t="str">
        <f t="shared" si="4"/>
        <v/>
      </c>
      <c r="K27" s="31">
        <v>0</v>
      </c>
      <c r="L27" s="67">
        <f>+K27/$K$20</f>
        <v>0</v>
      </c>
      <c r="M27" s="31">
        <v>0</v>
      </c>
      <c r="N27" s="67">
        <f>IF($M$20=0,0,M27/$M$20)</f>
        <v>0</v>
      </c>
      <c r="O27" s="67" t="str">
        <f>IF(K27=0,"",(M27-K27)/ABS(K27)+1)</f>
        <v/>
      </c>
      <c r="P27" s="31">
        <v>0</v>
      </c>
      <c r="Q27" s="67" t="e">
        <f>+P27/$P$20</f>
        <v>#DIV/0!</v>
      </c>
      <c r="R27" s="33" t="str">
        <f t="shared" si="9"/>
        <v/>
      </c>
      <c r="S27" s="52"/>
      <c r="T27" s="52"/>
      <c r="U27" s="52"/>
    </row>
    <row r="28" spans="2:21" x14ac:dyDescent="0.2">
      <c r="B28" s="3" t="s">
        <v>48</v>
      </c>
      <c r="C28" s="31">
        <f>SUM(C26:C27)</f>
        <v>15</v>
      </c>
      <c r="D28" s="67">
        <f>+C28/$C$20</f>
        <v>3.201024327784891E-3</v>
      </c>
      <c r="E28" s="31">
        <f>SUM(E26:E27)</f>
        <v>347.54199999999997</v>
      </c>
      <c r="F28" s="67">
        <f>IF($E$20=0,0,E28/$E$20)</f>
        <v>0.91904642276315263</v>
      </c>
      <c r="G28" s="67">
        <f>IF(C28=0,"",(E28-C28)/ABS(C28)+1)</f>
        <v>23.169466666666665</v>
      </c>
      <c r="H28" s="31">
        <f>SUM(H26:H27)</f>
        <v>289.49400000000003</v>
      </c>
      <c r="I28" s="67" t="e">
        <f>+H28/$H$20</f>
        <v>#DIV/0!</v>
      </c>
      <c r="J28" s="67">
        <f t="shared" si="4"/>
        <v>0.20051538201137137</v>
      </c>
      <c r="K28" s="31">
        <f>SUM(K26:K27)</f>
        <v>27</v>
      </c>
      <c r="L28" s="67">
        <f>+K28/$K$20</f>
        <v>3.2009484291641967E-3</v>
      </c>
      <c r="M28" s="31">
        <f>SUM(M26:M27)</f>
        <v>637.02635999999995</v>
      </c>
      <c r="N28" s="67">
        <f>IF($M$20=0,0,M28/$M$20)</f>
        <v>0.23342199337797845</v>
      </c>
      <c r="O28" s="67">
        <f>IF(K28=0,"",(M28-K28)/ABS(K28)+1)</f>
        <v>23.593568888888885</v>
      </c>
      <c r="P28" s="31">
        <f>SUM(P26:P27)</f>
        <v>585.17496999999992</v>
      </c>
      <c r="Q28" s="67" t="e">
        <f>+P28/$P$20</f>
        <v>#DIV/0!</v>
      </c>
      <c r="R28" s="33">
        <f t="shared" si="9"/>
        <v>8.860835247276562E-2</v>
      </c>
      <c r="S28" s="52"/>
      <c r="T28" s="52"/>
      <c r="U28" s="52"/>
    </row>
    <row r="29" spans="2:21" x14ac:dyDescent="0.2">
      <c r="J29" s="67" t="str">
        <f t="shared" si="4"/>
        <v/>
      </c>
      <c r="R29" s="33" t="str">
        <f t="shared" si="9"/>
        <v/>
      </c>
      <c r="S29" s="52"/>
      <c r="T29" s="52"/>
      <c r="U29" s="52"/>
    </row>
    <row r="30" spans="2:21" x14ac:dyDescent="0.2">
      <c r="B30" s="3" t="s">
        <v>50</v>
      </c>
      <c r="C30" s="31">
        <v>0</v>
      </c>
      <c r="D30" s="67">
        <f>+C30/$C$20</f>
        <v>0</v>
      </c>
      <c r="E30" s="31">
        <v>4.2030000000000003</v>
      </c>
      <c r="F30" s="67">
        <f>IF($E$20=0,0,E30/$E$20)</f>
        <v>1.1114490090042445E-2</v>
      </c>
      <c r="G30" s="67" t="str">
        <f>IF(C30=0,"",(E30-C30)/ABS(C30)+1)</f>
        <v/>
      </c>
      <c r="H30" s="31">
        <v>586.92499999999995</v>
      </c>
      <c r="I30" s="67"/>
      <c r="J30" s="67">
        <f t="shared" si="4"/>
        <v>-0.99283894875835932</v>
      </c>
      <c r="K30" s="31">
        <v>0</v>
      </c>
      <c r="L30" s="67">
        <f>+K30/$K$20</f>
        <v>0</v>
      </c>
      <c r="M30" s="31">
        <v>8.4074400000000011</v>
      </c>
      <c r="N30" s="67">
        <f>IF($M$20=0,0,M30/$M$20)</f>
        <v>3.0806910470796713E-3</v>
      </c>
      <c r="O30" s="67" t="str">
        <f>IF(K30=0,"",(M30-K30)/ABS(K30)+1)</f>
        <v/>
      </c>
      <c r="P30" s="31">
        <v>1173.8510000000001</v>
      </c>
      <c r="Q30" s="67" t="e">
        <f>+P30/$P$20</f>
        <v>#DIV/0!</v>
      </c>
      <c r="R30" s="33">
        <f t="shared" si="9"/>
        <v>-0.99283772812733473</v>
      </c>
    </row>
    <row r="31" spans="2:21" x14ac:dyDescent="0.2">
      <c r="B31" s="3" t="s">
        <v>52</v>
      </c>
      <c r="C31" s="31"/>
      <c r="D31" s="67"/>
      <c r="E31" s="31">
        <v>0</v>
      </c>
      <c r="F31" s="67">
        <f>IF($E$20=0,0,E31/$E$20)</f>
        <v>0</v>
      </c>
      <c r="G31" s="67" t="str">
        <f>IF(C31=0,"",(E31-C31)/ABS(C31)+1)</f>
        <v/>
      </c>
      <c r="H31" s="31">
        <v>0</v>
      </c>
      <c r="I31" s="67"/>
      <c r="J31" s="67" t="str">
        <f>IF(H31&lt;=0,"",(E31-H31)/ABS(H31))</f>
        <v/>
      </c>
      <c r="K31" s="31">
        <v>0</v>
      </c>
      <c r="L31" s="67">
        <f>+K31/$K$20</f>
        <v>0</v>
      </c>
      <c r="M31" s="31">
        <v>0</v>
      </c>
      <c r="N31" s="67">
        <f>IF($M$20=0,0,M31/$M$20)</f>
        <v>0</v>
      </c>
      <c r="O31" s="67" t="str">
        <f>IF(K31=0,"",(M31-K31)/ABS(K31)+1)</f>
        <v/>
      </c>
      <c r="P31" s="31">
        <v>0</v>
      </c>
      <c r="Q31" s="67" t="e">
        <f>+P39/$P$20</f>
        <v>#DIV/0!</v>
      </c>
      <c r="R31" s="33" t="str">
        <f>IF(P31&lt;=0,"",(M31-P31)/ABS(P31))</f>
        <v/>
      </c>
      <c r="S31" s="52"/>
      <c r="T31" s="52"/>
      <c r="U31" s="52"/>
    </row>
    <row r="32" spans="2:21" x14ac:dyDescent="0.2">
      <c r="B32" s="3" t="s">
        <v>53</v>
      </c>
      <c r="C32" s="31">
        <f>SUM(C30:C31)</f>
        <v>0</v>
      </c>
      <c r="D32" s="67">
        <f>+C32/$C$20</f>
        <v>0</v>
      </c>
      <c r="E32" s="31">
        <f>SUM(E30:E31)</f>
        <v>4.2030000000000003</v>
      </c>
      <c r="F32" s="67">
        <f>IF($E$20=0,0,E32/$E$20)</f>
        <v>1.1114490090042445E-2</v>
      </c>
      <c r="G32" s="67" t="str">
        <f>IF(C32=0,"",(E32-C32)/ABS(C32)+1)</f>
        <v/>
      </c>
      <c r="H32" s="31">
        <f>SUM(H30:H31)</f>
        <v>586.92499999999995</v>
      </c>
      <c r="I32" s="67" t="e">
        <f>+H32/$H$20</f>
        <v>#DIV/0!</v>
      </c>
      <c r="J32" s="67">
        <f>IF(H32&lt;=0,"",(E32-H32)/ABS(H32))</f>
        <v>-0.99283894875835932</v>
      </c>
      <c r="K32" s="31">
        <f>SUM(K30:K31)</f>
        <v>0</v>
      </c>
      <c r="L32" s="67">
        <f>+K32/$K$20</f>
        <v>0</v>
      </c>
      <c r="M32" s="31">
        <f>SUM(M30:M31)</f>
        <v>8.4074400000000011</v>
      </c>
      <c r="N32" s="67">
        <f>IF($M$20=0,0,M32/$M$20)</f>
        <v>3.0806910470796713E-3</v>
      </c>
      <c r="O32" s="67" t="str">
        <f>IF(K32=0,"",(M32-K32)/ABS(K32)+1)</f>
        <v/>
      </c>
      <c r="P32" s="31">
        <f>+P30+P31</f>
        <v>1173.8510000000001</v>
      </c>
      <c r="Q32" s="67" t="e">
        <f>+P32/$P$20</f>
        <v>#DIV/0!</v>
      </c>
      <c r="R32" s="33">
        <f>IF(P32&lt;=0,"",(M32-P32)/ABS(P32))</f>
        <v>-0.99283772812733473</v>
      </c>
    </row>
    <row r="33" spans="1:21" x14ac:dyDescent="0.2">
      <c r="S33" s="52"/>
      <c r="T33" s="52"/>
      <c r="U33" s="52"/>
    </row>
    <row r="34" spans="1:21" x14ac:dyDescent="0.2">
      <c r="B34" s="3" t="s">
        <v>54</v>
      </c>
      <c r="C34" s="31">
        <f>C28+C32</f>
        <v>15</v>
      </c>
      <c r="D34" s="67">
        <f>+C34/$C$20</f>
        <v>3.201024327784891E-3</v>
      </c>
      <c r="E34" s="31">
        <f>E28+E32</f>
        <v>351.74499999999995</v>
      </c>
      <c r="F34" s="67">
        <f>IF($E$20=0,0,E34/$E$20)</f>
        <v>0.93016091285319502</v>
      </c>
      <c r="G34" s="67">
        <f>IF(C34=0,"",(E34-C34)/ABS(C34)+1)</f>
        <v>23.449666666666662</v>
      </c>
      <c r="H34" s="31">
        <f>+H32+H28</f>
        <v>876.41899999999998</v>
      </c>
      <c r="I34" s="67" t="e">
        <f>+H34/$H$20</f>
        <v>#DIV/0!</v>
      </c>
      <c r="J34" s="67">
        <f>IF(H34&lt;=0,"",(E34-H34)/ABS(H34))</f>
        <v>-0.59865657864560218</v>
      </c>
      <c r="K34" s="31">
        <f>K28+K32</f>
        <v>27</v>
      </c>
      <c r="L34" s="67">
        <f>+K34/$K$20</f>
        <v>3.2009484291641967E-3</v>
      </c>
      <c r="M34" s="31">
        <f>M28+M32</f>
        <v>645.43379999999991</v>
      </c>
      <c r="N34" s="67">
        <f>IF($M$20=0,0,M34/$M$20)</f>
        <v>0.23650268442505812</v>
      </c>
      <c r="O34" s="67">
        <f>IF(K34=0,"",(M34-K34)/ABS(K34)+1)</f>
        <v>23.904955555555553</v>
      </c>
      <c r="P34" s="31">
        <f>P28+P32</f>
        <v>1759.0259700000001</v>
      </c>
      <c r="Q34" s="67" t="e">
        <f>+P34/$P$20</f>
        <v>#DIV/0!</v>
      </c>
      <c r="R34" s="33">
        <f>IF(P34&lt;=0,"",(M34-P34)/ABS(P34))</f>
        <v>-0.63307318310940019</v>
      </c>
      <c r="S34" s="52"/>
      <c r="T34" s="52"/>
      <c r="U34" s="52"/>
    </row>
    <row r="35" spans="1:21" x14ac:dyDescent="0.2">
      <c r="J35" s="67" t="str">
        <f t="shared" si="4"/>
        <v/>
      </c>
      <c r="R35" s="33" t="str">
        <f t="shared" si="9"/>
        <v/>
      </c>
      <c r="S35" s="52"/>
      <c r="T35" s="52"/>
      <c r="U35" s="52"/>
    </row>
    <row r="36" spans="1:21" x14ac:dyDescent="0.2">
      <c r="B36" s="19" t="s">
        <v>55</v>
      </c>
      <c r="C36" s="68">
        <f>C24-C34</f>
        <v>1789</v>
      </c>
      <c r="D36" s="71">
        <f>+C36/$C$20</f>
        <v>0.38177550149381134</v>
      </c>
      <c r="E36" s="68">
        <f>E24-E34</f>
        <v>245.38398999999998</v>
      </c>
      <c r="F36" s="71">
        <f>IF($E$20=0,0,E36/$E$20)</f>
        <v>0.64889791223175686</v>
      </c>
      <c r="G36" s="71">
        <f>IF(C36=0,"",(E36-C36)/ABS(C36)+1)</f>
        <v>0.13716265511458914</v>
      </c>
      <c r="H36" s="68">
        <f>+H24-H34</f>
        <v>-876.41899999999998</v>
      </c>
      <c r="I36" s="71" t="e">
        <f>+H36/$H$20</f>
        <v>#DIV/0!</v>
      </c>
      <c r="J36" s="71" t="str">
        <f t="shared" si="4"/>
        <v/>
      </c>
      <c r="K36" s="68">
        <f>K24-K34</f>
        <v>3220</v>
      </c>
      <c r="L36" s="71">
        <f>+K36/$K$20</f>
        <v>0.38174273858921159</v>
      </c>
      <c r="M36" s="68">
        <f>M24-M34</f>
        <v>334.51561000000004</v>
      </c>
      <c r="N36" s="71">
        <f>IF($M$20=0,0,M36/$M$20)</f>
        <v>0.1225746772900425</v>
      </c>
      <c r="O36" s="71">
        <f>IF(K36=0,"",(M36-K36)/ABS(K36)+1)</f>
        <v>0.10388683540372667</v>
      </c>
      <c r="P36" s="68">
        <f>P24-P34</f>
        <v>-1759.0259700000001</v>
      </c>
      <c r="Q36" s="71" t="e">
        <f>+P36/$P$20</f>
        <v>#DIV/0!</v>
      </c>
      <c r="R36" s="44" t="str">
        <f t="shared" si="9"/>
        <v/>
      </c>
    </row>
    <row r="37" spans="1:21" x14ac:dyDescent="0.2">
      <c r="A37" s="79"/>
      <c r="J37" s="67" t="str">
        <f t="shared" si="4"/>
        <v/>
      </c>
      <c r="R37" s="33" t="str">
        <f t="shared" si="9"/>
        <v/>
      </c>
      <c r="S37" s="52"/>
      <c r="T37" s="52"/>
      <c r="U37" s="52"/>
    </row>
    <row r="38" spans="1:21" x14ac:dyDescent="0.2">
      <c r="B38" s="3" t="s">
        <v>56</v>
      </c>
      <c r="C38" s="31"/>
      <c r="D38" s="67">
        <f>+C38/$C$20</f>
        <v>0</v>
      </c>
      <c r="E38" s="31">
        <v>0</v>
      </c>
      <c r="F38" s="67">
        <f>IF($E$20=0,0,E38/$E$20)</f>
        <v>0</v>
      </c>
      <c r="G38" s="67" t="str">
        <f>IF(C38=0,"",(E38-C38)/ABS(C38)+1)</f>
        <v/>
      </c>
      <c r="H38" s="31">
        <v>0</v>
      </c>
      <c r="I38" s="67" t="e">
        <f>+H38/$H$20</f>
        <v>#DIV/0!</v>
      </c>
      <c r="J38" s="67" t="str">
        <f t="shared" si="4"/>
        <v/>
      </c>
      <c r="K38" s="31"/>
      <c r="L38" s="67">
        <f>+K38/$K$20</f>
        <v>0</v>
      </c>
      <c r="M38" s="31">
        <v>0</v>
      </c>
      <c r="N38" s="67">
        <f>IF($M$20=0,0,M38/$M$20)</f>
        <v>0</v>
      </c>
      <c r="O38" s="67" t="str">
        <f>IF(K38=0,"",(M38-K38)/ABS(K38)+1)</f>
        <v/>
      </c>
      <c r="P38" s="31">
        <v>0</v>
      </c>
      <c r="Q38" s="67" t="e">
        <f>+P38/$P$20</f>
        <v>#DIV/0!</v>
      </c>
      <c r="R38" s="33" t="str">
        <f t="shared" si="9"/>
        <v/>
      </c>
    </row>
    <row r="39" spans="1:21" x14ac:dyDescent="0.2">
      <c r="B39" s="3" t="s">
        <v>57</v>
      </c>
      <c r="C39" s="31"/>
      <c r="D39" s="67"/>
      <c r="E39" s="31">
        <v>606.851</v>
      </c>
      <c r="F39" s="67">
        <f>IF($E$20=0,0,E39/$E$20)</f>
        <v>1.6047678861842367</v>
      </c>
      <c r="G39" s="67" t="str">
        <f>IF(C39=0,"",(E39-C39)/ABS(C39)+1)</f>
        <v/>
      </c>
      <c r="H39" s="31">
        <v>2359.3009999999999</v>
      </c>
      <c r="I39" s="67"/>
      <c r="J39" s="67">
        <f t="shared" si="4"/>
        <v>-0.74278356174138016</v>
      </c>
      <c r="K39" s="31">
        <v>0</v>
      </c>
      <c r="L39" s="67">
        <f>+K39/$K$20</f>
        <v>0</v>
      </c>
      <c r="M39" s="31">
        <v>2443.498</v>
      </c>
      <c r="N39" s="67">
        <f>IF($M$20=0,0,M39/$M$20)</f>
        <v>0.89535725644870279</v>
      </c>
      <c r="O39" s="67" t="str">
        <f>IF(K39=0,"",(M39-K39)/ABS(K39)+1)</f>
        <v/>
      </c>
      <c r="P39" s="31">
        <v>5006.9880000000003</v>
      </c>
      <c r="Q39" s="67" t="e">
        <f>+P39/$P$20</f>
        <v>#DIV/0!</v>
      </c>
      <c r="R39" s="33">
        <f t="shared" si="9"/>
        <v>-0.51198245332323544</v>
      </c>
      <c r="S39" s="52"/>
      <c r="T39" s="52"/>
      <c r="U39" s="52"/>
    </row>
    <row r="40" spans="1:21" x14ac:dyDescent="0.2">
      <c r="J40" s="67" t="str">
        <f t="shared" si="4"/>
        <v/>
      </c>
      <c r="R40" s="33" t="str">
        <f t="shared" si="9"/>
        <v/>
      </c>
      <c r="S40" s="52"/>
      <c r="T40" s="52"/>
      <c r="U40" s="52"/>
    </row>
    <row r="41" spans="1:21" x14ac:dyDescent="0.2">
      <c r="B41" s="3" t="s">
        <v>58</v>
      </c>
      <c r="C41" s="31">
        <f>+C36-C39</f>
        <v>1789</v>
      </c>
      <c r="D41" s="67">
        <f>+C41/$C$20</f>
        <v>0.38177550149381134</v>
      </c>
      <c r="E41" s="31">
        <f>+E36-E39</f>
        <v>-361.46701000000002</v>
      </c>
      <c r="F41" s="67">
        <f>IF($E$20=0,0,E41/$E$20)</f>
        <v>-0.95586997395247997</v>
      </c>
      <c r="G41" s="67">
        <f>IF(C41=0,"",(E41-C41)/ABS(C41)+1)</f>
        <v>-0.20204975405254322</v>
      </c>
      <c r="H41" s="31">
        <f>+H36+H38-H39</f>
        <v>-3235.72</v>
      </c>
      <c r="I41" s="67" t="e">
        <f>+H41/$H$20</f>
        <v>#DIV/0!</v>
      </c>
      <c r="J41" s="67" t="str">
        <f t="shared" si="4"/>
        <v/>
      </c>
      <c r="K41" s="31">
        <f>K36+K38-K39</f>
        <v>3220</v>
      </c>
      <c r="L41" s="67">
        <f>+K41/$K$20</f>
        <v>0.38174273858921159</v>
      </c>
      <c r="M41" s="31">
        <f>M36+M38-M39</f>
        <v>-2108.9823900000001</v>
      </c>
      <c r="N41" s="67">
        <f>IF($M$20=0,0,M41/$M$20)</f>
        <v>-0.77278257915866033</v>
      </c>
      <c r="O41" s="67">
        <f>IF(K41=0,"",(M41-K41)/ABS(K41)+1)</f>
        <v>-0.65496347515527953</v>
      </c>
      <c r="P41" s="31">
        <f>+P36-P39</f>
        <v>-6766.01397</v>
      </c>
      <c r="Q41" s="67" t="e">
        <f>+P41/$P$20</f>
        <v>#DIV/0!</v>
      </c>
      <c r="R41" s="33" t="str">
        <f t="shared" si="9"/>
        <v/>
      </c>
    </row>
    <row r="42" spans="1:21" x14ac:dyDescent="0.2">
      <c r="B42" s="3" t="s">
        <v>44</v>
      </c>
      <c r="C42" s="31">
        <v>669</v>
      </c>
      <c r="D42" s="67">
        <f>+C42/$C$20</f>
        <v>0.14276568501920614</v>
      </c>
      <c r="E42" s="31"/>
      <c r="F42" s="67">
        <f>IF($E$20=0,0,E42/$E$20)</f>
        <v>0</v>
      </c>
      <c r="G42" s="67">
        <f>IF(C42=0,"",(E42-C42)/ABS(C42)+1)</f>
        <v>0</v>
      </c>
      <c r="H42" s="31"/>
      <c r="I42" s="67" t="e">
        <f>+I41*33%</f>
        <v>#DIV/0!</v>
      </c>
      <c r="J42" s="67" t="str">
        <f t="shared" si="4"/>
        <v/>
      </c>
      <c r="K42" s="31">
        <v>1204</v>
      </c>
      <c r="L42" s="67">
        <f>+K42/$K$20</f>
        <v>0.14273858921161825</v>
      </c>
      <c r="M42" s="31">
        <f>+U43+E42</f>
        <v>0</v>
      </c>
      <c r="N42" s="67">
        <f>IF($M$20=0,0,M42/$M$20)</f>
        <v>0</v>
      </c>
      <c r="O42" s="67">
        <f>IF(K42=0,"",(M42-K42)/ABS(K42)+1)</f>
        <v>0</v>
      </c>
      <c r="P42" s="31">
        <v>0</v>
      </c>
      <c r="Q42" s="67" t="e">
        <f>+P42/$P$20</f>
        <v>#DIV/0!</v>
      </c>
      <c r="R42" s="33" t="str">
        <f t="shared" si="9"/>
        <v/>
      </c>
      <c r="S42" s="52"/>
      <c r="T42" s="52"/>
      <c r="U42" s="52"/>
    </row>
    <row r="43" spans="1:21" x14ac:dyDescent="0.2">
      <c r="B43" s="19" t="s">
        <v>59</v>
      </c>
      <c r="C43" s="68">
        <f>+C41</f>
        <v>1789</v>
      </c>
      <c r="D43" s="71">
        <f>+C43/$C$20</f>
        <v>0.38177550149381134</v>
      </c>
      <c r="E43" s="68">
        <f>E41-E42</f>
        <v>-361.46701000000002</v>
      </c>
      <c r="F43" s="71">
        <f>IF($E$20=0,0,E43/$E$20)</f>
        <v>-0.95586997395247997</v>
      </c>
      <c r="G43" s="71">
        <f>IF(C43=0,"",(E43-C43)/ABS(C43)+1)</f>
        <v>-0.20204975405254322</v>
      </c>
      <c r="H43" s="68">
        <f>+H41-H42</f>
        <v>-3235.72</v>
      </c>
      <c r="I43" s="71" t="e">
        <f>+H43/$H$20</f>
        <v>#DIV/0!</v>
      </c>
      <c r="J43" s="67" t="str">
        <f t="shared" si="4"/>
        <v/>
      </c>
      <c r="K43" s="68">
        <f>K41-K42</f>
        <v>2016</v>
      </c>
      <c r="L43" s="71">
        <f>+K43/$K$20</f>
        <v>0.23900414937759337</v>
      </c>
      <c r="M43" s="68">
        <f>+M41-M42</f>
        <v>-2108.9823900000001</v>
      </c>
      <c r="N43" s="71">
        <f>IF($M$20=0,0,M43/$M$20)</f>
        <v>-0.77278257915866033</v>
      </c>
      <c r="O43" s="71">
        <f>IF(K43=0,"",(M43-K43)/ABS(K43)+1)</f>
        <v>-1.0461222172619049</v>
      </c>
      <c r="P43" s="68">
        <f>P41-P42</f>
        <v>-6766.01397</v>
      </c>
      <c r="Q43" s="71" t="e">
        <f>+P43/$P$20</f>
        <v>#DIV/0!</v>
      </c>
      <c r="R43" s="33" t="str">
        <f t="shared" si="9"/>
        <v/>
      </c>
      <c r="S43" s="52"/>
      <c r="T43" s="52"/>
      <c r="U43" s="52"/>
    </row>
    <row r="44" spans="1:21" x14ac:dyDescent="0.2">
      <c r="J44" s="67" t="str">
        <f t="shared" si="4"/>
        <v/>
      </c>
      <c r="R44" s="33" t="str">
        <f t="shared" si="9"/>
        <v/>
      </c>
      <c r="S44" s="52"/>
      <c r="T44" s="52"/>
      <c r="U44" s="52"/>
    </row>
    <row r="45" spans="1:21" x14ac:dyDescent="0.2">
      <c r="B45" s="3" t="s">
        <v>60</v>
      </c>
      <c r="C45" s="31">
        <v>1789</v>
      </c>
      <c r="D45" s="67">
        <f>+C45/$C$20</f>
        <v>0.38177550149381134</v>
      </c>
      <c r="E45" s="31">
        <v>539.08098999999993</v>
      </c>
      <c r="F45" s="67">
        <f>IF($E$20=0,0,E45/$E$20)</f>
        <v>1.4255556319498617</v>
      </c>
      <c r="G45" s="67">
        <f>IF(C45=0,"",(E45-C45)/ABS(C45)+1)</f>
        <v>0.30133090553381769</v>
      </c>
      <c r="H45" s="31">
        <v>-2359.3009999999999</v>
      </c>
      <c r="I45" s="67" t="e">
        <f>+H45/$H$20</f>
        <v>#DIV/0!</v>
      </c>
      <c r="J45" s="67" t="str">
        <f t="shared" si="4"/>
        <v/>
      </c>
      <c r="K45" s="31">
        <v>3220</v>
      </c>
      <c r="L45" s="67">
        <f>+K45/$K$20</f>
        <v>0.38174273858921159</v>
      </c>
      <c r="M45" s="31">
        <v>921.90141000000006</v>
      </c>
      <c r="N45" s="67">
        <f>IF($M$20=0,0,M45/$M$20)</f>
        <v>0.33780715890653101</v>
      </c>
      <c r="O45" s="67">
        <f>IF(K45=0,"",(M45-K45)/ABS(K45)+1)</f>
        <v>0.28630478571428575</v>
      </c>
      <c r="P45" s="31">
        <v>0</v>
      </c>
      <c r="Q45" s="67" t="e">
        <f>+P45/$P$20</f>
        <v>#DIV/0!</v>
      </c>
      <c r="R45" s="33" t="str">
        <f t="shared" si="9"/>
        <v/>
      </c>
    </row>
    <row r="46" spans="1:21" x14ac:dyDescent="0.2">
      <c r="B46" s="3" t="s">
        <v>35</v>
      </c>
      <c r="C46" s="31">
        <v>0</v>
      </c>
      <c r="D46" s="67">
        <f>+C46/$C$20</f>
        <v>0</v>
      </c>
      <c r="E46" s="31">
        <v>0</v>
      </c>
      <c r="F46" s="67">
        <f>IF($E$20=0,0,E46/$E$20)</f>
        <v>0</v>
      </c>
      <c r="G46" s="67" t="str">
        <f>IF(C46=0,"",(E46-C46)/ABS(C46)+1)</f>
        <v/>
      </c>
      <c r="H46" s="31">
        <v>0</v>
      </c>
      <c r="I46" s="67" t="e">
        <f>+H46/$H$20</f>
        <v>#DIV/0!</v>
      </c>
      <c r="J46" s="67" t="str">
        <f t="shared" si="4"/>
        <v/>
      </c>
      <c r="K46" s="31">
        <v>0</v>
      </c>
      <c r="L46" s="67">
        <f>+K46/$K$20</f>
        <v>0</v>
      </c>
      <c r="M46" s="31">
        <v>0</v>
      </c>
      <c r="N46" s="67">
        <f>IF($M$20=0,0,M46/$M$20)</f>
        <v>0</v>
      </c>
      <c r="O46" s="67" t="str">
        <f>IF(K46=0,"",(M46-K46)/ABS(K46)+1)</f>
        <v/>
      </c>
      <c r="P46" s="31">
        <v>0</v>
      </c>
      <c r="Q46" s="31" t="e">
        <f>+P46/$P$20</f>
        <v>#DIV/0!</v>
      </c>
      <c r="R46" s="33" t="str">
        <f>IF(P46=0,"",(M46-P46)/ABS(P46))</f>
        <v/>
      </c>
      <c r="S46" s="52"/>
      <c r="T46" s="52"/>
      <c r="U46" s="52"/>
    </row>
    <row r="48" spans="1:21" x14ac:dyDescent="0.2">
      <c r="M48" s="54" t="s">
        <v>61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37564-ECAA-45FC-A741-BB611096A0CE}">
  <sheetPr>
    <tabColor theme="2" tint="-9.9978637043366805E-2"/>
  </sheetPr>
  <dimension ref="A3:AJ48"/>
  <sheetViews>
    <sheetView showGridLines="0" topLeftCell="X1" zoomScale="91" zoomScaleNormal="91" workbookViewId="0">
      <selection activeCell="AK10" sqref="AK10"/>
    </sheetView>
  </sheetViews>
  <sheetFormatPr baseColWidth="10" defaultRowHeight="12.75" x14ac:dyDescent="0.2"/>
  <cols>
    <col min="1" max="1" width="4.5703125" style="12" customWidth="1"/>
    <col min="2" max="2" width="29.28515625" style="12" customWidth="1"/>
    <col min="3" max="3" width="14.42578125" style="12" customWidth="1"/>
    <col min="4" max="4" width="8" style="12" customWidth="1"/>
    <col min="5" max="5" width="10.28515625" style="12" bestFit="1" customWidth="1"/>
    <col min="6" max="6" width="6.28515625" style="12" bestFit="1" customWidth="1"/>
    <col min="7" max="7" width="6.5703125" style="12" bestFit="1" customWidth="1"/>
    <col min="8" max="8" width="11.28515625" style="12" customWidth="1"/>
    <col min="9" max="9" width="6.42578125" style="12" customWidth="1"/>
    <col min="10" max="10" width="8.140625" style="12" customWidth="1"/>
    <col min="11" max="11" width="13.28515625" style="12" customWidth="1"/>
    <col min="12" max="12" width="6.7109375" style="12" customWidth="1"/>
    <col min="13" max="15" width="10.140625" style="12" customWidth="1"/>
    <col min="16" max="16" width="11.5703125" style="12" customWidth="1"/>
    <col min="17" max="17" width="8.5703125" style="12" customWidth="1"/>
    <col min="18" max="18" width="9.42578125" style="12" customWidth="1"/>
    <col min="19" max="19" width="8.42578125" style="12" customWidth="1"/>
    <col min="20" max="21" width="11.42578125" style="12" hidden="1" customWidth="1"/>
    <col min="22" max="22" width="25.5703125" style="12" customWidth="1"/>
    <col min="23" max="24" width="11.42578125" style="12"/>
    <col min="25" max="25" width="12.5703125" style="12" customWidth="1"/>
    <col min="26" max="27" width="11.42578125" style="12"/>
    <col min="28" max="28" width="12.42578125" style="12" customWidth="1"/>
    <col min="29" max="29" width="8.42578125" style="12" customWidth="1"/>
    <col min="30" max="30" width="10.28515625" style="12" bestFit="1" customWidth="1"/>
    <col min="31" max="31" width="9.140625" style="12" customWidth="1"/>
    <col min="32" max="32" width="11.42578125" style="12"/>
    <col min="33" max="33" width="27" style="12" customWidth="1"/>
    <col min="34" max="34" width="11.5703125" style="12" customWidth="1"/>
    <col min="35" max="16384" width="11.42578125" style="12"/>
  </cols>
  <sheetData>
    <row r="3" spans="1:36" s="9" customFormat="1" ht="18" x14ac:dyDescent="0.25">
      <c r="B3" s="15" t="s">
        <v>88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81"/>
      <c r="V3" s="12" t="str">
        <f>+B3</f>
        <v>MUSICAR  COLOMBIA</v>
      </c>
    </row>
    <row r="4" spans="1:36" ht="17.25" customHeight="1" x14ac:dyDescent="0.2">
      <c r="A4" s="9"/>
      <c r="B4" s="18" t="s">
        <v>89</v>
      </c>
      <c r="V4" s="18" t="str">
        <f>+'COLOMB$ '!T4</f>
        <v xml:space="preserve">Flujo de Caja </v>
      </c>
      <c r="Z4" s="14"/>
      <c r="AA4" s="14"/>
    </row>
    <row r="5" spans="1:36" x14ac:dyDescent="0.2">
      <c r="B5" s="18" t="s">
        <v>90</v>
      </c>
      <c r="V5" s="18" t="s">
        <v>90</v>
      </c>
      <c r="AI5" s="82">
        <f>+Paramet!G3-Paramet!G4</f>
        <v>-874.58000000000038</v>
      </c>
      <c r="AJ5" s="83">
        <f>+AI5/Paramet!G4</f>
        <v>-0.18189570187224172</v>
      </c>
    </row>
    <row r="6" spans="1:36" ht="13.5" thickBot="1" x14ac:dyDescent="0.25">
      <c r="B6" s="41" t="str">
        <f>+'COLOMB$ '!B6</f>
        <v>FEBRERO de 2024</v>
      </c>
      <c r="C6" s="84"/>
      <c r="K6" s="85" t="s">
        <v>23</v>
      </c>
      <c r="L6" s="85"/>
      <c r="M6" s="85"/>
      <c r="N6" s="85"/>
      <c r="O6" s="85"/>
      <c r="P6" s="85"/>
      <c r="Q6" s="85"/>
      <c r="R6" s="85"/>
      <c r="V6" s="41" t="str">
        <f>+B6</f>
        <v>FEBRERO de 2024</v>
      </c>
      <c r="Z6" s="20" t="s">
        <v>23</v>
      </c>
      <c r="AA6" s="20"/>
      <c r="AB6" s="20"/>
      <c r="AC6" s="20"/>
      <c r="AD6" s="20"/>
      <c r="AE6" s="20"/>
    </row>
    <row r="7" spans="1:36" ht="15.75" customHeight="1" x14ac:dyDescent="0.2">
      <c r="C7" s="21" t="str">
        <f>+'COLOMB$ '!D7:D7</f>
        <v>Ppto 2024</v>
      </c>
      <c r="D7" s="21"/>
      <c r="E7" s="21" t="str">
        <f>+'COLOMB$ '!F7:F7</f>
        <v>Real 2024</v>
      </c>
      <c r="F7" s="21"/>
      <c r="G7" s="21" t="s">
        <v>24</v>
      </c>
      <c r="H7" s="21" t="str">
        <f>+'COLOMB$ '!I7:I7</f>
        <v>Real 2023</v>
      </c>
      <c r="I7" s="21"/>
      <c r="J7" s="21" t="s">
        <v>25</v>
      </c>
      <c r="K7" s="21" t="str">
        <f>+C7</f>
        <v>Ppto 2024</v>
      </c>
      <c r="L7" s="21"/>
      <c r="M7" s="21" t="str">
        <f>+E7</f>
        <v>Real 2024</v>
      </c>
      <c r="N7" s="21"/>
      <c r="O7" s="21" t="s">
        <v>24</v>
      </c>
      <c r="P7" s="21" t="str">
        <f>+H7</f>
        <v>Real 2023</v>
      </c>
      <c r="Q7" s="21"/>
      <c r="R7" s="21" t="s">
        <v>25</v>
      </c>
      <c r="T7" s="9"/>
      <c r="W7" s="14" t="str">
        <f>+C7</f>
        <v>Ppto 2024</v>
      </c>
      <c r="X7" s="14" t="str">
        <f>+M7</f>
        <v>Real 2024</v>
      </c>
      <c r="Y7" s="14" t="str">
        <f>+H7</f>
        <v>Real 2023</v>
      </c>
      <c r="Z7" s="14" t="str">
        <f>+W7</f>
        <v>Ppto 2024</v>
      </c>
      <c r="AA7" s="14" t="str">
        <f>+X7</f>
        <v>Real 2024</v>
      </c>
      <c r="AB7" s="14" t="s">
        <v>26</v>
      </c>
      <c r="AC7" s="14" t="s">
        <v>24</v>
      </c>
      <c r="AD7" s="14" t="str">
        <f>+Y7</f>
        <v>Real 2023</v>
      </c>
      <c r="AE7" s="14" t="s">
        <v>25</v>
      </c>
      <c r="AI7" s="12" t="s">
        <v>91</v>
      </c>
    </row>
    <row r="8" spans="1:36" ht="13.5" thickBot="1" x14ac:dyDescent="0.25">
      <c r="B8" s="86" t="s">
        <v>27</v>
      </c>
      <c r="C8" s="87" t="s">
        <v>28</v>
      </c>
      <c r="D8" s="87" t="s">
        <v>29</v>
      </c>
      <c r="E8" s="87" t="s">
        <v>28</v>
      </c>
      <c r="F8" s="87" t="s">
        <v>29</v>
      </c>
      <c r="G8" s="87" t="s">
        <v>30</v>
      </c>
      <c r="H8" s="87" t="s">
        <v>28</v>
      </c>
      <c r="I8" s="87" t="s">
        <v>29</v>
      </c>
      <c r="J8" s="87" t="s">
        <v>30</v>
      </c>
      <c r="K8" s="87" t="s">
        <v>28</v>
      </c>
      <c r="L8" s="87" t="s">
        <v>29</v>
      </c>
      <c r="M8" s="87" t="s">
        <v>28</v>
      </c>
      <c r="N8" s="87" t="s">
        <v>29</v>
      </c>
      <c r="O8" s="87" t="s">
        <v>30</v>
      </c>
      <c r="P8" s="87" t="s">
        <v>28</v>
      </c>
      <c r="Q8" s="87" t="s">
        <v>29</v>
      </c>
      <c r="R8" s="87" t="s">
        <v>30</v>
      </c>
      <c r="T8" s="16" t="s">
        <v>92</v>
      </c>
      <c r="U8" s="16"/>
      <c r="V8" s="28"/>
      <c r="W8" s="29"/>
      <c r="X8" s="29"/>
      <c r="Y8" s="29"/>
      <c r="Z8" s="29"/>
      <c r="AA8" s="29"/>
      <c r="AB8" s="29"/>
      <c r="AC8" s="29" t="s">
        <v>30</v>
      </c>
      <c r="AD8" s="29"/>
      <c r="AE8" s="29" t="s">
        <v>30</v>
      </c>
    </row>
    <row r="9" spans="1:36" x14ac:dyDescent="0.2">
      <c r="T9" s="36"/>
      <c r="U9" s="16" t="s">
        <v>93</v>
      </c>
      <c r="AH9" s="82"/>
    </row>
    <row r="10" spans="1:36" x14ac:dyDescent="0.2">
      <c r="B10" s="18" t="str">
        <f>+'COLOMB$ '!B10</f>
        <v>Musical Experience  (Ambiental)</v>
      </c>
      <c r="C10" s="34">
        <f>+'COL. CONS.$'!C10/Paramet!$G$5*1000</f>
        <v>84545.348837209298</v>
      </c>
      <c r="D10" s="32">
        <f t="shared" ref="D10:D15" si="0">+C10/$C$20</f>
        <v>0.35373487082734523</v>
      </c>
      <c r="E10" s="34">
        <f>+'COL. CONS.$'!E10/Paramet!$G$3*1000</f>
        <v>96075.992230956195</v>
      </c>
      <c r="F10" s="32">
        <f t="shared" ref="F10:F18" si="1">+E10/$E$20</f>
        <v>0.39638951807954914</v>
      </c>
      <c r="G10" s="32">
        <f t="shared" ref="G10:G18" si="2">IF(C10=0,"",(E10-C10)/ABS(C10)+1)</f>
        <v>1.1363841246423734</v>
      </c>
      <c r="H10" s="34">
        <f>+'COL. CONS.$'!H10/Paramet!$G$4*1000</f>
        <v>73844.172590648363</v>
      </c>
      <c r="I10" s="32">
        <f t="shared" ref="I10:I18" si="3">+H10/$H$20</f>
        <v>0.40761366733320481</v>
      </c>
      <c r="J10" s="33">
        <f t="shared" ref="J10:J18" si="4">IF(H10=0,"",(E10-H10)/ABS(H10))</f>
        <v>0.30106396835873372</v>
      </c>
      <c r="K10" s="34">
        <f>+'COL. CONS.$'!K10/Paramet!$G$5*1000</f>
        <v>186112.55813953487</v>
      </c>
      <c r="L10" s="32">
        <f t="shared" ref="L10:L18" si="5">+K10/$K$20</f>
        <v>0.40522329753949649</v>
      </c>
      <c r="M10" s="34">
        <f>+'COL. CONS.$'!M10/Paramet!$G$3*1000</f>
        <v>205674.33495357897</v>
      </c>
      <c r="N10" s="32">
        <f t="shared" ref="N10:N18" si="6">+M10/$M$20</f>
        <v>0.42537881863693872</v>
      </c>
      <c r="O10" s="32">
        <f t="shared" ref="O10:O18" si="7">IF(K10=0,"",(M10-K10)/ABS(K10)+1)</f>
        <v>1.1051072373062434</v>
      </c>
      <c r="P10" s="34">
        <f>+'COL. CONS.$'!P10/Paramet!$G$4*1000</f>
        <v>172525.66709787981</v>
      </c>
      <c r="Q10" s="32">
        <f t="shared" ref="Q10:Q18" si="8">+P10/$P$20</f>
        <v>0.51898694544008139</v>
      </c>
      <c r="R10" s="33">
        <f t="shared" ref="R10:R18" si="9">IF(P10=0,"",(M10-P10)/ABS(P10))</f>
        <v>0.19213760139755193</v>
      </c>
      <c r="T10" s="36"/>
      <c r="U10" s="35" t="s">
        <v>94</v>
      </c>
      <c r="V10" s="18" t="s">
        <v>31</v>
      </c>
      <c r="W10" s="34">
        <f>+'COL. CONS.$'!U10/Paramet!G5*1000</f>
        <v>9409.7674418604656</v>
      </c>
      <c r="X10" s="34">
        <f>'COLOMB$ '!V10/Paramet!$G$3*1000</f>
        <v>10286.356379462879</v>
      </c>
      <c r="Y10" s="34">
        <f>'COLOMB$ '!W10/Paramet!$G$4*1000</f>
        <v>4160.2365987679223</v>
      </c>
      <c r="Z10" s="34">
        <f>'COLOMB$ '!X10/Paramet!$G$5*1000</f>
        <v>10639.767441860466</v>
      </c>
      <c r="AA10" s="34">
        <f>+'COL. CONS.$'!Y10/Paramet!G3*1000</f>
        <v>11630.939911937279</v>
      </c>
      <c r="AB10" s="35">
        <f>+AA10-Z10</f>
        <v>991.17247007681362</v>
      </c>
      <c r="AC10" s="36">
        <f>IF(Z10=0,"",(AA10-Z10)/ABS(Z10)+1)</f>
        <v>1.0931573434751218</v>
      </c>
      <c r="AD10" s="34">
        <f>'COLOMB$ '!AB10/Paramet!$G$4*1000</f>
        <v>6677.8421593381227</v>
      </c>
      <c r="AE10" s="33">
        <f>IF(Y10=0,"",(AA10-AD10)/ABS(AD10))</f>
        <v>0.74172129775078199</v>
      </c>
      <c r="AF10" s="82"/>
    </row>
    <row r="11" spans="1:36" x14ac:dyDescent="0.2">
      <c r="B11" s="18" t="str">
        <f>+'COLOMB$ '!B11</f>
        <v>Instalaciones</v>
      </c>
      <c r="C11" s="34">
        <f>+'COL. CONS.$'!C11/Paramet!$G$5*1000</f>
        <v>21722.093023255813</v>
      </c>
      <c r="D11" s="32">
        <f t="shared" si="0"/>
        <v>9.0884500157141987E-2</v>
      </c>
      <c r="E11" s="34">
        <f>+'COL. CONS.$'!E11/Paramet!$G$3*1000</f>
        <v>2315.7734977984319</v>
      </c>
      <c r="F11" s="32">
        <f t="shared" si="1"/>
        <v>9.554398757257325E-3</v>
      </c>
      <c r="G11" s="32">
        <f t="shared" si="2"/>
        <v>0.10660913270738459</v>
      </c>
      <c r="H11" s="34">
        <f>+'COL. CONS.$'!H11/Paramet!$G$4*1000</f>
        <v>4229.0519826793725</v>
      </c>
      <c r="I11" s="32">
        <f t="shared" si="3"/>
        <v>2.3344013854127803E-2</v>
      </c>
      <c r="J11" s="33">
        <f t="shared" si="4"/>
        <v>-0.45241309227624044</v>
      </c>
      <c r="K11" s="34">
        <f>+'COL. CONS.$'!K11/Paramet!$G$5*1000</f>
        <v>31376.511627906973</v>
      </c>
      <c r="L11" s="32">
        <f t="shared" si="5"/>
        <v>6.8316150367533676E-2</v>
      </c>
      <c r="M11" s="34">
        <f>+'COL. CONS.$'!M11/Paramet!$G$3*1000</f>
        <v>12810.680401468391</v>
      </c>
      <c r="N11" s="32">
        <f t="shared" si="6"/>
        <v>2.6495245973893362E-2</v>
      </c>
      <c r="O11" s="32">
        <f t="shared" si="7"/>
        <v>0.40828886758954697</v>
      </c>
      <c r="P11" s="34">
        <f>+'COL. CONS.$'!P11/Paramet!$G$4*1000</f>
        <v>12704.800816947925</v>
      </c>
      <c r="Q11" s="32">
        <f t="shared" si="8"/>
        <v>3.8218230825165636E-2</v>
      </c>
      <c r="R11" s="33">
        <f t="shared" si="9"/>
        <v>8.3338248309430263E-3</v>
      </c>
      <c r="T11" s="36">
        <f>+E22/C22</f>
        <v>1.1112011662788319</v>
      </c>
      <c r="U11" s="35" t="s">
        <v>95</v>
      </c>
      <c r="V11" s="18" t="s">
        <v>32</v>
      </c>
      <c r="W11" s="34">
        <f>'COLOMB$ '!U11/Paramet!$G$5*1000</f>
        <v>242348.37209302324</v>
      </c>
      <c r="X11" s="34">
        <f>'COLOMB$ '!V11/Paramet!$G$3*1000</f>
        <v>248966.88058145801</v>
      </c>
      <c r="Y11" s="34">
        <f>'COLOMB$ '!W11/Paramet!$G$4*1000</f>
        <v>220434.62232588901</v>
      </c>
      <c r="Z11" s="34">
        <f>'COLOMB$ '!X11/Paramet!$G$5*1000</f>
        <v>518368.37209302327</v>
      </c>
      <c r="AA11" s="34">
        <f>'COLOMB$ '!Y11/Paramet!$G$3*1000</f>
        <v>550700.18365806027</v>
      </c>
      <c r="AB11" s="35">
        <f>+AA11-Z11</f>
        <v>32331.811565037002</v>
      </c>
      <c r="AC11" s="36">
        <f>IF(Z11=0,"",(AA11-Z11)/ABS(Z11)+1)</f>
        <v>1.0623722690381174</v>
      </c>
      <c r="AD11" s="34">
        <f>'COLOMB$ '!AB11/Paramet!$G$4*1000</f>
        <v>472128.17399243783</v>
      </c>
      <c r="AE11" s="33">
        <f>IF(AD11=0,"",(AA11-AD11)/ABS(AD11))</f>
        <v>0.16642092972592001</v>
      </c>
      <c r="AF11" s="82"/>
    </row>
    <row r="12" spans="1:36" x14ac:dyDescent="0.2">
      <c r="B12" s="18" t="str">
        <f>+'COLOMB$ '!B12</f>
        <v>Voice Experience (Publihold)</v>
      </c>
      <c r="C12" s="34">
        <f>+'COL. CONS.$'!C12/Paramet!$G$5*1000</f>
        <v>14906.046511627907</v>
      </c>
      <c r="D12" s="32">
        <f t="shared" si="0"/>
        <v>6.2366392827709144E-2</v>
      </c>
      <c r="E12" s="34">
        <f>+'COL. CONS.$'!E12/Paramet!$G$3*1000</f>
        <v>17306.554113830731</v>
      </c>
      <c r="F12" s="32">
        <f t="shared" si="1"/>
        <v>7.1403234934154861E-2</v>
      </c>
      <c r="G12" s="32">
        <f t="shared" si="2"/>
        <v>1.1610425407119345</v>
      </c>
      <c r="H12" s="34">
        <f>+'COL. CONS.$'!H12/Paramet!$G$4*1000</f>
        <v>16963.711747162102</v>
      </c>
      <c r="I12" s="32">
        <f t="shared" si="3"/>
        <v>9.3638272517116442E-2</v>
      </c>
      <c r="J12" s="33">
        <f t="shared" si="4"/>
        <v>2.0210339091972805E-2</v>
      </c>
      <c r="K12" s="34">
        <f>+'COL. CONS.$'!K12/Paramet!$G$5*1000</f>
        <v>32114.883720930229</v>
      </c>
      <c r="L12" s="32">
        <f t="shared" si="5"/>
        <v>6.9923809610612259E-2</v>
      </c>
      <c r="M12" s="34">
        <f>+'COL. CONS.$'!M12/Paramet!$G$3*1000</f>
        <v>37825.627929915907</v>
      </c>
      <c r="N12" s="32">
        <f t="shared" si="6"/>
        <v>7.8231544673085296E-2</v>
      </c>
      <c r="O12" s="32">
        <f t="shared" si="7"/>
        <v>1.1778223536043451</v>
      </c>
      <c r="P12" s="34">
        <f>+'COL. CONS.$'!P12/Paramet!$G$4*1000</f>
        <v>40923.41841127754</v>
      </c>
      <c r="Q12" s="32">
        <f t="shared" si="8"/>
        <v>0.1231046966836874</v>
      </c>
      <c r="R12" s="33">
        <f t="shared" si="9"/>
        <v>-7.5697256036361668E-2</v>
      </c>
      <c r="T12" s="36">
        <f>+E24/C24</f>
        <v>0.9965218087438461</v>
      </c>
      <c r="U12" s="88">
        <v>1208</v>
      </c>
      <c r="AE12" s="2"/>
      <c r="AF12" s="82"/>
    </row>
    <row r="13" spans="1:36" x14ac:dyDescent="0.2">
      <c r="B13" s="18" t="str">
        <f>+'COLOMB$ '!B13</f>
        <v>Service &amp; Equipment Experience</v>
      </c>
      <c r="C13" s="34">
        <f>+'COL. CONS.$'!C13/Paramet!$G$5*1000</f>
        <v>48676.511627906977</v>
      </c>
      <c r="D13" s="32">
        <f t="shared" si="0"/>
        <v>0.20366087300884569</v>
      </c>
      <c r="E13" s="34">
        <f>+'COL. CONS.$'!E13/Paramet!$G$3*1000</f>
        <v>52171.025737499869</v>
      </c>
      <c r="F13" s="32">
        <f t="shared" si="1"/>
        <v>0.21524677778076703</v>
      </c>
      <c r="G13" s="32">
        <f t="shared" si="2"/>
        <v>1.0717905616636143</v>
      </c>
      <c r="H13" s="34">
        <f>+'COL. CONS.$'!H13/Paramet!$G$4*1000</f>
        <v>16843.885785355666</v>
      </c>
      <c r="I13" s="32">
        <f t="shared" si="3"/>
        <v>9.2976843212404639E-2</v>
      </c>
      <c r="J13" s="33">
        <f t="shared" si="4"/>
        <v>2.0973272083605652</v>
      </c>
      <c r="K13" s="34">
        <f>+'COL. CONS.$'!K13/Paramet!$G$5*1000</f>
        <v>70349.30232558139</v>
      </c>
      <c r="L13" s="32">
        <f t="shared" si="5"/>
        <v>0.15317169648811269</v>
      </c>
      <c r="M13" s="34">
        <f>+'COL. CONS.$'!M13/Paramet!$G$3*1000</f>
        <v>77504.126033415014</v>
      </c>
      <c r="N13" s="32">
        <f t="shared" si="6"/>
        <v>0.16029522389861406</v>
      </c>
      <c r="O13" s="32">
        <f t="shared" si="7"/>
        <v>1.1017042596203812</v>
      </c>
      <c r="P13" s="34">
        <f>+'COL. CONS.$'!P13/Paramet!$G$4*1000</f>
        <v>40793.975840969688</v>
      </c>
      <c r="Q13" s="32">
        <f t="shared" si="8"/>
        <v>0.12271531111976505</v>
      </c>
      <c r="R13" s="33">
        <f t="shared" si="9"/>
        <v>0.89989145298206152</v>
      </c>
      <c r="T13" s="36">
        <f>+E26/C26</f>
        <v>0.85291364810891634</v>
      </c>
      <c r="U13" s="35" t="s">
        <v>96</v>
      </c>
      <c r="V13" s="18" t="s">
        <v>33</v>
      </c>
      <c r="W13" s="34">
        <f>'COLOMB$ '!U13/Paramet!$G$5*1000</f>
        <v>51444.186046511626</v>
      </c>
      <c r="X13" s="34">
        <f>'COLOMB$ '!V13/Paramet!$G$3*1000</f>
        <v>50050.48454834806</v>
      </c>
      <c r="Y13" s="34">
        <f>'COLOMB$ '!W13/Paramet!$G$4*1000</f>
        <v>27275.341816170079</v>
      </c>
      <c r="Z13" s="34">
        <f>'COLOMB$ '!X13/Paramet!$G$5*1000</f>
        <v>81970.697674418596</v>
      </c>
      <c r="AA13" s="34">
        <f>'COLOMB$ '!Y13/Paramet!$G$3*1000</f>
        <v>83420.936505353937</v>
      </c>
      <c r="AB13" s="35">
        <f>+Z13-AA13</f>
        <v>-1450.238830935341</v>
      </c>
      <c r="AC13" s="36">
        <f>IF(Z13=0,"",(AA13-Z13)/ABS(Z13)+1)</f>
        <v>1.0176921616148198</v>
      </c>
      <c r="AD13" s="34">
        <f>'COLOMB$ '!AB13/Paramet!$G$4*1000</f>
        <v>56438.291938254697</v>
      </c>
      <c r="AE13" s="33">
        <f>IF(AD13=0,"",(AA13-AD13)/ABS(AD13))</f>
        <v>0.47809109100288011</v>
      </c>
      <c r="AF13" s="82"/>
      <c r="AG13" s="39"/>
    </row>
    <row r="14" spans="1:36" x14ac:dyDescent="0.2">
      <c r="B14" s="18" t="str">
        <f>+'COLOMB$ '!B14</f>
        <v>POP Satelital</v>
      </c>
      <c r="C14" s="34">
        <f>+'COL. CONS.$'!C14/Paramet!$G$5*1000</f>
        <v>0</v>
      </c>
      <c r="D14" s="32">
        <f t="shared" si="0"/>
        <v>0</v>
      </c>
      <c r="E14" s="34">
        <f>+'COL. CONS.$'!E14/Paramet!$G$3*1000</f>
        <v>0</v>
      </c>
      <c r="F14" s="32">
        <f t="shared" si="1"/>
        <v>0</v>
      </c>
      <c r="G14" s="32" t="str">
        <f t="shared" si="2"/>
        <v/>
      </c>
      <c r="H14" s="34">
        <f>+'COL. CONS.$'!H14/Paramet!$G$4*1000</f>
        <v>0</v>
      </c>
      <c r="I14" s="32">
        <f t="shared" si="3"/>
        <v>0</v>
      </c>
      <c r="J14" s="33" t="str">
        <f t="shared" si="4"/>
        <v/>
      </c>
      <c r="K14" s="34">
        <f>+'COL. CONS.$'!K14/Paramet!$G$5*1000</f>
        <v>0</v>
      </c>
      <c r="L14" s="32">
        <f t="shared" si="5"/>
        <v>0</v>
      </c>
      <c r="M14" s="34">
        <f>+'COL. CONS.$'!M14/Paramet!$G$3*1000</f>
        <v>0</v>
      </c>
      <c r="N14" s="32">
        <f t="shared" si="6"/>
        <v>0</v>
      </c>
      <c r="O14" s="32" t="str">
        <f t="shared" si="7"/>
        <v/>
      </c>
      <c r="P14" s="34">
        <f>+'COL. CONS.$'!P14/Paramet!$G$4*1000</f>
        <v>0</v>
      </c>
      <c r="Q14" s="32">
        <f t="shared" si="8"/>
        <v>0</v>
      </c>
      <c r="R14" s="33" t="str">
        <f t="shared" si="9"/>
        <v/>
      </c>
      <c r="T14" s="36"/>
      <c r="U14" s="35"/>
      <c r="V14" s="18" t="s">
        <v>34</v>
      </c>
      <c r="W14" s="34">
        <f>'COLOMB$ '!U14/Paramet!$G$5*1000</f>
        <v>2821.1627906976746</v>
      </c>
      <c r="X14" s="34">
        <f>'COLOMB$ '!V14/Paramet!$G$3*1000</f>
        <v>3491.603534711559</v>
      </c>
      <c r="Y14" s="34">
        <f>'COLOMB$ '!W14/Paramet!$G$4*1000</f>
        <v>2092.50645779865</v>
      </c>
      <c r="Z14" s="34">
        <f>'COLOMB$ '!X14/Paramet!$G$5*1000</f>
        <v>5544.6511627906975</v>
      </c>
      <c r="AA14" s="34">
        <f>'COLOMB$ '!Y14/Paramet!$G$3*1000</f>
        <v>6468.7395133161817</v>
      </c>
      <c r="AB14" s="35">
        <f>+Z14-AA14</f>
        <v>-924.0883505254842</v>
      </c>
      <c r="AC14" s="36">
        <f>IF(Z14=0,"",(AA14-Z14)/ABS(Z14)+1)</f>
        <v>1.1666630277350718</v>
      </c>
      <c r="AD14" s="34">
        <f>'COLOMB$ '!AB14/Paramet!$G$4*1000</f>
        <v>4243.2745302757412</v>
      </c>
      <c r="AE14" s="33">
        <f>IF(AD14=0,"",(AA14-AD14)/ABS(AD14))</f>
        <v>0.52446877220923593</v>
      </c>
      <c r="AF14" s="82"/>
    </row>
    <row r="15" spans="1:36" x14ac:dyDescent="0.2">
      <c r="B15" s="18" t="str">
        <f>+'COLOMB$ '!B15</f>
        <v>Voice Experience (Audicóm)</v>
      </c>
      <c r="C15" s="34">
        <f>+'COL. CONS.$'!C15/Paramet!$G$5*1000</f>
        <v>31916.976744186049</v>
      </c>
      <c r="D15" s="32">
        <f t="shared" si="0"/>
        <v>0.13353954772299811</v>
      </c>
      <c r="E15" s="34">
        <f>+'COL. CONS.$'!E15/Paramet!$G$3*1000</f>
        <v>34655.928471918574</v>
      </c>
      <c r="F15" s="32">
        <f t="shared" si="1"/>
        <v>0.14298313727075843</v>
      </c>
      <c r="G15" s="32">
        <f t="shared" si="2"/>
        <v>1.0858148862182395</v>
      </c>
      <c r="H15" s="34">
        <f>+'COL. CONS.$'!H15/Paramet!$G$4*1000</f>
        <v>27091.796203937487</v>
      </c>
      <c r="I15" s="32">
        <f t="shared" si="3"/>
        <v>0.14954445310867009</v>
      </c>
      <c r="J15" s="33">
        <f t="shared" si="4"/>
        <v>0.27920379331960743</v>
      </c>
      <c r="K15" s="34">
        <f>+'COL. CONS.$'!K15/Paramet!$G$5*1000</f>
        <v>66470.232558139527</v>
      </c>
      <c r="L15" s="32">
        <f t="shared" si="5"/>
        <v>0.14472578903156125</v>
      </c>
      <c r="M15" s="34">
        <f>+'COL. CONS.$'!M15/Paramet!$G$3*1000</f>
        <v>72631.938244236779</v>
      </c>
      <c r="N15" s="32">
        <f t="shared" si="6"/>
        <v>0.15021849027793296</v>
      </c>
      <c r="O15" s="32">
        <f t="shared" si="7"/>
        <v>1.0926987231571335</v>
      </c>
      <c r="P15" s="34">
        <f>+'COL. CONS.$'!P15/Paramet!$G$4*1000</f>
        <v>59138.728073641774</v>
      </c>
      <c r="Q15" s="32">
        <f t="shared" si="8"/>
        <v>0.17789948798017496</v>
      </c>
      <c r="R15" s="33">
        <f t="shared" si="9"/>
        <v>0.22816199485712224</v>
      </c>
      <c r="T15" s="36"/>
      <c r="U15" s="88"/>
      <c r="V15" s="18" t="s">
        <v>35</v>
      </c>
      <c r="W15" s="34">
        <f>'COLOMB$ '!U15/Paramet!$G$5*1000</f>
        <v>150286.27906976742</v>
      </c>
      <c r="X15" s="34">
        <f>'COLOMB$ '!V15/Paramet!$G$3*1000</f>
        <v>141948.46856282855</v>
      </c>
      <c r="Y15" s="34">
        <f>'COLOMB$ '!W15/Paramet!$G$4*1000</f>
        <v>95380.917984917236</v>
      </c>
      <c r="Z15" s="34">
        <f>'COLOMB$ '!X15/Paramet!$G$5*1000</f>
        <v>249621.39534883722</v>
      </c>
      <c r="AA15" s="34">
        <f>'COLOMB$ '!Y15/Paramet!$G$3*1000</f>
        <v>250537.45512970441</v>
      </c>
      <c r="AB15" s="35">
        <f>+Z15-AA15</f>
        <v>-916.05978086718824</v>
      </c>
      <c r="AC15" s="36">
        <f>IF(Z15=0,"",(AA15-Z15)/ABS(Z15)+1)</f>
        <v>1.0036697967319148</v>
      </c>
      <c r="AD15" s="34">
        <f>'COLOMB$ '!AB15/Paramet!$G$4*1000</f>
        <v>172566.99929702547</v>
      </c>
      <c r="AE15" s="33">
        <f>IF(AD15=0,"",(AA15-AD15)/ABS(AD15))</f>
        <v>0.4518271520644267</v>
      </c>
      <c r="AF15" s="82"/>
    </row>
    <row r="16" spans="1:36" x14ac:dyDescent="0.2">
      <c r="B16" s="18" t="str">
        <f>+'COLOMB$ '!B16</f>
        <v>Fact. Servicio Satelital</v>
      </c>
      <c r="C16" s="34">
        <f>+'COL. CONS.$'!C16/Paramet!$G$3*1000</f>
        <v>0</v>
      </c>
      <c r="D16" s="32"/>
      <c r="E16" s="34">
        <f>+'COL. CONS.$'!E16/Paramet!$G$3*1000</f>
        <v>0</v>
      </c>
      <c r="F16" s="32">
        <f t="shared" si="1"/>
        <v>0</v>
      </c>
      <c r="G16" s="32" t="str">
        <f t="shared" si="2"/>
        <v/>
      </c>
      <c r="H16" s="34">
        <f>+'COL. CONS.$'!H16/Paramet!$G$4*1000</f>
        <v>0</v>
      </c>
      <c r="I16" s="32">
        <f t="shared" si="3"/>
        <v>0</v>
      </c>
      <c r="J16" s="33" t="str">
        <f t="shared" si="4"/>
        <v/>
      </c>
      <c r="K16" s="34">
        <f>+'COL. CONS.$'!K16/Paramet!$G$3*1000</f>
        <v>0</v>
      </c>
      <c r="L16" s="32">
        <f t="shared" si="5"/>
        <v>0</v>
      </c>
      <c r="M16" s="34">
        <f>+'COL. CONS.$'!M16/Paramet!$G$3*1000</f>
        <v>0</v>
      </c>
      <c r="N16" s="32">
        <f t="shared" si="6"/>
        <v>0</v>
      </c>
      <c r="O16" s="32" t="str">
        <f t="shared" si="7"/>
        <v/>
      </c>
      <c r="P16" s="34">
        <f>+'COL. CONS.$'!P16/Paramet!$G$4*1000</f>
        <v>0</v>
      </c>
      <c r="Q16" s="32">
        <f t="shared" si="8"/>
        <v>0</v>
      </c>
      <c r="R16" s="33" t="str">
        <f t="shared" si="9"/>
        <v/>
      </c>
      <c r="V16" s="18" t="s">
        <v>36</v>
      </c>
      <c r="W16" s="34">
        <f>'COLOMB$ '!U16/Paramet!$G$5*1000</f>
        <v>86280.69767441861</v>
      </c>
      <c r="X16" s="34">
        <f>'COLOMB$ '!V16/Paramet!$G$3*1000</f>
        <v>67850.566563113316</v>
      </c>
      <c r="Y16" s="34">
        <f>'COLOMB$ '!W16/Paramet!$G$4*1000</f>
        <v>56232.939677297247</v>
      </c>
      <c r="Z16" s="34">
        <f>'COLOMB$ '!X16/Paramet!$G$5*1000</f>
        <v>146452.5581395349</v>
      </c>
      <c r="AA16" s="34">
        <f>'COLOMB$ '!Y16/Paramet!$G$3*1000</f>
        <v>133627.69747760295</v>
      </c>
      <c r="AB16" s="35">
        <f>+Z16-AA16</f>
        <v>12824.860661931947</v>
      </c>
      <c r="AC16" s="36">
        <f>IF(Z16=0,"",(AA16-Z16)/ABS(Z16)+1)</f>
        <v>0.91242993072396272</v>
      </c>
      <c r="AD16" s="34">
        <f>'COLOMB$ '!AB16/Paramet!$G$4*1000</f>
        <v>105681.51591259822</v>
      </c>
      <c r="AE16" s="33">
        <f>IF(AD16=0,"",(AA16-AD16)/ABS(AD16))</f>
        <v>0.26443774319169555</v>
      </c>
      <c r="AF16" s="82"/>
    </row>
    <row r="17" spans="2:33" x14ac:dyDescent="0.2">
      <c r="B17" s="18" t="str">
        <f>+'COLOMB$ '!B17</f>
        <v>Visual Experience</v>
      </c>
      <c r="C17" s="34">
        <f>+'COL. CONS.$'!C17/Paramet!$G$5*1000</f>
        <v>2325.8139534883721</v>
      </c>
      <c r="D17" s="32"/>
      <c r="E17" s="34">
        <f>+'COL. CONS.$'!E17/Paramet!$G$3*1000</f>
        <v>2756.692665168448</v>
      </c>
      <c r="F17" s="32">
        <f t="shared" si="1"/>
        <v>1.1373539337618909E-2</v>
      </c>
      <c r="G17" s="32">
        <f t="shared" si="2"/>
        <v>1.1852593200904236</v>
      </c>
      <c r="H17" s="34">
        <f>+'COL. CONS.$'!H17/Paramet!$G$4*1000</f>
        <v>3192.2063417454565</v>
      </c>
      <c r="I17" s="32">
        <f t="shared" si="3"/>
        <v>1.7620712484060816E-2</v>
      </c>
      <c r="J17" s="33">
        <f t="shared" si="4"/>
        <v>-0.13643030241549967</v>
      </c>
      <c r="K17" s="34">
        <f>+'COL. CONS.$'!K17/Paramet!$G$5*1000</f>
        <v>4541.6279069767443</v>
      </c>
      <c r="L17" s="32">
        <f t="shared" si="5"/>
        <v>9.8884968056950125E-3</v>
      </c>
      <c r="M17" s="34">
        <f>+'COL. CONS.$'!M17/Paramet!$G$3*1000</f>
        <v>5527.9337292427217</v>
      </c>
      <c r="N17" s="32">
        <f t="shared" si="6"/>
        <v>1.1432957445951075E-2</v>
      </c>
      <c r="O17" s="32">
        <f t="shared" si="7"/>
        <v>1.2171701078264991</v>
      </c>
      <c r="P17" s="34">
        <f>+'COL. CONS.$'!P17/Paramet!$G$4*1000</f>
        <v>6341.168518387567</v>
      </c>
      <c r="Q17" s="32">
        <f t="shared" si="8"/>
        <v>1.907532795112556E-2</v>
      </c>
      <c r="R17" s="33">
        <f t="shared" si="9"/>
        <v>-0.12824683444174337</v>
      </c>
      <c r="V17" s="18" t="s">
        <v>37</v>
      </c>
      <c r="W17" s="34">
        <f>'COLOMB$ '!U17/Paramet!$G$5*1000</f>
        <v>290832.32558139536</v>
      </c>
      <c r="X17" s="34">
        <f>'COLOMB$ '!V17/Paramet!$G$3*1000</f>
        <v>263341.1232090015</v>
      </c>
      <c r="Y17" s="34">
        <f>'COLOMB$ '!W17/Paramet!$G$4*1000</f>
        <v>180981.70593618322</v>
      </c>
      <c r="Z17" s="34">
        <f>'COLOMB$ '!X17/Paramet!$G$5*1000</f>
        <v>483589.30232558138</v>
      </c>
      <c r="AA17" s="34">
        <f>'COLOMB$ '!Y17/Paramet!$G$3*1000</f>
        <v>474054.8286259775</v>
      </c>
      <c r="AB17" s="35">
        <f>+AA17-Z17</f>
        <v>-9534.47369960387</v>
      </c>
      <c r="AC17" s="36">
        <f>IF(Z17=0,"",(AA17-Z17)/ABS(Z17)+1)</f>
        <v>0.98028394413657916</v>
      </c>
      <c r="AD17" s="34">
        <f>'COLOMB$ '!AB17/Paramet!$G$4*1000</f>
        <v>338930.08167815412</v>
      </c>
      <c r="AE17" s="33">
        <f>IF(AD17=0,"",(AA17-AD17)/ABS(AD17))</f>
        <v>0.39868030090093032</v>
      </c>
      <c r="AF17" s="82"/>
    </row>
    <row r="18" spans="2:33" x14ac:dyDescent="0.2">
      <c r="B18" s="18" t="str">
        <f>+'COL. CONS.$'!B18</f>
        <v>Olfa Experience</v>
      </c>
      <c r="C18" s="34">
        <f>+'COL. CONS.$'!C18/Paramet!$G$5*1000</f>
        <v>34914.883720930236</v>
      </c>
      <c r="D18" s="32"/>
      <c r="E18" s="34">
        <f>+'COL. CONS.$'!E18/Paramet!$G$3*1000</f>
        <v>37095.764905073265</v>
      </c>
      <c r="F18" s="32">
        <f t="shared" si="1"/>
        <v>0.15304939383989433</v>
      </c>
      <c r="G18" s="32">
        <f t="shared" si="2"/>
        <v>1.0624627938495945</v>
      </c>
      <c r="H18" s="34">
        <f>+'COL. CONS.$'!H18/Paramet!$G$4*1000</f>
        <v>27041.684726318283</v>
      </c>
      <c r="I18" s="32">
        <f t="shared" si="3"/>
        <v>0.14926784193609888</v>
      </c>
      <c r="J18" s="40">
        <f t="shared" si="4"/>
        <v>0.37179932687292455</v>
      </c>
      <c r="K18" s="34">
        <f>+'COL. CONS.$'!K18/Paramet!$G$5*1000</f>
        <v>68318.837209302335</v>
      </c>
      <c r="L18" s="32">
        <f t="shared" si="5"/>
        <v>0.14875076015698857</v>
      </c>
      <c r="M18" s="34">
        <f>+'COL. CONS.$'!M18/Paramet!$G$3*1000</f>
        <v>71534.000752499007</v>
      </c>
      <c r="N18" s="32">
        <f t="shared" si="6"/>
        <v>0.14794771909358451</v>
      </c>
      <c r="O18" s="32">
        <f t="shared" si="7"/>
        <v>1.0470611572815074</v>
      </c>
      <c r="P18" s="34">
        <f>+'COL. CONS.$'!P18/Paramet!$G$4*1000</f>
        <v>50513.676182473879</v>
      </c>
      <c r="Q18" s="32">
        <f t="shared" si="8"/>
        <v>0.15195384516333038</v>
      </c>
      <c r="R18" s="40">
        <f t="shared" si="9"/>
        <v>0.41613135607260154</v>
      </c>
      <c r="AE18" s="2"/>
      <c r="AF18" s="82"/>
    </row>
    <row r="19" spans="2:33" x14ac:dyDescent="0.2">
      <c r="B19" s="18" t="str">
        <f>+'COLOMB$ '!B19</f>
        <v>Locutor virtual</v>
      </c>
      <c r="C19" s="34"/>
      <c r="D19" s="32"/>
      <c r="E19" s="34"/>
      <c r="F19" s="32"/>
      <c r="G19" s="32"/>
      <c r="H19" s="34">
        <f>+'COL. CONS.$'!H19/Paramet!$G$4*1000</f>
        <v>11955.651041774991</v>
      </c>
      <c r="I19" s="32"/>
      <c r="J19" s="33"/>
      <c r="K19" s="34"/>
      <c r="L19" s="32"/>
      <c r="M19" s="34"/>
      <c r="N19" s="32"/>
      <c r="O19" s="32"/>
      <c r="P19" s="34"/>
      <c r="Q19" s="32"/>
      <c r="R19" s="33"/>
      <c r="T19" s="36">
        <f>+E27/C27</f>
        <v>1.0631283769342432</v>
      </c>
      <c r="U19" s="35" t="s">
        <v>97</v>
      </c>
      <c r="V19" s="18" t="s">
        <v>38</v>
      </c>
      <c r="W19" s="34">
        <f>+W11-W17</f>
        <v>-48483.953488372121</v>
      </c>
      <c r="X19" s="34">
        <f>+X11-X17</f>
        <v>-14374.242627543485</v>
      </c>
      <c r="Y19" s="34">
        <f>+Y11-Y17</f>
        <v>39452.916389705788</v>
      </c>
      <c r="Z19" s="34">
        <f>+Z11-Z17</f>
        <v>34779.069767441892</v>
      </c>
      <c r="AA19" s="34">
        <f>+AA11-AA17</f>
        <v>76645.355032082764</v>
      </c>
      <c r="AB19" s="35">
        <f>+AA19-Z19</f>
        <v>41866.285264640872</v>
      </c>
      <c r="AC19" s="36">
        <f>IF(Z19=0,"",(AA19-Z19)/ABS(Z19)+1)</f>
        <v>2.2037781787894053</v>
      </c>
      <c r="AD19" s="34">
        <f>+AD11-AD17</f>
        <v>133198.09231428371</v>
      </c>
      <c r="AE19" s="33">
        <f>IF(AD19=0,"",(AA19-AD19)/ABS(AD19))</f>
        <v>-0.42457618048135082</v>
      </c>
      <c r="AF19" s="82"/>
    </row>
    <row r="20" spans="2:33" x14ac:dyDescent="0.2">
      <c r="B20" s="41" t="s">
        <v>39</v>
      </c>
      <c r="C20" s="42">
        <f>SUM(C10:C19)</f>
        <v>239007.67441860464</v>
      </c>
      <c r="D20" s="43">
        <f>+C20/$C$20</f>
        <v>1</v>
      </c>
      <c r="E20" s="42">
        <f>SUM(E10:E19)</f>
        <v>242377.73162224551</v>
      </c>
      <c r="F20" s="43">
        <f>+E20/$E$20</f>
        <v>1</v>
      </c>
      <c r="G20" s="43">
        <f>IF(C20=0,"",(E20-C20)/ABS(C20)+1)</f>
        <v>1.01410020499065</v>
      </c>
      <c r="H20" s="42">
        <f>+'COL. CONS.$'!H20/Paramet!$G$4*1000</f>
        <v>181162.16041962171</v>
      </c>
      <c r="I20" s="43">
        <f>+H20/$H$20</f>
        <v>1</v>
      </c>
      <c r="J20" s="44">
        <f>IF(H20=0,"",(E20-H20)/ABS(H20))</f>
        <v>0.33790484205328308</v>
      </c>
      <c r="K20" s="42">
        <f>SUM(K10:K19)</f>
        <v>459283.95348837209</v>
      </c>
      <c r="L20" s="43">
        <f>+K20/$K$20</f>
        <v>1</v>
      </c>
      <c r="M20" s="42">
        <f>SUM(M10:M19)</f>
        <v>483508.64204435679</v>
      </c>
      <c r="N20" s="43">
        <f>+M20/$M$20</f>
        <v>1</v>
      </c>
      <c r="O20" s="43">
        <f>IF(K20=0,"",(M20-K20)/ABS(K20)+1)</f>
        <v>1.0527444696728296</v>
      </c>
      <c r="P20" s="42">
        <f>SUM(P10:P17)</f>
        <v>332427.7587591043</v>
      </c>
      <c r="Q20" s="43">
        <f>+P20/$P$20</f>
        <v>1</v>
      </c>
      <c r="R20" s="44">
        <f>IF(P20=0,"",(M20-P20)/ABS(P20))</f>
        <v>0.45447733922465283</v>
      </c>
      <c r="T20" s="36">
        <f>+E28/C28</f>
        <v>0.9649041351561144</v>
      </c>
      <c r="U20" s="35"/>
      <c r="V20" s="18"/>
      <c r="W20" s="34"/>
      <c r="X20" s="34"/>
      <c r="Y20" s="34"/>
      <c r="Z20" s="34"/>
      <c r="AA20" s="34"/>
      <c r="AB20" s="35"/>
      <c r="AC20" s="36"/>
      <c r="AD20" s="34"/>
      <c r="AE20" s="33" t="str">
        <f>IF(AD20=0,"",(AA20-AD20)/ABS(AD20))</f>
        <v/>
      </c>
      <c r="AF20" s="82"/>
      <c r="AG20" s="39"/>
    </row>
    <row r="21" spans="2:33" x14ac:dyDescent="0.2">
      <c r="J21" s="33"/>
      <c r="R21" s="33"/>
      <c r="T21" s="36">
        <f>+E30/C30</f>
        <v>0.95549074701867809</v>
      </c>
      <c r="U21" s="35"/>
      <c r="V21" s="18" t="s">
        <v>40</v>
      </c>
      <c r="W21" s="34">
        <f>+'COL. CONS.$'!U21/Paramet!G5*1000</f>
        <v>-39074.186046511626</v>
      </c>
      <c r="X21" s="34">
        <f>+X10+X19</f>
        <v>-4087.8862480806056</v>
      </c>
      <c r="Y21" s="34">
        <f>'COLOMB$ '!W21/Paramet!$G$4*1000</f>
        <v>43613.15298847371</v>
      </c>
      <c r="Z21" s="34">
        <f>'COLOMB$ '!X21/Paramet!$G$5*1000</f>
        <v>45418.837209302328</v>
      </c>
      <c r="AA21" s="34">
        <f>+'COL. CONS.$'!Y21/Paramet!G3*1000</f>
        <v>88276.294944020046</v>
      </c>
      <c r="AB21" s="35">
        <f>+AA21-Z21</f>
        <v>42857.457734717718</v>
      </c>
      <c r="AC21" s="36">
        <f>IF(Z21=0,"",(AA21-Z21)/ABS(Z21)+1)</f>
        <v>1.9436053489704928</v>
      </c>
      <c r="AD21" s="34">
        <f>'COLOMB$ '!AB21/Paramet!$G$4*1000</f>
        <v>139875.93447362178</v>
      </c>
      <c r="AE21" s="33">
        <f>IF(AD21=0,"",(AA21-AD21)/ABS(AD21))</f>
        <v>-0.36889576268984675</v>
      </c>
      <c r="AF21" s="82"/>
      <c r="AG21" s="39"/>
    </row>
    <row r="22" spans="2:33" x14ac:dyDescent="0.2">
      <c r="B22" s="18" t="s">
        <v>41</v>
      </c>
      <c r="C22" s="34">
        <f>+'COL. CONS.$'!C22/Paramet!$G$5*1000</f>
        <v>36635.813953488374</v>
      </c>
      <c r="D22" s="32">
        <f>+C22/$C$20</f>
        <v>0.15328300249189236</v>
      </c>
      <c r="E22" s="34">
        <f>+'COL. CONS.$'!E22/Paramet!$G$3*1000</f>
        <v>40709.759192690588</v>
      </c>
      <c r="F22" s="32">
        <f>+E22/$E$20</f>
        <v>0.16795998097770065</v>
      </c>
      <c r="G22" s="32">
        <f>IF(C22=0,"",(E22-C22)/ABS(C22)+1)</f>
        <v>1.1112011662788319</v>
      </c>
      <c r="H22" s="34">
        <f>+'COL. CONS.$'!H22/Paramet!$G$4*1000</f>
        <v>12891.220201574828</v>
      </c>
      <c r="I22" s="32">
        <f>+H22/$H$20</f>
        <v>7.1158459204257632E-2</v>
      </c>
      <c r="J22" s="33">
        <f>IF(H22=0,"",(E22-H22)/ABS(H22))</f>
        <v>2.1579445976508391</v>
      </c>
      <c r="K22" s="34">
        <f>+'COL. CONS.$'!K22/Paramet!$G$5*1000</f>
        <v>57795.813953488367</v>
      </c>
      <c r="L22" s="32">
        <f>+K22/$K$20</f>
        <v>0.12583895760893726</v>
      </c>
      <c r="M22" s="34">
        <f>+'COL. CONS.$'!M22/Paramet!$G$3*1000</f>
        <v>67968.415554866326</v>
      </c>
      <c r="N22" s="32">
        <f>+M22/$M$20</f>
        <v>0.14057332102169737</v>
      </c>
      <c r="O22" s="32">
        <f>IF(K22=0,"",(M22-K22)/ABS(K22)+1)</f>
        <v>1.1760093146116852</v>
      </c>
      <c r="P22" s="34">
        <f>+'COL. CONS.$'!P22/Paramet!$G$4*1000</f>
        <v>32354.416988690005</v>
      </c>
      <c r="Q22" s="32">
        <f>+P22/$P$20</f>
        <v>9.7327663337933884E-2</v>
      </c>
      <c r="R22" s="33">
        <f>IF(P22=0,"",(M22-P22)/ABS(P22))</f>
        <v>1.1007461076682592</v>
      </c>
      <c r="T22" s="36">
        <f>+E32/C32</f>
        <v>1.0676249325777574</v>
      </c>
      <c r="U22" s="35"/>
      <c r="AE22" s="33"/>
      <c r="AF22" s="82"/>
      <c r="AG22" s="39"/>
    </row>
    <row r="23" spans="2:33" x14ac:dyDescent="0.2">
      <c r="J23" s="33"/>
      <c r="R23" s="33"/>
      <c r="T23" s="36">
        <f>+E33/C33</f>
        <v>1.0392070162669822</v>
      </c>
      <c r="U23" s="88">
        <v>2101</v>
      </c>
      <c r="V23" s="18" t="s">
        <v>42</v>
      </c>
      <c r="W23" s="34">
        <f>'COLOMB$ '!U23/Paramet!$G$5*1000</f>
        <v>0</v>
      </c>
      <c r="X23" s="34">
        <f>'COLOMB$ '!V23/Paramet!$G$3*1000</f>
        <v>15902.69587854259</v>
      </c>
      <c r="Y23" s="34">
        <f>'COLOMB$ '!W23/Paramet!$G$4*1000</f>
        <v>7631.1013344037401</v>
      </c>
      <c r="Z23" s="34">
        <f>'COLOMB$ '!X23/Paramet!$G$5*1000</f>
        <v>8078.6046511627919</v>
      </c>
      <c r="AA23" s="34">
        <f>'COLOMB$ '!Y23/Paramet!$G$3*1000</f>
        <v>24733.831732578125</v>
      </c>
      <c r="AB23" s="35">
        <f>+AA23-Z23</f>
        <v>16655.227081415331</v>
      </c>
      <c r="AC23" s="36">
        <f>IF(Z23=0,"",(AA23-Z23)/ABS(Z23)+1)</f>
        <v>3.0616465095885173</v>
      </c>
      <c r="AD23" s="34">
        <f>'COLOMB$ '!AB23/Paramet!$G$4*1000</f>
        <v>7631.1013344037401</v>
      </c>
      <c r="AE23" s="33">
        <f>IF(AD23=0,"",(AA23-AD23)/ABS(AD23))</f>
        <v>2.2411876934550907</v>
      </c>
      <c r="AF23" s="82"/>
    </row>
    <row r="24" spans="2:33" x14ac:dyDescent="0.2">
      <c r="B24" s="18" t="s">
        <v>43</v>
      </c>
      <c r="C24" s="34">
        <f>C20-C22</f>
        <v>202371.86046511628</v>
      </c>
      <c r="D24" s="32">
        <f>+C24/$C$20</f>
        <v>0.84671699750810769</v>
      </c>
      <c r="E24" s="34">
        <f>E20-E22</f>
        <v>201667.97242955491</v>
      </c>
      <c r="F24" s="32">
        <f>+E24/$E$20</f>
        <v>0.83204001902229929</v>
      </c>
      <c r="G24" s="32">
        <f>IF(C24=0,"",(E24-C24)/ABS(C24)+1)</f>
        <v>0.9965218087438461</v>
      </c>
      <c r="H24" s="34">
        <f>+'COL. CONS.$'!H24/Paramet!$G$4*1000</f>
        <v>168270.94021804686</v>
      </c>
      <c r="I24" s="32">
        <f>+H24/$H$20</f>
        <v>0.92884154079574222</v>
      </c>
      <c r="J24" s="33">
        <f>IF(H24=0,"",(E24-H24)/ABS(H24))</f>
        <v>0.19847177515162095</v>
      </c>
      <c r="K24" s="34">
        <f>K20-K22</f>
        <v>401488.13953488372</v>
      </c>
      <c r="L24" s="32">
        <f>+K24/$K$20</f>
        <v>0.87416104239106274</v>
      </c>
      <c r="M24" s="34">
        <f>M20-M22</f>
        <v>415540.22648949048</v>
      </c>
      <c r="N24" s="32">
        <f>+M24/$M$20</f>
        <v>0.85942667897830272</v>
      </c>
      <c r="O24" s="32">
        <f>IF(K24=0,"",(M24-K24)/ABS(K24)+1)</f>
        <v>1.0350000051580248</v>
      </c>
      <c r="P24" s="34">
        <f>P20-P22</f>
        <v>300073.34177041426</v>
      </c>
      <c r="Q24" s="32">
        <f>+P24/$P$20</f>
        <v>0.90267233666206603</v>
      </c>
      <c r="R24" s="33">
        <f>IF(P24=0,"",(M24-P24)/ABS(P24))</f>
        <v>0.38479554377549402</v>
      </c>
      <c r="T24" s="36">
        <f>+E34/C34</f>
        <v>0.98561065630632161</v>
      </c>
      <c r="U24" s="35" t="s">
        <v>98</v>
      </c>
      <c r="AE24" s="33"/>
      <c r="AF24" s="82"/>
    </row>
    <row r="25" spans="2:33" x14ac:dyDescent="0.2">
      <c r="J25" s="33"/>
      <c r="R25" s="33"/>
      <c r="T25" s="36">
        <f>+E36/C36</f>
        <v>0.81119116331476515</v>
      </c>
      <c r="U25" s="88" t="s">
        <v>99</v>
      </c>
      <c r="V25" s="18" t="s">
        <v>44</v>
      </c>
      <c r="W25" s="34">
        <f>'COLOMB$ '!U25/Paramet!$G$5*1000</f>
        <v>14380.697674418605</v>
      </c>
      <c r="X25" s="34">
        <f>'COLOMB$ '!V25/Paramet!$G$3*1000</f>
        <v>14556.55687977303</v>
      </c>
      <c r="Y25" s="34">
        <f>'COLOMB$ '!W25/Paramet!$G$4*1000</f>
        <v>11862.769499224232</v>
      </c>
      <c r="Z25" s="34">
        <f>'COLOMB$ '!X25/Paramet!$G$5*1000</f>
        <v>88459.30232558139</v>
      </c>
      <c r="AA25" s="34">
        <f>'COLOMB$ '!Y25/Paramet!$G$3*1000</f>
        <v>95536.069880718744</v>
      </c>
      <c r="AB25" s="35">
        <f>+AA25-Z25</f>
        <v>7076.7675551373541</v>
      </c>
      <c r="AC25" s="36">
        <f>IF(Z25=0,"",(AA25-Z25)/ABS(Z25)+1)</f>
        <v>1.0800002641790092</v>
      </c>
      <c r="AD25" s="34">
        <f>'COLOMB$ '!AB25/Paramet!$G$4*1000</f>
        <v>81502.57668869874</v>
      </c>
      <c r="AE25" s="33">
        <f>IF(AD25=0,"",(AA25-AD25)/ABS(AD25))</f>
        <v>0.1721846567578017</v>
      </c>
    </row>
    <row r="26" spans="2:33" x14ac:dyDescent="0.2">
      <c r="B26" s="18" t="s">
        <v>45</v>
      </c>
      <c r="C26" s="34">
        <f>+'COL. CONS.$'!C26/Paramet!$G$5*1000</f>
        <v>72474.883720930244</v>
      </c>
      <c r="D26" s="32">
        <f>+C26/$C$20</f>
        <v>0.30323245434368662</v>
      </c>
      <c r="E26" s="34">
        <f>+'COL. CONS.$'!E26/Paramet!$G$3*1000</f>
        <v>61814.817470688125</v>
      </c>
      <c r="F26" s="32">
        <f>+E26/$E$20</f>
        <v>0.25503505234147816</v>
      </c>
      <c r="G26" s="32">
        <f>IF(C26=0,"",(E26-C26)/ABS(C26)+1)</f>
        <v>0.85291364810891634</v>
      </c>
      <c r="H26" s="34">
        <f>+'COL. CONS.$'!H26/Paramet!$G$4*1000</f>
        <v>42422.915029512449</v>
      </c>
      <c r="I26" s="32">
        <f>+H26/$H$20</f>
        <v>0.23417094900639976</v>
      </c>
      <c r="J26" s="33">
        <f>IF(H26=0,"",(E26-H26)/ABS(H26))</f>
        <v>0.45710914555695348</v>
      </c>
      <c r="K26" s="34">
        <f>+'COL. CONS.$'!K26/Paramet!$G$5*1000</f>
        <v>121730.93023255814</v>
      </c>
      <c r="L26" s="32">
        <f>+K26/$K$20</f>
        <v>0.26504503218103409</v>
      </c>
      <c r="M26" s="34">
        <f>+'COL. CONS.$'!M26/Paramet!$G$3*1000</f>
        <v>102687.42640254629</v>
      </c>
      <c r="N26" s="32">
        <f>+M26/$M$20</f>
        <v>0.21237971252874899</v>
      </c>
      <c r="O26" s="32">
        <f>IF(K26=0,"",(M26-K26)/ABS(K26)+1)</f>
        <v>0.84356068097376236</v>
      </c>
      <c r="P26" s="34">
        <f>+'COL. CONS.$'!P26/Paramet!$G$4*1000</f>
        <v>78329.533393370395</v>
      </c>
      <c r="Q26" s="32">
        <f>+P26/$P$20</f>
        <v>0.23562873836336978</v>
      </c>
      <c r="R26" s="33">
        <f>IF(P26=0,"",(M26-P26)/ABS(P26))</f>
        <v>0.31096691061404286</v>
      </c>
      <c r="T26" s="36">
        <f>+E38/C38</f>
        <v>1.5793684612313961</v>
      </c>
      <c r="U26" s="88" t="s">
        <v>100</v>
      </c>
      <c r="AE26" s="33"/>
    </row>
    <row r="27" spans="2:33" x14ac:dyDescent="0.2">
      <c r="B27" s="18" t="s">
        <v>46</v>
      </c>
      <c r="C27" s="34">
        <f>+'COL. CONS.$'!C27/Paramet!$G$5*1000</f>
        <v>82632.325581395344</v>
      </c>
      <c r="D27" s="32">
        <f>+C27/$C$20</f>
        <v>0.34573084643579605</v>
      </c>
      <c r="E27" s="34">
        <f>+'COL. CONS.$'!E27/Paramet!$G$3*1000</f>
        <v>87848.770177650775</v>
      </c>
      <c r="F27" s="32">
        <f>+E27/$E$20</f>
        <v>0.36244571475141235</v>
      </c>
      <c r="G27" s="32">
        <f>IF(C27=0,"",(E27-C27)/ABS(C27)+1)</f>
        <v>1.0631283769342432</v>
      </c>
      <c r="H27" s="34">
        <f>+'COL. CONS.$'!H27/Paramet!$G$4*1000</f>
        <v>64467.652572512452</v>
      </c>
      <c r="I27" s="32">
        <f>+H27/$H$20</f>
        <v>0.35585605969363315</v>
      </c>
      <c r="J27" s="33">
        <f>IF(H27=0,"",(E27-H27)/ABS(H27))</f>
        <v>0.3626798351132689</v>
      </c>
      <c r="K27" s="34">
        <f>+'COL. CONS.$'!K27/Paramet!$G$5*1000</f>
        <v>160472.5581395349</v>
      </c>
      <c r="L27" s="32">
        <f>+K27/$K$20</f>
        <v>0.34939726702992174</v>
      </c>
      <c r="M27" s="34">
        <f>+'COL. CONS.$'!M27/Paramet!$G$3*1000</f>
        <v>168400.55772124999</v>
      </c>
      <c r="N27" s="32">
        <f>+M27/$M$20</f>
        <v>0.34828862005283667</v>
      </c>
      <c r="O27" s="32">
        <f>IF(K27=0,"",(M27-K27)/ABS(K27)+1)</f>
        <v>1.0494040830010418</v>
      </c>
      <c r="P27" s="34">
        <f>+'COL. CONS.$'!P27/Paramet!$G$4*1000</f>
        <v>123102.38829360211</v>
      </c>
      <c r="Q27" s="32">
        <f>+P27/$P$20</f>
        <v>0.37031320354570318</v>
      </c>
      <c r="R27" s="33">
        <f>IF(P27=0,"",(M27-P27)/ABS(P27))</f>
        <v>0.36797149150031661</v>
      </c>
      <c r="T27" s="36">
        <f>+E39/C39</f>
        <v>1.007496145965407</v>
      </c>
      <c r="U27" s="35"/>
      <c r="V27" s="18" t="s">
        <v>47</v>
      </c>
      <c r="W27" s="34">
        <f>'COLOMB$ '!U27/Paramet!$G$5*1000</f>
        <v>-61218.604651162794</v>
      </c>
      <c r="X27" s="34">
        <f>'COLOMB$ '!V27/Paramet!$G$3*1000</f>
        <v>-49758.215138449654</v>
      </c>
      <c r="Y27" s="34">
        <f>'COLOMB$ '!W27/Paramet!$G$4*1000</f>
        <v>5501.5036999754575</v>
      </c>
      <c r="Z27" s="34">
        <f>'COLOMB$ '!X27/Paramet!$G$5*1000</f>
        <v>-58882.790697674413</v>
      </c>
      <c r="AA27" s="34">
        <f>'COLOMB$ '!Y27/Paramet!$G$3*1000</f>
        <v>-47204.567872359898</v>
      </c>
      <c r="AB27" s="35">
        <f>+AA27-Z27</f>
        <v>11678.222825314515</v>
      </c>
      <c r="AC27" s="36">
        <f>IF(Z27=0,"",(AA27-Z27)/ABS(Z27)+1)</f>
        <v>1.1983299821041897</v>
      </c>
      <c r="AD27" s="34">
        <f>'COLOMB$ '!AB27/Paramet!$G$4*1000</f>
        <v>32124.480568369472</v>
      </c>
      <c r="AE27" s="33">
        <f>IF(AD27=0,"",(AA27-AD27)/ABS(AD27))</f>
        <v>-2.4694266502425144</v>
      </c>
    </row>
    <row r="28" spans="2:33" x14ac:dyDescent="0.2">
      <c r="B28" s="18" t="s">
        <v>48</v>
      </c>
      <c r="C28" s="34">
        <f>SUM(C26:C27)</f>
        <v>155107.20930232559</v>
      </c>
      <c r="D28" s="32">
        <f>+C28/$C$20</f>
        <v>0.64896330077948261</v>
      </c>
      <c r="E28" s="34">
        <f>SUM(E26:E27)</f>
        <v>149663.5876483389</v>
      </c>
      <c r="F28" s="32">
        <f>+E28/$E$20</f>
        <v>0.61748076709289046</v>
      </c>
      <c r="G28" s="32">
        <f>IF(C28=0,"",(E28-C28)/ABS(C28)+1)</f>
        <v>0.9649041351561144</v>
      </c>
      <c r="H28" s="34">
        <f>+'COL. CONS.$'!H28/Paramet!$G$4*1000</f>
        <v>106890.56760202491</v>
      </c>
      <c r="I28" s="32">
        <f>+H28/$H$20</f>
        <v>0.590027008700033</v>
      </c>
      <c r="J28" s="33">
        <f>IF(H28=0,"",(E28-H28)/ABS(H28))</f>
        <v>0.40015710465273746</v>
      </c>
      <c r="K28" s="34">
        <f>SUM(K26:K27)</f>
        <v>282203.48837209307</v>
      </c>
      <c r="L28" s="32">
        <f>+K28/$K$20</f>
        <v>0.61444229921095583</v>
      </c>
      <c r="M28" s="34">
        <f>SUM(M26:M27)</f>
        <v>271087.98412379628</v>
      </c>
      <c r="N28" s="32">
        <f>+M28/$M$20</f>
        <v>0.56066833258158566</v>
      </c>
      <c r="O28" s="32">
        <f>IF(K28=0,"",(M28-K28)/ABS(K28)+1)</f>
        <v>0.9606117404415615</v>
      </c>
      <c r="P28" s="34">
        <f>SUM(P26:P27)</f>
        <v>201431.92168697249</v>
      </c>
      <c r="Q28" s="32">
        <f>+P28/$P$20</f>
        <v>0.60594194190907291</v>
      </c>
      <c r="R28" s="33">
        <f>IF(P28=0,"",(M28-P28)/ABS(P28))</f>
        <v>0.34580448745889497</v>
      </c>
      <c r="T28" s="36">
        <f>+E41/C41</f>
        <v>0.87561280025134047</v>
      </c>
      <c r="U28" s="16"/>
      <c r="V28" s="18" t="s">
        <v>49</v>
      </c>
      <c r="W28" s="34">
        <f>'COLOMB$ '!U28/Paramet!$G$5*1000</f>
        <v>0</v>
      </c>
      <c r="X28" s="34">
        <f>'COLOMB$ '!V28/Paramet!$G$3*1000</f>
        <v>0</v>
      </c>
      <c r="Y28" s="34">
        <f>'COLOMB$ '!W28/Paramet!$G$4*1000</f>
        <v>0</v>
      </c>
      <c r="Z28" s="34">
        <f>'COLOMB$ '!X28/Paramet!$G$5*1000</f>
        <v>0</v>
      </c>
      <c r="AA28" s="34">
        <f>'COLOMB$ '!Y28/Paramet!$G$3*1000</f>
        <v>0</v>
      </c>
      <c r="AB28" s="35">
        <f>+AA28-Z28</f>
        <v>0</v>
      </c>
      <c r="AC28" s="36" t="str">
        <f>IF(Z28=0,"",(AA28-Z28)/ABS(Z28)+1)</f>
        <v/>
      </c>
      <c r="AD28" s="34">
        <f>'COLOMB$ '!AB28/Paramet!$G$4*1000</f>
        <v>0</v>
      </c>
      <c r="AE28" s="33" t="str">
        <f>IF(AD28=0,"",(AA28-AD28)/ABS(AD28))</f>
        <v/>
      </c>
    </row>
    <row r="29" spans="2:33" x14ac:dyDescent="0.2">
      <c r="J29" s="33"/>
      <c r="R29" s="33"/>
      <c r="T29" s="23">
        <f>+E42/C42</f>
        <v>0.62564029071213412</v>
      </c>
      <c r="U29" s="23"/>
      <c r="AE29" s="2"/>
    </row>
    <row r="30" spans="2:33" x14ac:dyDescent="0.2">
      <c r="B30" s="18" t="s">
        <v>50</v>
      </c>
      <c r="C30" s="34">
        <f>+'COL. CONS.$'!C30/Paramet!$G$5*1000</f>
        <v>15186.511627906977</v>
      </c>
      <c r="D30" s="32">
        <f>+C30/$C$20</f>
        <v>6.3539849357761219E-2</v>
      </c>
      <c r="E30" s="34">
        <f>+'COL. CONS.$'!E30/Paramet!$G$3*1000</f>
        <v>14510.571339956679</v>
      </c>
      <c r="F30" s="32">
        <f>+E30/$E$20</f>
        <v>5.986759279755919E-2</v>
      </c>
      <c r="G30" s="32">
        <f>IF(C30=0,"",(E30-C30)/ABS(C30)+1)</f>
        <v>0.95549074701867809</v>
      </c>
      <c r="H30" s="34">
        <f>+'COL. CONS.$'!H30/Paramet!$G$4*1000</f>
        <v>11296.814427200537</v>
      </c>
      <c r="I30" s="32">
        <f>+H30/$H$20</f>
        <v>6.2357472449180273E-2</v>
      </c>
      <c r="J30" s="33">
        <f>IF(H30=0,"",(E30-H30)/ABS(H30))</f>
        <v>0.28448346509242806</v>
      </c>
      <c r="K30" s="34">
        <f>+'COL. CONS.$'!K30/Paramet!$G$5*1000</f>
        <v>28476.279069767443</v>
      </c>
      <c r="L30" s="32">
        <f>+K30/$K$20</f>
        <v>6.200146740046817E-2</v>
      </c>
      <c r="M30" s="34">
        <f>+'COL. CONS.$'!M30/Paramet!$G$3*1000</f>
        <v>28294.544834704444</v>
      </c>
      <c r="N30" s="32">
        <f>+M30/$M$20</f>
        <v>5.8519212221461635E-2</v>
      </c>
      <c r="O30" s="32">
        <f>IF(K30=0,"",(M30-K30)/ABS(K30)+1)</f>
        <v>0.99361804838975809</v>
      </c>
      <c r="P30" s="34">
        <f>+'COL. CONS.$'!P30/Paramet!$G$4*1000</f>
        <v>21499.511203916689</v>
      </c>
      <c r="Q30" s="32">
        <f>+P30/$P$20</f>
        <v>6.4674235641965255E-2</v>
      </c>
      <c r="R30" s="33">
        <f>IF(P30=0,"",(M30-P30)/ABS(P30))</f>
        <v>0.31605526127263139</v>
      </c>
      <c r="T30" s="36">
        <f>+E43/C43</f>
        <v>0.89856033623102916</v>
      </c>
      <c r="U30" s="16"/>
      <c r="V30" s="41" t="s">
        <v>51</v>
      </c>
      <c r="W30" s="42">
        <f>+W21-W23-W25-W27-W28</f>
        <v>7763.7209302325646</v>
      </c>
      <c r="X30" s="42">
        <f>+X21-X23-X25-X27-X28</f>
        <v>15211.076132053429</v>
      </c>
      <c r="Y30" s="42">
        <f>+Y21-Y23-Y25-Y27-Y28</f>
        <v>18617.778454870277</v>
      </c>
      <c r="Z30" s="42">
        <f>'COLOMB$ '!X30/Paramet!$G$5*1000</f>
        <v>7763.7209302325582</v>
      </c>
      <c r="AA30" s="42">
        <f>+'COL. CONS.$'!Y30/Paramet!G3*1000</f>
        <v>15210.961203083087</v>
      </c>
      <c r="AB30" s="46">
        <f>+AA30-Z30</f>
        <v>7447.2402728505285</v>
      </c>
      <c r="AC30" s="47">
        <f>IF(W30=0,"",(X30-W30)/ABS(W30)+1)</f>
        <v>1.9592507598798734</v>
      </c>
      <c r="AD30" s="42">
        <f>+AD21-AD23-AD25-AD27-AD28</f>
        <v>18617.775882149828</v>
      </c>
      <c r="AE30" s="33">
        <f>IF(AD30=0,"",(AA30-AD30)/ABS(AD30))</f>
        <v>-0.18298720000884178</v>
      </c>
    </row>
    <row r="31" spans="2:33" x14ac:dyDescent="0.2">
      <c r="J31" s="33"/>
      <c r="R31" s="33"/>
      <c r="T31" s="36">
        <f>+E45/C45</f>
        <v>1.2707344944004639</v>
      </c>
      <c r="U31" s="16"/>
      <c r="W31" s="82"/>
      <c r="X31" s="82"/>
      <c r="Y31" s="82"/>
      <c r="Z31" s="82"/>
      <c r="AA31" s="82"/>
      <c r="AB31" s="82"/>
    </row>
    <row r="32" spans="2:33" x14ac:dyDescent="0.2">
      <c r="B32" s="18" t="s">
        <v>52</v>
      </c>
      <c r="C32" s="34">
        <f>+'COL. CONS.$'!C31/Paramet!$G$5*1000</f>
        <v>44737.906976744183</v>
      </c>
      <c r="D32" s="32">
        <f>+C32/$C$20</f>
        <v>0.18718188478914269</v>
      </c>
      <c r="E32" s="34">
        <f>+'COL. CONS.$'!E31/Paramet!$G$3*1000</f>
        <v>47763.304919716487</v>
      </c>
      <c r="F32" s="32">
        <f>+E32/$E$20</f>
        <v>0.1970614404220819</v>
      </c>
      <c r="G32" s="32">
        <f>IF(C32=0,"",(E32-C32)/ABS(C32)+1)</f>
        <v>1.0676249325777574</v>
      </c>
      <c r="H32" s="34">
        <f>+'COL. CONS.$'!H31/Paramet!$G$4*1000</f>
        <v>34331.929134758968</v>
      </c>
      <c r="I32" s="32">
        <f>+H32/$H$20</f>
        <v>0.18950938239661483</v>
      </c>
      <c r="J32" s="33">
        <f>IF(H32=0,"",(E32-H32)/ABS(H32))</f>
        <v>0.39122112049797625</v>
      </c>
      <c r="K32" s="34">
        <f>+'COL. CONS.$'!K31/Paramet!$G$5*1000</f>
        <v>92103.255813953481</v>
      </c>
      <c r="L32" s="32">
        <f>+K32/$K$20</f>
        <v>0.20053662906009909</v>
      </c>
      <c r="M32" s="34">
        <f>+'COL. CONS.$'!M31/Paramet!$G$3*1000</f>
        <v>99353.00162448264</v>
      </c>
      <c r="N32" s="32">
        <f>+M32/$M$20</f>
        <v>0.20548340398715781</v>
      </c>
      <c r="O32" s="32">
        <f>IF(K32=0,"",(M32-K32)/ABS(K32)+1)</f>
        <v>1.0787132414208407</v>
      </c>
      <c r="P32" s="34">
        <f>+'COL. CONS.$'!P31/Paramet!$G$4*1000</f>
        <v>68805.21669294154</v>
      </c>
      <c r="Q32" s="32">
        <f>+P32/$P$20</f>
        <v>0.20697795199107197</v>
      </c>
      <c r="R32" s="33">
        <f>IF(P32=0,"",(M32-P32)/ABS(P32))</f>
        <v>0.4439748379525833</v>
      </c>
      <c r="T32" s="36">
        <f>+E46/C46</f>
        <v>1.0366206379557181</v>
      </c>
      <c r="U32" s="16"/>
    </row>
    <row r="33" spans="2:27" x14ac:dyDescent="0.2">
      <c r="B33" s="18" t="s">
        <v>53</v>
      </c>
      <c r="C33" s="34">
        <f>SUM(C30:C32)</f>
        <v>59924.41860465116</v>
      </c>
      <c r="D33" s="32">
        <f>+C33/$C$20</f>
        <v>0.25072173414690391</v>
      </c>
      <c r="E33" s="34">
        <f>SUM(E30:E32)</f>
        <v>62273.876259673169</v>
      </c>
      <c r="F33" s="32">
        <f>+E33/$E$20</f>
        <v>0.25692903321964111</v>
      </c>
      <c r="G33" s="32">
        <f>IF(C33=0,"",(E33-C33)/ABS(C33)+1)</f>
        <v>1.0392070162669822</v>
      </c>
      <c r="H33" s="34">
        <f>SUM(H30:H32)</f>
        <v>45628.743561959505</v>
      </c>
      <c r="I33" s="32">
        <f>+H33/$H$20</f>
        <v>0.25186685484579507</v>
      </c>
      <c r="J33" s="33">
        <f>IF(H33=0,"",(E33-H33)/ABS(H33))</f>
        <v>0.36479489458461972</v>
      </c>
      <c r="K33" s="34">
        <f>SUM(K30:K32)</f>
        <v>120579.53488372092</v>
      </c>
      <c r="L33" s="32">
        <f>+K33/$K$20</f>
        <v>0.26253809646056725</v>
      </c>
      <c r="M33" s="34">
        <f>SUM(M30:M32)</f>
        <v>127647.54645918708</v>
      </c>
      <c r="N33" s="32">
        <f>+M33/$M$20</f>
        <v>0.26400261620861942</v>
      </c>
      <c r="O33" s="32">
        <f>IF(K33=0,"",(M33-K33)/ABS(K33)+1)</f>
        <v>1.0586170081206741</v>
      </c>
      <c r="P33" s="34">
        <f>SUM(P30:P32)</f>
        <v>90304.727896858225</v>
      </c>
      <c r="Q33" s="32">
        <f>+P33/$P$20</f>
        <v>0.27165218763303722</v>
      </c>
      <c r="R33" s="33">
        <f>IF(P33=0,"",(M33-P33)/ABS(P33))</f>
        <v>0.41352008285745628</v>
      </c>
    </row>
    <row r="34" spans="2:27" x14ac:dyDescent="0.2">
      <c r="B34" s="18" t="s">
        <v>54</v>
      </c>
      <c r="C34" s="34">
        <f>+C28+C33</f>
        <v>215031.62790697673</v>
      </c>
      <c r="D34" s="32">
        <f>+C34/$C$20</f>
        <v>0.89968503492638652</v>
      </c>
      <c r="E34" s="34">
        <f>+E28+E33</f>
        <v>211937.46390801208</v>
      </c>
      <c r="F34" s="32">
        <f>+E34/$E$20</f>
        <v>0.87440980031253168</v>
      </c>
      <c r="G34" s="32">
        <f>IF(C34=0,"",(E34-C34)/ABS(C34)+1)</f>
        <v>0.98561065630632161</v>
      </c>
      <c r="H34" s="34">
        <f>+H28+H33</f>
        <v>152519.31116398441</v>
      </c>
      <c r="I34" s="32">
        <f>+H34/$H$20</f>
        <v>0.84189386354582807</v>
      </c>
      <c r="J34" s="33">
        <f>IF(H34=0,"",(E34-H34)/ABS(H34))</f>
        <v>0.38957789863175402</v>
      </c>
      <c r="K34" s="34">
        <f>+K28+K33</f>
        <v>402783.02325581398</v>
      </c>
      <c r="L34" s="32">
        <f>+K34/$K$20</f>
        <v>0.87698039567152308</v>
      </c>
      <c r="M34" s="34">
        <f>+M28+M33</f>
        <v>398735.5305829834</v>
      </c>
      <c r="N34" s="32">
        <f>+M34/$M$20</f>
        <v>0.82467094879020519</v>
      </c>
      <c r="O34" s="32">
        <f>IF(K34=0,"",(M34-K34)/ABS(K34)+1)</f>
        <v>0.98995118354265899</v>
      </c>
      <c r="P34" s="34">
        <f>+P28+P33</f>
        <v>291736.64958383073</v>
      </c>
      <c r="Q34" s="32">
        <f>+P34/$P$20</f>
        <v>0.87759412954211014</v>
      </c>
      <c r="R34" s="33">
        <f>IF(P34=0,"",(M34-P34)/ABS(P34))</f>
        <v>0.36676530409116959</v>
      </c>
    </row>
    <row r="35" spans="2:27" x14ac:dyDescent="0.2">
      <c r="J35" s="33"/>
      <c r="R35" s="33"/>
    </row>
    <row r="36" spans="2:27" x14ac:dyDescent="0.2">
      <c r="B36" s="18" t="s">
        <v>55</v>
      </c>
      <c r="C36" s="34">
        <f>C24-C34</f>
        <v>-12659.767441860458</v>
      </c>
      <c r="D36" s="32">
        <f>+C36/$C$20</f>
        <v>-5.2968037418278845E-2</v>
      </c>
      <c r="E36" s="34">
        <f>E24-E34</f>
        <v>-10269.491478457174</v>
      </c>
      <c r="F36" s="32">
        <f>+E36/$E$20</f>
        <v>-4.236978129023234E-2</v>
      </c>
      <c r="G36" s="32">
        <f>IF(C36=0,"",(E36-C36)/ABS(C36)+1)</f>
        <v>1.1888088366852347</v>
      </c>
      <c r="H36" s="34">
        <f>H24-H34</f>
        <v>15751.629054062447</v>
      </c>
      <c r="I36" s="32">
        <f>+H36/$H$20</f>
        <v>8.6947677249914188E-2</v>
      </c>
      <c r="J36" s="33">
        <f>IF(H36=0,"",(E36-H36)/ABS(H36))</f>
        <v>-1.6519637710620545</v>
      </c>
      <c r="K36" s="34">
        <f>K24-K34</f>
        <v>-1294.8837209302583</v>
      </c>
      <c r="L36" s="32">
        <f>+K36/$K$20</f>
        <v>-2.8193532804603886E-3</v>
      </c>
      <c r="M36" s="34">
        <f>M24-M34</f>
        <v>16804.695906507084</v>
      </c>
      <c r="N36" s="32">
        <f>+M36/$M$20</f>
        <v>3.4755730188097508E-2</v>
      </c>
      <c r="O36" s="32">
        <f>IF(K36=0,"",(M36-K36)/ABS(K36)+1)</f>
        <v>14.97776443929221</v>
      </c>
      <c r="P36" s="34">
        <f>P24-P34</f>
        <v>8336.692186583532</v>
      </c>
      <c r="Q36" s="32">
        <f>+P36/$P$20</f>
        <v>2.5078207119955842E-2</v>
      </c>
      <c r="R36" s="33">
        <f>IF(P36=0,"",(M36-P36)/ABS(P36))</f>
        <v>1.0157510353508485</v>
      </c>
      <c r="Z36" s="39"/>
      <c r="AA36" s="39"/>
    </row>
    <row r="37" spans="2:27" ht="11.25" customHeight="1" x14ac:dyDescent="0.2">
      <c r="J37" s="33"/>
      <c r="R37" s="33"/>
    </row>
    <row r="38" spans="2:27" x14ac:dyDescent="0.2">
      <c r="B38" s="18" t="s">
        <v>56</v>
      </c>
      <c r="C38" s="34">
        <f>+'COL. CONS.$'!C38/Paramet!$G$5*1000</f>
        <v>74.651162790697683</v>
      </c>
      <c r="D38" s="32">
        <f>+C38/$C$20</f>
        <v>3.1233793212828627E-4</v>
      </c>
      <c r="E38" s="34">
        <f>+'COL. CONS.$'!E38/Paramet!$G$3*1000</f>
        <v>117.90169210587865</v>
      </c>
      <c r="F38" s="32">
        <f>+E38/$E$20</f>
        <v>4.864378064633129E-4</v>
      </c>
      <c r="G38" s="32">
        <f>IF(C38=0,"",(E38-C38)/ABS(C38)+1)</f>
        <v>1.5793684612313961</v>
      </c>
      <c r="H38" s="34">
        <f>+'COL. CONS.$'!H38/Paramet!$G$4*1000</f>
        <v>411.0004471583606</v>
      </c>
      <c r="I38" s="32">
        <f>+H38/$H$20</f>
        <v>2.2686881532344824E-3</v>
      </c>
      <c r="J38" s="33">
        <f>IF(H38=0,"",(E38-H38)/ABS(H38))</f>
        <v>-0.71313488118797463</v>
      </c>
      <c r="K38" s="34">
        <f>+'COL. CONS.$'!K38/Paramet!$G$5*1000</f>
        <v>149.30232558139537</v>
      </c>
      <c r="L38" s="32">
        <f>+K38/$K$20</f>
        <v>3.2507629419100819E-4</v>
      </c>
      <c r="M38" s="34">
        <f>+'COL. CONS.$'!M38/Paramet!$G$3*1000</f>
        <v>316.60025778175498</v>
      </c>
      <c r="N38" s="32">
        <f>+M38/$M$20</f>
        <v>6.5479751601360266E-4</v>
      </c>
      <c r="O38" s="32">
        <f>IF(K38=0,"",(M38-K38)/ABS(K38)+1)</f>
        <v>2.1205313215911934</v>
      </c>
      <c r="P38" s="34">
        <f>+'COL. CONS.$'!P38/Paramet!$G$4*1000</f>
        <v>440.75249056807831</v>
      </c>
      <c r="Q38" s="32">
        <f>+P38/$P$20</f>
        <v>1.3258594655672909E-3</v>
      </c>
      <c r="R38" s="33">
        <f>IF(P38=0,"",(M38-P38)/ABS(P38))</f>
        <v>-0.28168243048679237</v>
      </c>
    </row>
    <row r="39" spans="2:27" x14ac:dyDescent="0.2">
      <c r="B39" s="18" t="s">
        <v>57</v>
      </c>
      <c r="C39" s="34">
        <f>+'COL. CONS.$'!C39/Paramet!$G$5*1000</f>
        <v>6582.3255813953483</v>
      </c>
      <c r="D39" s="32">
        <f>+C39/$C$20</f>
        <v>2.7540226887722782E-2</v>
      </c>
      <c r="E39" s="34">
        <f>+'COL. CONS.$'!E39/Paramet!$G$3*1000</f>
        <v>6631.6676547453208</v>
      </c>
      <c r="F39" s="32">
        <f>+E39/$E$20</f>
        <v>2.7360878453475318E-2</v>
      </c>
      <c r="G39" s="32">
        <f>IF(C39=0,"",(E39-C39)/ABS(C39)+1)</f>
        <v>1.007496145965407</v>
      </c>
      <c r="H39" s="34">
        <f>+'COL. CONS.$'!H39/Paramet!$G$4*1000</f>
        <v>6515.6284675571014</v>
      </c>
      <c r="I39" s="32">
        <f>+H39/$H$20</f>
        <v>3.5965725140752913E-2</v>
      </c>
      <c r="J39" s="33">
        <f>IF(H39=0,"",(E39-H39)/ABS(H39))</f>
        <v>1.7809362176804074E-2</v>
      </c>
      <c r="K39" s="34">
        <f>+'COL. CONS.$'!K39/Paramet!$G$5*1000</f>
        <v>13418.837209302324</v>
      </c>
      <c r="L39" s="32">
        <f>+K39/$K$20</f>
        <v>2.9216864877126728E-2</v>
      </c>
      <c r="M39" s="34">
        <f>+'COL. CONS.$'!M39/Paramet!$G$3*1000</f>
        <v>14779.556340821036</v>
      </c>
      <c r="N39" s="32">
        <f>+M39/$M$20</f>
        <v>3.0567305432909239E-2</v>
      </c>
      <c r="O39" s="32">
        <f>IF(K39=0,"",(M39-K39)/ABS(K39)+1)</f>
        <v>1.1014036544519239</v>
      </c>
      <c r="P39" s="34">
        <f>+'COL. CONS.$'!P39/Paramet!$G$4*1000</f>
        <v>11332.84351953146</v>
      </c>
      <c r="Q39" s="32">
        <f>+P39/$P$20</f>
        <v>3.4091146785800976E-2</v>
      </c>
      <c r="R39" s="33">
        <f>IF(P39=0,"",(M39-P39)/ABS(P39))</f>
        <v>0.30413486388913596</v>
      </c>
    </row>
    <row r="40" spans="2:27" x14ac:dyDescent="0.2">
      <c r="J40" s="33"/>
      <c r="R40" s="33"/>
    </row>
    <row r="41" spans="2:27" x14ac:dyDescent="0.2">
      <c r="B41" s="18" t="s">
        <v>58</v>
      </c>
      <c r="C41" s="34">
        <f>+C36+C38-C39</f>
        <v>-19167.441860465107</v>
      </c>
      <c r="D41" s="32">
        <f>+C41/$C$20</f>
        <v>-8.0195926373873336E-2</v>
      </c>
      <c r="E41" s="34">
        <f>E36+E38-E39</f>
        <v>-16783.257441096615</v>
      </c>
      <c r="F41" s="32">
        <f>+E41/$E$20</f>
        <v>-6.9244221937244346E-2</v>
      </c>
      <c r="G41" s="32">
        <f>IF(C41=0,"",(E41-C41)/ABS(C41)+1)</f>
        <v>1.1243871997486596</v>
      </c>
      <c r="H41" s="34">
        <f>+H36+H38-H39</f>
        <v>9647.001033663706</v>
      </c>
      <c r="I41" s="32">
        <f>+H41/$H$20</f>
        <v>5.3250640262395753E-2</v>
      </c>
      <c r="J41" s="33">
        <f>IF(H41=0,"",(E41-H41)/ABS(H41))</f>
        <v>-2.7397383272304601</v>
      </c>
      <c r="K41" s="34">
        <f>K36+K38-K39</f>
        <v>-14564.418604651188</v>
      </c>
      <c r="L41" s="32">
        <f>+K41/$K$20</f>
        <v>-3.171114186339611E-2</v>
      </c>
      <c r="M41" s="34">
        <f>M36+M38-M39</f>
        <v>2341.7398234678039</v>
      </c>
      <c r="N41" s="32">
        <f>+M41/$M$20</f>
        <v>4.8432222712018747E-3</v>
      </c>
      <c r="O41" s="32">
        <f>IF(K41=0,"",(M41-K41)/ABS(K41)+1)</f>
        <v>2.1607849847655412</v>
      </c>
      <c r="P41" s="34">
        <f>P36+P38-P39</f>
        <v>-2555.3988423798492</v>
      </c>
      <c r="Q41" s="32">
        <f>+P41/$P$20</f>
        <v>-7.687080200277841E-3</v>
      </c>
      <c r="R41" s="33">
        <f>IF(P41=0,"",(M41-P41)/ABS(P41))</f>
        <v>1.9163891697183897</v>
      </c>
    </row>
    <row r="42" spans="2:27" x14ac:dyDescent="0.2">
      <c r="B42" s="18" t="s">
        <v>44</v>
      </c>
      <c r="C42" s="34">
        <f>+'COL. CONS.$'!C42/Paramet!$G$5*1000</f>
        <v>-1611.6279069767443</v>
      </c>
      <c r="D42" s="32">
        <f>+C42/$C$20</f>
        <v>-6.7429964786573952E-3</v>
      </c>
      <c r="E42" s="34">
        <f>+'COL. CONS.$'!E42/Paramet!$G$3*1000</f>
        <v>-1008.2993522407185</v>
      </c>
      <c r="F42" s="32">
        <f>+E42/$E$20</f>
        <v>-4.1600329596787776E-3</v>
      </c>
      <c r="G42" s="32">
        <f>IF(C42=0,"",(E42-C42)/ABS(C42)+1)</f>
        <v>1.3743597092878659</v>
      </c>
      <c r="H42" s="34">
        <f>+'COL. CONS.$'!H42/Paramet!$G$4*1000</f>
        <v>4306.2689522351675</v>
      </c>
      <c r="I42" s="32">
        <f>+H42/$H$20</f>
        <v>2.3770245079108444E-2</v>
      </c>
      <c r="J42" s="33">
        <f>IF(H42=0,"",(E42-H42)/ABS(H42))</f>
        <v>-1.2341468597119001</v>
      </c>
      <c r="K42" s="34">
        <f>+'COL. CONS.$'!K42/Paramet!$G$5*1000</f>
        <v>5657.2093023255811</v>
      </c>
      <c r="L42" s="32">
        <f>+K42/$K$20</f>
        <v>1.2317454723505395E-2</v>
      </c>
      <c r="M42" s="34">
        <f>+'COL. CONS.$'!M42/Paramet!$G$3*1000</f>
        <v>11740.641302026663</v>
      </c>
      <c r="N42" s="32">
        <f>+M42/$M$20</f>
        <v>2.4282174673001158E-2</v>
      </c>
      <c r="O42" s="32">
        <f>IF(K42=0,"",(M42-K42)/ABS(K42)+1)</f>
        <v>2.0753415110875055</v>
      </c>
      <c r="P42" s="34">
        <f>+'COL. CONS.$'!P42/Paramet!$G$4*1000</f>
        <v>25517.437096257596</v>
      </c>
      <c r="Q42" s="32">
        <f>+P42/$P$20</f>
        <v>7.6760849309064336E-2</v>
      </c>
      <c r="R42" s="33">
        <f>IF(P42=0,"",(M42-P42)/ABS(P42))</f>
        <v>-0.53989731579475309</v>
      </c>
    </row>
    <row r="43" spans="2:27" x14ac:dyDescent="0.2">
      <c r="B43" s="41" t="s">
        <v>59</v>
      </c>
      <c r="C43" s="42">
        <f>C41-C42</f>
        <v>-17555.813953488363</v>
      </c>
      <c r="D43" s="43">
        <f>+C43/$C$20</f>
        <v>-7.3452929895215943E-2</v>
      </c>
      <c r="E43" s="42">
        <f>E41-E42</f>
        <v>-15774.958088855898</v>
      </c>
      <c r="F43" s="43">
        <f>+E43/$E$20</f>
        <v>-6.5084188977565571E-2</v>
      </c>
      <c r="G43" s="43">
        <f>IF(C43=0,"",(E43-C43)/ABS(C43)+1)</f>
        <v>1.1014396637689707</v>
      </c>
      <c r="H43" s="42">
        <f>H41-H42</f>
        <v>5340.7320814285385</v>
      </c>
      <c r="I43" s="43">
        <f>+H43/$H$20</f>
        <v>2.9480395183287308E-2</v>
      </c>
      <c r="J43" s="44">
        <f>IF(H43=0,"",(E43-H43)/ABS(H43))</f>
        <v>-3.9537070664358085</v>
      </c>
      <c r="K43" s="42">
        <f>K41-K42</f>
        <v>-20221.62790697677</v>
      </c>
      <c r="L43" s="43">
        <f>+K43/$K$20</f>
        <v>-4.402859658690151E-2</v>
      </c>
      <c r="M43" s="42">
        <f>M41-M42</f>
        <v>-9398.9014785588588</v>
      </c>
      <c r="N43" s="43">
        <f>+M43/$M$20</f>
        <v>-1.9438952401799284E-2</v>
      </c>
      <c r="O43" s="43">
        <f>IF(K43=0,"",(M43-K43)/ABS(K43)+1)</f>
        <v>1.5352054977079221</v>
      </c>
      <c r="P43" s="42">
        <f>P41-P42</f>
        <v>-28072.835938637443</v>
      </c>
      <c r="Q43" s="43">
        <f>+P43/$P$20</f>
        <v>-8.4447929509342171E-2</v>
      </c>
      <c r="R43" s="44">
        <f>IF(P43=0,"",(M43-P43)/ABS(P43))</f>
        <v>0.66519586766711791</v>
      </c>
    </row>
    <row r="44" spans="2:27" x14ac:dyDescent="0.2">
      <c r="J44" s="33"/>
      <c r="R44" s="33"/>
    </row>
    <row r="45" spans="2:27" x14ac:dyDescent="0.2">
      <c r="B45" s="18" t="s">
        <v>60</v>
      </c>
      <c r="C45" s="34">
        <f>+'COL. CONS.$'!C45/Paramet!$G$5*1000</f>
        <v>12829.069767441861</v>
      </c>
      <c r="D45" s="32">
        <f>+C45/$C$20</f>
        <v>5.3676392603915608E-2</v>
      </c>
      <c r="E45" s="34">
        <f>+'COL. CONS.$'!E45/Paramet!$G$3*1000</f>
        <v>16302.34148455851</v>
      </c>
      <c r="F45" s="32">
        <f>+E45/$E$20</f>
        <v>6.7260062941616683E-2</v>
      </c>
      <c r="G45" s="32">
        <f>IF(C45=0,"",(E45-C45)/ABS(C45)+1)</f>
        <v>1.2707344944004639</v>
      </c>
      <c r="H45" s="34">
        <f>+'COL. CONS.$'!H45/Paramet!$G$4*1000</f>
        <v>24789.983948054713</v>
      </c>
      <c r="I45" s="32">
        <f>+H45/$H$20</f>
        <v>0.13683864163815582</v>
      </c>
      <c r="J45" s="33">
        <f>IF(H45=0,"",(E45-H45)/ABS(H45))</f>
        <v>-0.34238192655877997</v>
      </c>
      <c r="K45" s="34">
        <f>+'COL. CONS.$'!K45/Paramet!$G$5*1000</f>
        <v>49667.20930232558</v>
      </c>
      <c r="L45" s="32">
        <f>+K45/$K$20</f>
        <v>0.10814052815277168</v>
      </c>
      <c r="M45" s="34">
        <f>+'COL. CONS.$'!M45/Paramet!$G$3*1000</f>
        <v>70757.417570851947</v>
      </c>
      <c r="N45" s="32">
        <f>+M45/$M$20</f>
        <v>0.14634157782925564</v>
      </c>
      <c r="O45" s="32">
        <f>IF(K45=0,"",(M45-K45)/ABS(K45)+1)</f>
        <v>1.4246304264882235</v>
      </c>
      <c r="P45" s="34">
        <f>+'COL. CONS.$'!P45/Paramet!$G$4*1000</f>
        <v>100838.85041408955</v>
      </c>
      <c r="Q45" s="32">
        <f>+P45/$P$20</f>
        <v>0.30334064396578569</v>
      </c>
      <c r="R45" s="33">
        <f>IF(P45=0,"",(M45-P45)/ABS(P45))</f>
        <v>-0.29831193750930074</v>
      </c>
    </row>
    <row r="46" spans="2:27" x14ac:dyDescent="0.2">
      <c r="B46" s="18" t="s">
        <v>35</v>
      </c>
      <c r="C46" s="34">
        <f>+'COL. CONS.$'!C46/Paramet!$G$5*1000</f>
        <v>104538.60465116278</v>
      </c>
      <c r="D46" s="32">
        <f>+C46/$C$20</f>
        <v>0.43738597476192742</v>
      </c>
      <c r="E46" s="34">
        <f>+'COL. CONS.$'!E46/Paramet!$G$3*1000</f>
        <v>108366.87504448896</v>
      </c>
      <c r="F46" s="32">
        <f>+E46/$E$20</f>
        <v>0.4470991386840053</v>
      </c>
      <c r="G46" s="32">
        <f>IF(C46=0,"",(E46-C46)/ABS(C46)+1)</f>
        <v>1.0366206379557181</v>
      </c>
      <c r="H46" s="34">
        <f>+'COL. CONS.$'!H46/Paramet!$G$4*1000</f>
        <v>74644.394298002968</v>
      </c>
      <c r="I46" s="32">
        <f>+H46/$H$20</f>
        <v>0.41203082434602178</v>
      </c>
      <c r="J46" s="33">
        <f>IF(H46=0,"",(E46-H46)/ABS(H46))</f>
        <v>0.45177512743764336</v>
      </c>
      <c r="K46" s="34">
        <f>+'COL. CONS.$'!K46/Paramet!$G$5*1000</f>
        <v>203288.83720930232</v>
      </c>
      <c r="L46" s="32">
        <f>+K46/$K$20</f>
        <v>0.44262124915376361</v>
      </c>
      <c r="M46" s="34">
        <f>+'COL. CONS.$'!M46/Paramet!$G$3*1000</f>
        <v>209183.44578448022</v>
      </c>
      <c r="N46" s="32">
        <f>+M46/$M$20</f>
        <v>0.43263641555612536</v>
      </c>
      <c r="O46" s="32">
        <f>IF(K46=0,"",(M46-K46)/ABS(K46)+1)</f>
        <v>1.0289962235806824</v>
      </c>
      <c r="P46" s="34">
        <f>+'COL. CONS.$'!P46/Paramet!$G$4*1000</f>
        <v>145046.86049075107</v>
      </c>
      <c r="Q46" s="32">
        <f>+P46/$P$20</f>
        <v>0.43632595855468292</v>
      </c>
      <c r="R46" s="33">
        <f>IF(P46=0,"",(M46-P46)/ABS(P46))</f>
        <v>0.44217837653796599</v>
      </c>
    </row>
    <row r="48" spans="2:27" x14ac:dyDescent="0.2">
      <c r="P48" s="23"/>
    </row>
  </sheetData>
  <conditionalFormatting sqref="J10:J46">
    <cfRule type="cellIs" dxfId="63" priority="2" operator="lessThan">
      <formula>0</formula>
    </cfRule>
  </conditionalFormatting>
  <conditionalFormatting sqref="R10:R46">
    <cfRule type="cellIs" dxfId="62" priority="3" operator="lessThan">
      <formula>0</formula>
    </cfRule>
  </conditionalFormatting>
  <conditionalFormatting sqref="AE10:AE11 AE13:AE17 AE19:AE28 AE30">
    <cfRule type="cellIs" dxfId="6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F9CE3-FE18-4660-BB60-10E09152338C}">
  <sheetPr>
    <tabColor theme="0" tint="-0.249977111117893"/>
  </sheetPr>
  <dimension ref="A1:AI68"/>
  <sheetViews>
    <sheetView showGridLines="0" topLeftCell="A47" zoomScaleNormal="100" workbookViewId="0">
      <selection activeCell="A52" sqref="A52"/>
    </sheetView>
  </sheetViews>
  <sheetFormatPr baseColWidth="10" defaultRowHeight="12.75" x14ac:dyDescent="0.2"/>
  <cols>
    <col min="1" max="1" width="3.42578125" style="2" customWidth="1"/>
    <col min="2" max="2" width="30.7109375" style="2" customWidth="1"/>
    <col min="3" max="3" width="10.140625" style="2" customWidth="1"/>
    <col min="4" max="4" width="8.5703125" style="2" customWidth="1"/>
    <col min="5" max="7" width="10.7109375" style="2" customWidth="1"/>
    <col min="8" max="8" width="9.7109375" style="2" customWidth="1"/>
    <col min="9" max="9" width="7.85546875" style="2" customWidth="1"/>
    <col min="10" max="10" width="6.5703125" style="2" bestFit="1" customWidth="1"/>
    <col min="11" max="11" width="11.5703125" style="2" customWidth="1"/>
    <col min="12" max="12" width="7.140625" style="2" customWidth="1"/>
    <col min="13" max="13" width="9.85546875" style="2" customWidth="1"/>
    <col min="14" max="14" width="10.85546875" style="2" customWidth="1"/>
    <col min="15" max="15" width="6.140625" style="2" customWidth="1"/>
    <col min="16" max="16" width="10.140625" style="2" customWidth="1"/>
    <col min="17" max="17" width="6.85546875" style="2" customWidth="1"/>
    <col min="18" max="18" width="10.140625" style="2" bestFit="1" customWidth="1"/>
    <col min="19" max="19" width="10.140625" style="2" customWidth="1"/>
    <col min="20" max="20" width="8.5703125" style="2" customWidth="1"/>
    <col min="21" max="21" width="22.7109375" style="2" customWidth="1"/>
    <col min="22" max="23" width="10.140625" style="2" customWidth="1"/>
    <col min="24" max="24" width="9.85546875" style="2" customWidth="1"/>
    <col min="25" max="25" width="10.42578125" style="2" customWidth="1"/>
    <col min="26" max="28" width="11.5703125" style="2" customWidth="1"/>
    <col min="29" max="29" width="9.28515625" style="2" customWidth="1"/>
    <col min="30" max="30" width="10.28515625" style="2" customWidth="1"/>
    <col min="31" max="31" width="3.85546875" style="2" customWidth="1"/>
    <col min="32" max="34" width="11.5703125" style="2" customWidth="1"/>
    <col min="35" max="16384" width="11.42578125" style="2"/>
  </cols>
  <sheetData>
    <row r="1" spans="1:34" s="53" customFormat="1" x14ac:dyDescent="0.2"/>
    <row r="2" spans="1:34" x14ac:dyDescent="0.2">
      <c r="Z2" s="53"/>
      <c r="AA2" s="53"/>
      <c r="AB2" s="53"/>
    </row>
    <row r="3" spans="1:34" ht="18" x14ac:dyDescent="0.25">
      <c r="B3" s="15" t="s">
        <v>101</v>
      </c>
      <c r="T3" s="17"/>
      <c r="U3" s="89" t="str">
        <f>+B3</f>
        <v>MUSICAR S.A. EL SALVADOR</v>
      </c>
    </row>
    <row r="4" spans="1:34" x14ac:dyDescent="0.2">
      <c r="B4" s="3" t="s">
        <v>102</v>
      </c>
      <c r="U4" s="3" t="s">
        <v>21</v>
      </c>
    </row>
    <row r="5" spans="1:34" x14ac:dyDescent="0.2">
      <c r="B5" s="3" t="s">
        <v>90</v>
      </c>
      <c r="U5" s="3" t="s">
        <v>90</v>
      </c>
    </row>
    <row r="6" spans="1:34" ht="13.5" thickBot="1" x14ac:dyDescent="0.25">
      <c r="B6" s="78" t="str">
        <f>+'COL. CONS.$'!B6</f>
        <v>FEBRERO de 2024</v>
      </c>
      <c r="C6" s="90"/>
      <c r="K6" s="85" t="s">
        <v>23</v>
      </c>
      <c r="L6" s="85"/>
      <c r="M6" s="85"/>
      <c r="N6" s="85"/>
      <c r="O6" s="85"/>
      <c r="P6" s="85"/>
      <c r="Q6" s="85"/>
      <c r="R6" s="85"/>
      <c r="S6" s="91"/>
      <c r="T6" s="92"/>
      <c r="U6" s="19" t="str">
        <f>+B6</f>
        <v>FEBRERO de 2024</v>
      </c>
      <c r="Y6" s="20" t="s">
        <v>23</v>
      </c>
      <c r="Z6" s="20"/>
      <c r="AA6" s="20"/>
      <c r="AB6" s="20"/>
      <c r="AC6" s="20"/>
      <c r="AD6" s="20"/>
    </row>
    <row r="7" spans="1:34" x14ac:dyDescent="0.2">
      <c r="A7" s="93"/>
      <c r="B7" s="3"/>
      <c r="C7" s="60" t="str">
        <f>+'COLOMB$ '!D7:D7</f>
        <v>Ppto 2024</v>
      </c>
      <c r="D7" s="60"/>
      <c r="E7" s="60" t="str">
        <f>+'COLOMB$ '!F7:F7</f>
        <v>Real 2024</v>
      </c>
      <c r="F7" s="60"/>
      <c r="G7" s="60" t="s">
        <v>24</v>
      </c>
      <c r="H7" s="60" t="str">
        <f>+'COLOMB$ '!I7:I7</f>
        <v>Real 2023</v>
      </c>
      <c r="I7" s="60"/>
      <c r="J7" s="60" t="s">
        <v>25</v>
      </c>
      <c r="K7" s="60" t="str">
        <f>+C7</f>
        <v>Ppto 2024</v>
      </c>
      <c r="L7" s="60"/>
      <c r="M7" s="60" t="str">
        <f>+E7</f>
        <v>Real 2024</v>
      </c>
      <c r="N7" s="60"/>
      <c r="O7" s="60" t="s">
        <v>24</v>
      </c>
      <c r="P7" s="60" t="str">
        <f>+H7</f>
        <v>Real 2023</v>
      </c>
      <c r="Q7" s="60"/>
      <c r="R7" s="60" t="s">
        <v>25</v>
      </c>
      <c r="S7" s="60"/>
      <c r="T7" s="62"/>
      <c r="V7" s="53" t="str">
        <f>+C7</f>
        <v>Ppto 2024</v>
      </c>
      <c r="W7" s="53" t="str">
        <f>+M7</f>
        <v>Real 2024</v>
      </c>
      <c r="X7" s="53" t="str">
        <f>+H7</f>
        <v>Real 2023</v>
      </c>
      <c r="Y7" s="53" t="str">
        <f>+V7</f>
        <v>Ppto 2024</v>
      </c>
      <c r="Z7" s="53" t="str">
        <f>+W7</f>
        <v>Real 2024</v>
      </c>
      <c r="AA7" s="53" t="s">
        <v>26</v>
      </c>
      <c r="AB7" s="53" t="s">
        <v>24</v>
      </c>
      <c r="AC7" s="53" t="str">
        <f>+X7</f>
        <v>Real 2023</v>
      </c>
      <c r="AD7" s="53" t="s">
        <v>25</v>
      </c>
      <c r="AF7" s="2" t="s">
        <v>103</v>
      </c>
    </row>
    <row r="8" spans="1:34" ht="13.5" thickBot="1" x14ac:dyDescent="0.25">
      <c r="B8" s="28" t="s">
        <v>27</v>
      </c>
      <c r="C8" s="65" t="s">
        <v>28</v>
      </c>
      <c r="D8" s="65" t="s">
        <v>29</v>
      </c>
      <c r="E8" s="65" t="s">
        <v>28</v>
      </c>
      <c r="F8" s="65" t="s">
        <v>29</v>
      </c>
      <c r="G8" s="65" t="s">
        <v>30</v>
      </c>
      <c r="H8" s="65" t="s">
        <v>28</v>
      </c>
      <c r="I8" s="65" t="s">
        <v>29</v>
      </c>
      <c r="J8" s="65" t="s">
        <v>30</v>
      </c>
      <c r="K8" s="65" t="s">
        <v>28</v>
      </c>
      <c r="L8" s="65" t="s">
        <v>29</v>
      </c>
      <c r="M8" s="65" t="s">
        <v>28</v>
      </c>
      <c r="N8" s="65" t="s">
        <v>29</v>
      </c>
      <c r="O8" s="65" t="s">
        <v>30</v>
      </c>
      <c r="P8" s="65" t="s">
        <v>28</v>
      </c>
      <c r="Q8" s="65" t="s">
        <v>29</v>
      </c>
      <c r="R8" s="65" t="s">
        <v>30</v>
      </c>
      <c r="S8" s="60"/>
      <c r="T8" s="62"/>
      <c r="U8" s="28"/>
      <c r="V8" s="29"/>
      <c r="W8" s="29"/>
      <c r="X8" s="29"/>
      <c r="Y8" s="28"/>
      <c r="Z8" s="28"/>
      <c r="AA8" s="29"/>
      <c r="AB8" s="29" t="s">
        <v>30</v>
      </c>
      <c r="AC8" s="28"/>
      <c r="AD8" s="29" t="s">
        <v>30</v>
      </c>
      <c r="AF8" s="2" t="s">
        <v>104</v>
      </c>
      <c r="AG8" s="2" t="s">
        <v>105</v>
      </c>
      <c r="AH8" s="2" t="s">
        <v>106</v>
      </c>
    </row>
    <row r="9" spans="1:34" x14ac:dyDescent="0.2"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</row>
    <row r="10" spans="1:34" x14ac:dyDescent="0.2">
      <c r="A10" s="93"/>
      <c r="B10" s="3" t="str">
        <f>+'COLOMB$ '!B10</f>
        <v>Musical Experience  (Ambiental)</v>
      </c>
      <c r="C10" s="31">
        <v>6873</v>
      </c>
      <c r="D10" s="33">
        <f>+C10/$C$20</f>
        <v>0.79392399214508491</v>
      </c>
      <c r="E10" s="31">
        <v>6860.95</v>
      </c>
      <c r="F10" s="33">
        <f>+E10/$E$20</f>
        <v>0.70638157237709787</v>
      </c>
      <c r="G10" s="33">
        <f>IF(C10=0,"",(E10-C10)/ABS(C10)+1)</f>
        <v>0.998246762694602</v>
      </c>
      <c r="H10" s="31">
        <v>6305.11</v>
      </c>
      <c r="I10" s="33">
        <f>+H10/$H$20</f>
        <v>0.79300881538749846</v>
      </c>
      <c r="J10" s="33">
        <f>IF(H10=0,"",(E10-H10)/ABS(H10))</f>
        <v>8.8157066252611008E-2</v>
      </c>
      <c r="K10" s="31">
        <v>12928</v>
      </c>
      <c r="L10" s="33">
        <f>+K10/$K$20</f>
        <v>0.72006238164197389</v>
      </c>
      <c r="M10" s="31">
        <v>12921.91</v>
      </c>
      <c r="N10" s="33">
        <f>+M10/$M$20</f>
        <v>0.66736336954225739</v>
      </c>
      <c r="O10" s="33">
        <f>IF(K10=0,"",(M10-K10)/ABS(K10)+1)</f>
        <v>0.99952892945544558</v>
      </c>
      <c r="P10" s="31">
        <v>13183.78</v>
      </c>
      <c r="Q10" s="33">
        <f>+P10/$P$20</f>
        <v>0.74554975598445983</v>
      </c>
      <c r="R10" s="33">
        <f t="shared" ref="R10:R17" si="0">IF(P10=0,"",(M10-P10)/ABS(P10))</f>
        <v>-1.9863043831131952E-2</v>
      </c>
      <c r="S10" s="33"/>
      <c r="T10" s="62"/>
      <c r="U10" s="3" t="s">
        <v>31</v>
      </c>
      <c r="V10" s="31">
        <v>15169</v>
      </c>
      <c r="W10" s="31">
        <v>16553.61</v>
      </c>
      <c r="X10" s="31">
        <v>13328.8</v>
      </c>
      <c r="Y10" s="31">
        <v>15168</v>
      </c>
      <c r="Z10" s="31">
        <v>15168</v>
      </c>
      <c r="AA10" s="62">
        <f>+Z10-Y10</f>
        <v>0</v>
      </c>
      <c r="AB10" s="67">
        <f>IF(Y10=0,"",(Z10-Y10)/ABS(Y10)+1)</f>
        <v>1</v>
      </c>
      <c r="AC10" s="31">
        <v>11259</v>
      </c>
      <c r="AD10" s="33">
        <f>IF(X10=0,"",(Z10-AC10)/ABS(AC10))</f>
        <v>0.34718891553423925</v>
      </c>
      <c r="AF10" s="66">
        <v>15168</v>
      </c>
      <c r="AG10" s="66"/>
      <c r="AH10" s="66">
        <v>15168</v>
      </c>
    </row>
    <row r="11" spans="1:34" x14ac:dyDescent="0.2">
      <c r="A11" s="93"/>
      <c r="B11" s="3" t="str">
        <f>+'COLOMB$ '!B11</f>
        <v>Instalaciones</v>
      </c>
      <c r="C11" s="31">
        <v>460</v>
      </c>
      <c r="D11" s="33">
        <f>+C11/$C$20</f>
        <v>5.3136190366177657E-2</v>
      </c>
      <c r="E11" s="31">
        <v>750</v>
      </c>
      <c r="F11" s="33">
        <f>+E11/$E$20</f>
        <v>7.7217612616740164E-2</v>
      </c>
      <c r="G11" s="33">
        <f>IF(C11=0,"",(E11-C11)/ABS(C11)+1)</f>
        <v>1.6304347826086958</v>
      </c>
      <c r="H11" s="31">
        <v>0</v>
      </c>
      <c r="I11" s="33">
        <f>+H11/$H$20</f>
        <v>0</v>
      </c>
      <c r="J11" s="33" t="str">
        <f>IF(H11=0,"",(E11-H11)/ABS(H11))</f>
        <v/>
      </c>
      <c r="K11" s="31">
        <v>863</v>
      </c>
      <c r="L11" s="33">
        <f>+K11/$K$20</f>
        <v>4.8067283056700459E-2</v>
      </c>
      <c r="M11" s="31">
        <v>1040</v>
      </c>
      <c r="N11" s="33">
        <f>+M11/$M$20</f>
        <v>5.3711711683795016E-2</v>
      </c>
      <c r="O11" s="33">
        <f>IF(K11=0,"",(M11-K11)/ABS(K11)+1)</f>
        <v>1.2050984936268829</v>
      </c>
      <c r="P11" s="31">
        <v>0</v>
      </c>
      <c r="Q11" s="33">
        <f>+P11/$P$20</f>
        <v>0</v>
      </c>
      <c r="R11" s="33" t="str">
        <f t="shared" si="0"/>
        <v/>
      </c>
      <c r="S11" s="33"/>
      <c r="T11" s="62"/>
      <c r="U11" s="3" t="s">
        <v>32</v>
      </c>
      <c r="V11" s="31">
        <v>9899.2182757777773</v>
      </c>
      <c r="W11" s="31">
        <v>10484</v>
      </c>
      <c r="X11" s="31">
        <v>8744.1</v>
      </c>
      <c r="Y11" s="31">
        <f>+AF11+V11</f>
        <v>19371.218275777777</v>
      </c>
      <c r="Z11" s="31">
        <f>+W11+AH11</f>
        <v>20493</v>
      </c>
      <c r="AA11" s="62">
        <f>+Z11-Y11</f>
        <v>1121.7817242222227</v>
      </c>
      <c r="AB11" s="67">
        <f>IF(Y11=0,"",(Z11-Y11)/ABS(Y11)+1)</f>
        <v>1.0579097147248051</v>
      </c>
      <c r="AC11" s="31">
        <v>18451.099999999999</v>
      </c>
      <c r="AD11" s="33">
        <f>IF(AC11=0,"",(Z11-AC11)/ABS(AC11))</f>
        <v>0.1106654887784469</v>
      </c>
      <c r="AF11" s="31">
        <v>9472</v>
      </c>
      <c r="AG11" s="31"/>
      <c r="AH11" s="31">
        <v>10009</v>
      </c>
    </row>
    <row r="12" spans="1:34" x14ac:dyDescent="0.2">
      <c r="A12" s="93"/>
      <c r="B12" s="3" t="str">
        <f>+'COLOMB$ '!B12</f>
        <v>Voice Experience (Publihold)</v>
      </c>
      <c r="C12" s="31">
        <v>997</v>
      </c>
      <c r="D12" s="33">
        <f>+C12/$C$20</f>
        <v>0.11516691694582419</v>
      </c>
      <c r="E12" s="31">
        <v>994.86</v>
      </c>
      <c r="F12" s="33">
        <f>+E12/$E$20</f>
        <v>0.10242761878385349</v>
      </c>
      <c r="G12" s="33">
        <f>IF(C12=0,"",(E12-C12)/ABS(C12)+1)</f>
        <v>0.99785356068204611</v>
      </c>
      <c r="H12" s="31">
        <v>1645.76</v>
      </c>
      <c r="I12" s="33">
        <f>+H12/$H$20</f>
        <v>0.20699118461250152</v>
      </c>
      <c r="J12" s="33">
        <f>IF(H12=0,"",(E12-H12)/ABS(H12))</f>
        <v>-0.39550116663426016</v>
      </c>
      <c r="K12" s="31">
        <v>1990</v>
      </c>
      <c r="L12" s="33">
        <f>+K12/$K$20</f>
        <v>0.11083881029297092</v>
      </c>
      <c r="M12" s="31">
        <v>2637.72</v>
      </c>
      <c r="N12" s="33">
        <f>+M12/$M$20</f>
        <v>0.13622736167555749</v>
      </c>
      <c r="O12" s="33">
        <f>IF(K12=0,"",(M12-K12)/ABS(K12)+1)</f>
        <v>1.3254874371859295</v>
      </c>
      <c r="P12" s="31">
        <v>2643.52</v>
      </c>
      <c r="Q12" s="33">
        <f>+P12/$P$20</f>
        <v>0.14949245898672756</v>
      </c>
      <c r="R12" s="33">
        <f t="shared" si="0"/>
        <v>-2.1940443045636812E-3</v>
      </c>
      <c r="S12" s="33"/>
      <c r="T12" s="62"/>
    </row>
    <row r="13" spans="1:34" x14ac:dyDescent="0.2">
      <c r="A13" s="93"/>
      <c r="B13" s="3" t="str">
        <f>+'COLOMB$ '!B13</f>
        <v>Service &amp; Equipment Experience</v>
      </c>
      <c r="C13" s="31">
        <v>220</v>
      </c>
      <c r="D13" s="33">
        <f>+C13/$C$20</f>
        <v>2.5412960609911054E-2</v>
      </c>
      <c r="E13" s="31">
        <v>1107</v>
      </c>
      <c r="F13" s="33"/>
      <c r="G13" s="33">
        <f>IF(C13=0,"",(E13-C13)/ABS(C13)+1)</f>
        <v>5.0318181818181822</v>
      </c>
      <c r="H13" s="31">
        <v>0</v>
      </c>
      <c r="I13" s="33"/>
      <c r="J13" s="33" t="str">
        <f>IF(H13=0,"",(E13-H13)/ABS(H13))</f>
        <v/>
      </c>
      <c r="K13" s="31">
        <v>413</v>
      </c>
      <c r="L13" s="33">
        <f>+K13/$K$20</f>
        <v>2.3003230477887937E-2</v>
      </c>
      <c r="M13" s="31">
        <v>1107</v>
      </c>
      <c r="N13" s="33">
        <f>+M13/$M$20</f>
        <v>5.7171985417270275E-2</v>
      </c>
      <c r="O13" s="33">
        <f>IF(K13=0,"",(M13-K13)/ABS(K13)+1)</f>
        <v>2.6803874092009687</v>
      </c>
      <c r="P13" s="31">
        <v>200</v>
      </c>
      <c r="Q13" s="33"/>
      <c r="R13" s="33">
        <f t="shared" si="0"/>
        <v>4.5350000000000001</v>
      </c>
      <c r="S13" s="33"/>
      <c r="T13" s="62"/>
      <c r="U13" s="3" t="s">
        <v>33</v>
      </c>
      <c r="V13" s="31">
        <v>860</v>
      </c>
      <c r="W13" s="31">
        <v>79</v>
      </c>
      <c r="X13" s="31">
        <v>0</v>
      </c>
      <c r="Y13" s="31">
        <f>+AF13+V13</f>
        <v>1725</v>
      </c>
      <c r="Z13" s="31">
        <f t="shared" ref="Z13:Z16" si="1">+W13+AH13</f>
        <v>362</v>
      </c>
      <c r="AA13" s="62">
        <f>+Y13-Z13</f>
        <v>1363</v>
      </c>
      <c r="AB13" s="67">
        <f>IF(Y13=0,"",(Z13-Y13)/ABS(Y13)+1)</f>
        <v>0.20985507246376811</v>
      </c>
      <c r="AC13" s="31">
        <v>110</v>
      </c>
      <c r="AD13" s="33">
        <f>IF(AC13=0,"",(Z13-AC13)/ABS(AC13))</f>
        <v>2.290909090909091</v>
      </c>
      <c r="AF13" s="31">
        <v>865</v>
      </c>
      <c r="AG13" s="31"/>
      <c r="AH13" s="31">
        <v>283</v>
      </c>
    </row>
    <row r="14" spans="1:34" x14ac:dyDescent="0.2">
      <c r="A14" s="93"/>
      <c r="B14" s="3" t="str">
        <f>+'COLOMB$ '!B14</f>
        <v>POP Satelital</v>
      </c>
      <c r="C14" s="31"/>
      <c r="D14" s="33"/>
      <c r="E14" s="31"/>
      <c r="F14" s="33"/>
      <c r="G14" s="33"/>
      <c r="H14" s="31"/>
      <c r="I14" s="33"/>
      <c r="J14" s="33"/>
      <c r="K14" s="31"/>
      <c r="L14" s="33"/>
      <c r="M14" s="31"/>
      <c r="N14" s="33"/>
      <c r="O14" s="33"/>
      <c r="P14" s="31"/>
      <c r="Q14" s="33"/>
      <c r="R14" s="33" t="str">
        <f t="shared" si="0"/>
        <v/>
      </c>
      <c r="S14" s="33"/>
      <c r="T14" s="62"/>
      <c r="U14" s="3" t="s">
        <v>34</v>
      </c>
      <c r="V14" s="31"/>
      <c r="W14" s="31"/>
      <c r="X14" s="31"/>
      <c r="Y14" s="31">
        <f t="shared" ref="Y14:Y16" si="2">+AF14+V14</f>
        <v>0</v>
      </c>
      <c r="Z14" s="31">
        <f t="shared" si="1"/>
        <v>0</v>
      </c>
      <c r="AA14" s="62">
        <f>+Y14-Z14</f>
        <v>0</v>
      </c>
      <c r="AB14" s="67" t="str">
        <f>IF(Y14=0,"",(Z14-Y14)/ABS(Y14)+1)</f>
        <v/>
      </c>
      <c r="AC14" s="31">
        <v>0</v>
      </c>
      <c r="AD14" s="33" t="str">
        <f>IF(AC14=0,"",(Z14-AC14)/ABS(AC14))</f>
        <v/>
      </c>
      <c r="AF14" s="31">
        <v>0</v>
      </c>
      <c r="AG14" s="31"/>
      <c r="AH14" s="31">
        <v>0</v>
      </c>
    </row>
    <row r="15" spans="1:34" x14ac:dyDescent="0.2">
      <c r="A15" s="93"/>
      <c r="B15" s="3" t="str">
        <f>+'COLOMB$ '!B15</f>
        <v>Voice Experience (Audicóm)</v>
      </c>
      <c r="C15" s="31">
        <v>107</v>
      </c>
      <c r="D15" s="33">
        <f>+C15/$C$20</f>
        <v>1.2359939933002195E-2</v>
      </c>
      <c r="E15" s="31">
        <v>0</v>
      </c>
      <c r="F15" s="33"/>
      <c r="G15" s="33">
        <f>IF(C15=0,"",(E15-C15)/ABS(C15)+1)</f>
        <v>0</v>
      </c>
      <c r="H15" s="31">
        <v>0</v>
      </c>
      <c r="I15" s="33"/>
      <c r="J15" s="33" t="str">
        <f>IF(H15=0,"",(E15-H15)/ABS(H15))</f>
        <v/>
      </c>
      <c r="K15" s="31">
        <v>1760</v>
      </c>
      <c r="L15" s="33"/>
      <c r="M15" s="31">
        <v>1656</v>
      </c>
      <c r="N15" s="33"/>
      <c r="O15" s="33">
        <f>IF(K15=0,"",(M15-K15)/ABS(K15)+1)</f>
        <v>0.94090909090909092</v>
      </c>
      <c r="P15" s="31">
        <v>1656</v>
      </c>
      <c r="Q15" s="33"/>
      <c r="R15" s="33">
        <f t="shared" si="0"/>
        <v>0</v>
      </c>
      <c r="S15" s="33"/>
      <c r="T15" s="62"/>
      <c r="U15" s="3" t="s">
        <v>35</v>
      </c>
      <c r="V15" s="31">
        <v>5830.7283993499996</v>
      </c>
      <c r="W15" s="31">
        <v>5178</v>
      </c>
      <c r="X15" s="31">
        <v>4688.7</v>
      </c>
      <c r="Y15" s="31">
        <f t="shared" si="2"/>
        <v>11561.728399349999</v>
      </c>
      <c r="Z15" s="31">
        <f t="shared" si="1"/>
        <v>9986</v>
      </c>
      <c r="AA15" s="62">
        <f>+Y15-Z15</f>
        <v>1575.7283993499987</v>
      </c>
      <c r="AB15" s="67">
        <f>IF(Y15=0,"",(Z15-Y15)/ABS(Y15)+1)</f>
        <v>0.86371169215161758</v>
      </c>
      <c r="AC15" s="31">
        <v>9402.7000000000007</v>
      </c>
      <c r="AD15" s="33">
        <f>IF(AC15=0,"",(Z15-AC15)/ABS(AC15))</f>
        <v>6.2035372818445685E-2</v>
      </c>
      <c r="AF15" s="31">
        <v>5731</v>
      </c>
      <c r="AG15" s="31"/>
      <c r="AH15" s="31">
        <v>4808</v>
      </c>
    </row>
    <row r="16" spans="1:34" x14ac:dyDescent="0.2">
      <c r="B16" s="3" t="str">
        <f>+'COLOMB$ '!B16</f>
        <v>Fact. Servicio Satelital</v>
      </c>
      <c r="C16" s="31"/>
      <c r="D16" s="33"/>
      <c r="E16" s="31"/>
      <c r="F16" s="33"/>
      <c r="G16" s="33"/>
      <c r="H16" s="31"/>
      <c r="I16" s="33"/>
      <c r="J16" s="33"/>
      <c r="K16" s="31">
        <f>+T16+C16</f>
        <v>0</v>
      </c>
      <c r="L16" s="33"/>
      <c r="M16" s="31"/>
      <c r="N16" s="33"/>
      <c r="O16" s="33"/>
      <c r="P16" s="31"/>
      <c r="Q16" s="33"/>
      <c r="R16" s="33" t="str">
        <f t="shared" si="0"/>
        <v/>
      </c>
      <c r="S16" s="33"/>
      <c r="T16" s="62"/>
      <c r="U16" s="3" t="s">
        <v>36</v>
      </c>
      <c r="V16" s="31">
        <v>2315.2190333333333</v>
      </c>
      <c r="W16" s="31">
        <v>2886.9</v>
      </c>
      <c r="X16" s="31">
        <v>2296.6</v>
      </c>
      <c r="Y16" s="31">
        <f t="shared" si="2"/>
        <v>3922.2190333333333</v>
      </c>
      <c r="Z16" s="31">
        <f t="shared" si="1"/>
        <v>4507.8999999999996</v>
      </c>
      <c r="AA16" s="62">
        <f>+Y16-Z16</f>
        <v>-585.68096666666634</v>
      </c>
      <c r="AB16" s="67">
        <f>IF(Y16=0,"",(Z16-Y16)/ABS(Y16)+1)</f>
        <v>1.1493238806117669</v>
      </c>
      <c r="AC16" s="31">
        <v>3682.8</v>
      </c>
      <c r="AD16" s="33">
        <f>IF(AC16=0,"",(Z16-AC16)/ABS(AC16))</f>
        <v>0.22404149017052227</v>
      </c>
      <c r="AF16" s="31">
        <v>1607</v>
      </c>
      <c r="AG16" s="31"/>
      <c r="AH16" s="31">
        <v>1621</v>
      </c>
    </row>
    <row r="17" spans="1:35" x14ac:dyDescent="0.2">
      <c r="A17" s="93"/>
      <c r="B17" s="3" t="str">
        <f>+'COLOMB$ '!B17</f>
        <v>Visual Experience</v>
      </c>
      <c r="C17" s="31"/>
      <c r="D17" s="33"/>
      <c r="E17" s="31"/>
      <c r="F17" s="33"/>
      <c r="G17" s="33" t="str">
        <f>IF(C17=0,"",(E17-C17)/ABS(C17)+1)</f>
        <v/>
      </c>
      <c r="H17" s="31"/>
      <c r="I17" s="33"/>
      <c r="J17" s="33" t="str">
        <f>IF(H17=0,"",(E17-H17)/ABS(H17))</f>
        <v/>
      </c>
      <c r="K17" s="31">
        <f>+T17+C17</f>
        <v>0</v>
      </c>
      <c r="L17" s="33"/>
      <c r="M17" s="31"/>
      <c r="N17" s="33"/>
      <c r="O17" s="33" t="str">
        <f>IF(K17=0,"",(M17-K17)/ABS(K17)+1)</f>
        <v/>
      </c>
      <c r="P17" s="31"/>
      <c r="Q17" s="33"/>
      <c r="R17" s="33" t="str">
        <f t="shared" si="0"/>
        <v/>
      </c>
      <c r="S17" s="33"/>
      <c r="T17" s="62"/>
      <c r="U17" s="3" t="s">
        <v>37</v>
      </c>
      <c r="V17" s="31">
        <f>SUM(V13:V16)</f>
        <v>9005.9474326833333</v>
      </c>
      <c r="W17" s="31">
        <f>SUM(W13:W16)</f>
        <v>8143.9</v>
      </c>
      <c r="X17" s="31">
        <v>6985.2999999999993</v>
      </c>
      <c r="Y17" s="31">
        <f>SUM(Y13:Y16)</f>
        <v>17208.947432683333</v>
      </c>
      <c r="Z17" s="31">
        <f>SUM(Z13:Z16)</f>
        <v>14855.9</v>
      </c>
      <c r="AA17" s="62">
        <f>+Z17-Y17</f>
        <v>-2353.0474326833337</v>
      </c>
      <c r="AB17" s="67">
        <f>IF(Y17=0,"",(Z17-Y17)/ABS(Y17)+1)</f>
        <v>0.86326604564934561</v>
      </c>
      <c r="AC17" s="31">
        <v>13195.5</v>
      </c>
      <c r="AD17" s="33">
        <f>IF(AC17=0,"",(Z17-AC17)/ABS(AC17))</f>
        <v>0.12583077564321168</v>
      </c>
      <c r="AF17" s="31">
        <v>8203</v>
      </c>
      <c r="AG17" s="31"/>
      <c r="AH17" s="31">
        <v>6712</v>
      </c>
    </row>
    <row r="18" spans="1:35" x14ac:dyDescent="0.2">
      <c r="A18" s="93"/>
      <c r="B18" s="3" t="str">
        <f>+'COL. CONS.$'!B18</f>
        <v>Olfa Experience</v>
      </c>
      <c r="C18" s="31">
        <v>0</v>
      </c>
      <c r="D18" s="33"/>
      <c r="E18" s="31"/>
      <c r="F18" s="33"/>
      <c r="G18" s="33"/>
      <c r="H18" s="31"/>
      <c r="I18" s="33"/>
      <c r="J18" s="33"/>
      <c r="K18" s="31">
        <v>0</v>
      </c>
      <c r="L18" s="33"/>
      <c r="M18" s="31"/>
      <c r="N18" s="33"/>
      <c r="O18" s="33"/>
      <c r="P18" s="31"/>
      <c r="Q18" s="33"/>
      <c r="R18" s="33"/>
      <c r="S18" s="33"/>
      <c r="T18" s="62"/>
    </row>
    <row r="19" spans="1:35" x14ac:dyDescent="0.2">
      <c r="B19" s="3" t="str">
        <f>+'COLOMB$ '!B19</f>
        <v>Locutor virtual</v>
      </c>
      <c r="C19" s="31"/>
      <c r="D19" s="33"/>
      <c r="E19" s="31"/>
      <c r="F19" s="33"/>
      <c r="G19" s="33"/>
      <c r="H19" s="31"/>
      <c r="I19" s="33"/>
      <c r="J19" s="33"/>
      <c r="K19" s="31"/>
      <c r="L19" s="33"/>
      <c r="M19" s="31"/>
      <c r="N19" s="33"/>
      <c r="O19" s="33"/>
      <c r="P19" s="31"/>
      <c r="Q19" s="33"/>
      <c r="R19" s="33"/>
      <c r="S19" s="33"/>
      <c r="T19" s="62"/>
      <c r="U19" s="3" t="s">
        <v>38</v>
      </c>
      <c r="V19" s="31">
        <f>V11-V17</f>
        <v>893.27084309444399</v>
      </c>
      <c r="W19" s="31">
        <f>W11-W17</f>
        <v>2340.1000000000004</v>
      </c>
      <c r="X19" s="31">
        <v>1758.8000000000011</v>
      </c>
      <c r="Y19" s="31">
        <f>Y11-Y17</f>
        <v>2162.270843094444</v>
      </c>
      <c r="Z19" s="31">
        <f>Z11-Z17</f>
        <v>5637.1</v>
      </c>
      <c r="AA19" s="62">
        <f>+Z19-Y19</f>
        <v>3474.8291569055564</v>
      </c>
      <c r="AB19" s="67">
        <f>IF(Y19=0,"",(Z19-Y19)/ABS(Y19)+1)</f>
        <v>2.6070277079316755</v>
      </c>
      <c r="AC19" s="31">
        <v>5255.5999999999985</v>
      </c>
      <c r="AD19" s="33">
        <f>IF(AC19=0,"",(Z19-AC19)/ABS(AC19))</f>
        <v>7.2589238145977994E-2</v>
      </c>
      <c r="AF19" s="31">
        <v>1269</v>
      </c>
      <c r="AG19" s="31"/>
      <c r="AH19" s="31">
        <v>3297</v>
      </c>
      <c r="AI19" s="54"/>
    </row>
    <row r="20" spans="1:35" x14ac:dyDescent="0.2">
      <c r="B20" s="19" t="s">
        <v>39</v>
      </c>
      <c r="C20" s="68">
        <f>SUM(C10:C19)</f>
        <v>8657</v>
      </c>
      <c r="D20" s="44">
        <f>+C20/$C$20</f>
        <v>1</v>
      </c>
      <c r="E20" s="68">
        <f>SUM(E10:E19)</f>
        <v>9712.81</v>
      </c>
      <c r="F20" s="44">
        <f>+E20/$E$20</f>
        <v>1</v>
      </c>
      <c r="G20" s="44">
        <f>IF(C20=0,"",(E20-C20)/ABS(C20)+1)</f>
        <v>1.1219602633706827</v>
      </c>
      <c r="H20" s="68">
        <f>SUM(H10:H19)</f>
        <v>7950.87</v>
      </c>
      <c r="I20" s="44">
        <f>+H20/$H$20</f>
        <v>1</v>
      </c>
      <c r="J20" s="44">
        <f>IF(H20=0,"",(E20-H20)/ABS(H20))</f>
        <v>0.22160342201545236</v>
      </c>
      <c r="K20" s="68">
        <f>SUM(K10:K19)</f>
        <v>17954</v>
      </c>
      <c r="L20" s="44">
        <f>+K20/$K$20</f>
        <v>1</v>
      </c>
      <c r="M20" s="68">
        <f>SUM(M10:M19)</f>
        <v>19362.63</v>
      </c>
      <c r="N20" s="44">
        <f>+M20/$M$20</f>
        <v>1</v>
      </c>
      <c r="O20" s="44">
        <f>IF(K20=0,"",(M20-K20)/ABS(K20)+1)</f>
        <v>1.0784577252979839</v>
      </c>
      <c r="P20" s="68">
        <f>SUM(P10:P19)</f>
        <v>17683.300000000003</v>
      </c>
      <c r="Q20" s="44">
        <f>+P20/$P$20</f>
        <v>1</v>
      </c>
      <c r="R20" s="44">
        <f>IF(P20=0,"",(M20-P20)/ABS(P20))</f>
        <v>9.4967002765320829E-2</v>
      </c>
      <c r="S20" s="44"/>
      <c r="T20" s="62"/>
      <c r="U20" s="3"/>
      <c r="V20" s="31"/>
      <c r="W20" s="31"/>
      <c r="X20" s="31"/>
      <c r="Y20" s="31"/>
      <c r="Z20" s="31"/>
      <c r="AA20" s="62"/>
      <c r="AB20" s="67"/>
      <c r="AC20" s="31"/>
      <c r="AD20" s="33"/>
      <c r="AF20" s="31"/>
      <c r="AG20" s="31"/>
      <c r="AH20" s="31"/>
    </row>
    <row r="21" spans="1:35" x14ac:dyDescent="0.2">
      <c r="J21" s="33"/>
      <c r="R21" s="33"/>
      <c r="S21" s="33"/>
      <c r="U21" s="3" t="s">
        <v>40</v>
      </c>
      <c r="V21" s="31">
        <f>+V10+V19</f>
        <v>16062.270843094444</v>
      </c>
      <c r="W21" s="31">
        <f>+W10+W19</f>
        <v>18893.71</v>
      </c>
      <c r="X21" s="31">
        <v>15087.6</v>
      </c>
      <c r="Y21" s="31">
        <f>+Y10+Y19</f>
        <v>17330.270843094444</v>
      </c>
      <c r="Z21" s="31">
        <f>+Z10+Z19</f>
        <v>20805.099999999999</v>
      </c>
      <c r="AA21" s="62">
        <f>+Z21-Y21</f>
        <v>3474.8291569055546</v>
      </c>
      <c r="AB21" s="67">
        <f>IF(Y21=0,"",(Z21-Y21)/ABS(Y21)+1)</f>
        <v>1.2005063387852455</v>
      </c>
      <c r="AC21" s="31">
        <v>16514.599999999999</v>
      </c>
      <c r="AD21" s="33">
        <f>IF(AC21=0,"",(Z21-AC21)/ABS(AC21))</f>
        <v>0.25980041902316742</v>
      </c>
      <c r="AF21" s="31">
        <v>16437</v>
      </c>
      <c r="AG21" s="31"/>
      <c r="AH21" s="31">
        <v>18465</v>
      </c>
    </row>
    <row r="22" spans="1:35" x14ac:dyDescent="0.2">
      <c r="A22" s="93"/>
      <c r="B22" s="3" t="s">
        <v>41</v>
      </c>
      <c r="C22" s="31">
        <v>106</v>
      </c>
      <c r="D22" s="33">
        <f>+C22/$C$20</f>
        <v>1.2244426475684416E-2</v>
      </c>
      <c r="E22" s="31">
        <v>578.92999999999995</v>
      </c>
      <c r="F22" s="33">
        <f>+E22/$E$20</f>
        <v>5.9604789962945839E-2</v>
      </c>
      <c r="G22" s="33">
        <f>IF(C22=0,"",(E22-C22)/ABS(C22)+1)</f>
        <v>5.4616037735849048</v>
      </c>
      <c r="H22" s="31">
        <v>0</v>
      </c>
      <c r="I22" s="33">
        <f>+H22/$H$20</f>
        <v>0</v>
      </c>
      <c r="J22" s="33" t="str">
        <f>IF(H22=0,"",(E22-H22)/ABS(H22))</f>
        <v/>
      </c>
      <c r="K22" s="31">
        <v>198</v>
      </c>
      <c r="L22" s="33">
        <f>+K22/$K$20</f>
        <v>1.1028183134677509E-2</v>
      </c>
      <c r="M22" s="31">
        <v>578.92999999999995</v>
      </c>
      <c r="N22" s="33">
        <f>+M22/$M$20</f>
        <v>2.9899347351057162E-2</v>
      </c>
      <c r="O22" s="33">
        <f>IF(K22=0,"",(M22-K22)/ABS(K22)+1)</f>
        <v>2.9238888888888885</v>
      </c>
      <c r="P22" s="31">
        <v>0</v>
      </c>
      <c r="Q22" s="33">
        <f>+P22/$P$20</f>
        <v>0</v>
      </c>
      <c r="R22" s="33" t="str">
        <f>IF(P22=0,"",(M22-P22)/ABS(P22))</f>
        <v/>
      </c>
      <c r="S22" s="33"/>
      <c r="T22" s="62"/>
      <c r="AD22" s="33"/>
    </row>
    <row r="23" spans="1:35" x14ac:dyDescent="0.2">
      <c r="J23" s="33"/>
      <c r="R23" s="33"/>
      <c r="S23" s="33"/>
      <c r="U23" s="3" t="s">
        <v>42</v>
      </c>
      <c r="V23" s="31"/>
      <c r="W23" s="31">
        <v>1412</v>
      </c>
      <c r="X23" s="31">
        <v>0</v>
      </c>
      <c r="Y23" s="31">
        <f>+AF23+V23</f>
        <v>0</v>
      </c>
      <c r="Z23" s="31">
        <f>+W23+AH23</f>
        <v>1997</v>
      </c>
      <c r="AA23" s="62">
        <f>+Z23-Y23</f>
        <v>1997</v>
      </c>
      <c r="AB23" s="67" t="str">
        <f>IF(Y23=0,"",(Z23-Y23)/ABS(Y23)+1)</f>
        <v/>
      </c>
      <c r="AC23" s="31">
        <v>79</v>
      </c>
      <c r="AD23" s="33">
        <f>IF(AC23=0,"",(Z23-AC23)/ABS(AC23))</f>
        <v>24.278481012658229</v>
      </c>
      <c r="AF23" s="31">
        <v>0</v>
      </c>
      <c r="AG23" s="31"/>
      <c r="AH23" s="31">
        <v>585</v>
      </c>
    </row>
    <row r="24" spans="1:35" x14ac:dyDescent="0.2">
      <c r="B24" s="3" t="s">
        <v>43</v>
      </c>
      <c r="C24" s="31">
        <f>+C20-C22</f>
        <v>8551</v>
      </c>
      <c r="D24" s="33">
        <f>+C24/$C$20</f>
        <v>0.98775557352431553</v>
      </c>
      <c r="E24" s="31">
        <f>+E20-E22</f>
        <v>9133.8799999999992</v>
      </c>
      <c r="F24" s="33">
        <f>+E24/$E$20</f>
        <v>0.94039521003705417</v>
      </c>
      <c r="G24" s="33">
        <f>IF(C24=0,"",(E24-C24)/ABS(C24)+1)</f>
        <v>1.0681651268857442</v>
      </c>
      <c r="H24" s="31">
        <f>+H20-H22</f>
        <v>7950.87</v>
      </c>
      <c r="I24" s="33">
        <f>+H24/$H$20</f>
        <v>1</v>
      </c>
      <c r="J24" s="33">
        <f>IF(H24=0,"",(E24-H24)/ABS(H24))</f>
        <v>0.14879000662820538</v>
      </c>
      <c r="K24" s="31">
        <f>+K20-K22</f>
        <v>17756</v>
      </c>
      <c r="L24" s="33">
        <f>+K24/$K$20</f>
        <v>0.98897181686532254</v>
      </c>
      <c r="M24" s="31">
        <f>+M20-M22</f>
        <v>18783.7</v>
      </c>
      <c r="N24" s="33">
        <f>+M24/$M$20</f>
        <v>0.97010065264894285</v>
      </c>
      <c r="O24" s="33">
        <f>IF(K24=0,"",(M24-K24)/ABS(K24)+1)</f>
        <v>1.0578790268078397</v>
      </c>
      <c r="P24" s="31">
        <f>+P20-P22</f>
        <v>17683.300000000003</v>
      </c>
      <c r="Q24" s="33">
        <f>+P24/$P$20</f>
        <v>1</v>
      </c>
      <c r="R24" s="33">
        <f>IF(P24=0,"",(M24-P24)/ABS(P24))</f>
        <v>6.2228204011694516E-2</v>
      </c>
      <c r="S24" s="33"/>
      <c r="T24" s="62"/>
      <c r="AD24" s="33"/>
    </row>
    <row r="25" spans="1:35" x14ac:dyDescent="0.2">
      <c r="J25" s="33"/>
      <c r="R25" s="33"/>
      <c r="S25" s="33"/>
      <c r="U25" s="3" t="s">
        <v>44</v>
      </c>
      <c r="V25" s="31">
        <v>2085.1768938</v>
      </c>
      <c r="W25" s="31">
        <v>0</v>
      </c>
      <c r="X25" s="31">
        <v>1539.5</v>
      </c>
      <c r="Y25" s="31">
        <f>+AF25+V25</f>
        <v>3353.1768938</v>
      </c>
      <c r="Z25" s="31">
        <f t="shared" ref="Z25" si="3">+W25+AH25</f>
        <v>1326</v>
      </c>
      <c r="AA25" s="62">
        <f>+Z25-Y25</f>
        <v>-2027.1768938</v>
      </c>
      <c r="AB25" s="67">
        <f>IF(Y25=0,"",(Z25-Y25)/ABS(Y25)+1)</f>
        <v>0.39544588370860023</v>
      </c>
      <c r="AC25" s="31">
        <v>2887.5</v>
      </c>
      <c r="AD25" s="33">
        <f>IF(AC25=0,"",(Z25-AC25)/ABS(AC25))</f>
        <v>-0.5407792207792208</v>
      </c>
      <c r="AF25" s="31">
        <v>1268</v>
      </c>
      <c r="AG25" s="31"/>
      <c r="AH25" s="31">
        <v>1326</v>
      </c>
    </row>
    <row r="26" spans="1:35" x14ac:dyDescent="0.2">
      <c r="B26" s="3" t="s">
        <v>45</v>
      </c>
      <c r="C26" s="31">
        <v>1158</v>
      </c>
      <c r="D26" s="33">
        <f>+C26/$C$20</f>
        <v>0.13376458357398638</v>
      </c>
      <c r="E26" s="31">
        <v>628.28</v>
      </c>
      <c r="F26" s="33">
        <f>+E26/$E$20</f>
        <v>6.4685708873127343E-2</v>
      </c>
      <c r="G26" s="33">
        <f>IF(C26=0,"",(E26-C26)/ABS(C26)+1)</f>
        <v>0.54255613126079449</v>
      </c>
      <c r="H26" s="31">
        <v>739.79</v>
      </c>
      <c r="I26" s="33">
        <f>+H26/$H$20</f>
        <v>9.3045163611026216E-2</v>
      </c>
      <c r="J26" s="33">
        <f>IF(H26=0,"",(E26-H26)/ABS(H26))</f>
        <v>-0.15073196447640547</v>
      </c>
      <c r="K26" s="31">
        <v>1715</v>
      </c>
      <c r="L26" s="33">
        <f>+K26/$K$20</f>
        <v>9.5521889272585495E-2</v>
      </c>
      <c r="M26" s="31">
        <v>1191.18</v>
      </c>
      <c r="N26" s="33">
        <f>+M26/$M$20</f>
        <v>6.1519535311060532E-2</v>
      </c>
      <c r="O26" s="33">
        <f>IF(K26=0,"",(M26-K26)/ABS(K26)+1)</f>
        <v>0.69456559766763859</v>
      </c>
      <c r="P26" s="31">
        <v>1260.74</v>
      </c>
      <c r="Q26" s="33">
        <f>+P26/$P$20</f>
        <v>7.1295516108418666E-2</v>
      </c>
      <c r="R26" s="33">
        <f>IF(P26=0,"",(M26-P26)/ABS(P26))</f>
        <v>-5.5173945460602461E-2</v>
      </c>
      <c r="S26" s="33"/>
      <c r="T26" s="62"/>
      <c r="AD26" s="33"/>
      <c r="AH26" s="53"/>
    </row>
    <row r="27" spans="1:35" x14ac:dyDescent="0.2">
      <c r="B27" s="3" t="s">
        <v>46</v>
      </c>
      <c r="C27" s="31">
        <v>1203</v>
      </c>
      <c r="D27" s="33">
        <f>+C27/$C$20</f>
        <v>0.13896268915328636</v>
      </c>
      <c r="E27" s="31">
        <v>1274.56</v>
      </c>
      <c r="F27" s="33">
        <f>+E27/$E$20</f>
        <v>0.13122464044905646</v>
      </c>
      <c r="G27" s="33">
        <f>IF(C27=0,"",(E27-C27)/ABS(C27)+1)</f>
        <v>1.059484621778886</v>
      </c>
      <c r="H27" s="31">
        <v>1244.3699999999999</v>
      </c>
      <c r="I27" s="33">
        <f>+H27/$H$20</f>
        <v>0.15650740107686328</v>
      </c>
      <c r="J27" s="33">
        <f>IF(H27=0,"",(E27-H27)/ABS(H27))</f>
        <v>2.4261272772567691E-2</v>
      </c>
      <c r="K27" s="31">
        <v>2528</v>
      </c>
      <c r="L27" s="33">
        <f>+K27/$K$20</f>
        <v>0.14080427759830677</v>
      </c>
      <c r="M27" s="31">
        <v>2598.79</v>
      </c>
      <c r="N27" s="33">
        <f>+M27/$M$20</f>
        <v>0.13421678769877851</v>
      </c>
      <c r="O27" s="33">
        <f>IF(K27=0,"",(M27-K27)/ABS(K27)+1)</f>
        <v>1.0280023734177215</v>
      </c>
      <c r="P27" s="31">
        <v>2500.52</v>
      </c>
      <c r="Q27" s="33">
        <f>+P27/$P$20</f>
        <v>0.14140573309280505</v>
      </c>
      <c r="R27" s="33">
        <f>IF(P27=0,"",(M27-P27)/ABS(P27))</f>
        <v>3.9299825636267646E-2</v>
      </c>
      <c r="S27" s="33"/>
      <c r="T27" s="62"/>
      <c r="U27" s="3" t="s">
        <v>47</v>
      </c>
      <c r="V27" s="31"/>
      <c r="W27" s="31"/>
      <c r="X27" s="31"/>
      <c r="Y27" s="31">
        <f t="shared" ref="Y27:Y28" si="4">+AF27+V27</f>
        <v>0</v>
      </c>
      <c r="Z27" s="31">
        <f t="shared" ref="Z27:Z28" si="5">+W27+AH27</f>
        <v>0</v>
      </c>
      <c r="AA27" s="62">
        <f>+Z27-Y27</f>
        <v>0</v>
      </c>
      <c r="AB27" s="67" t="str">
        <f>IF(Y27=0,"",(Z27-Y27)/ABS(Y27)+1)</f>
        <v/>
      </c>
      <c r="AC27" s="31">
        <v>0</v>
      </c>
      <c r="AD27" s="33" t="str">
        <f>IF(AC27=0,"",(Z27-AC27)/ABS(AC27))</f>
        <v/>
      </c>
      <c r="AF27" s="31">
        <v>0</v>
      </c>
      <c r="AG27" s="31"/>
      <c r="AH27" s="2">
        <v>0</v>
      </c>
    </row>
    <row r="28" spans="1:35" x14ac:dyDescent="0.2">
      <c r="B28" s="3" t="s">
        <v>48</v>
      </c>
      <c r="C28" s="31">
        <f>SUM(C26:C27)</f>
        <v>2361</v>
      </c>
      <c r="D28" s="33">
        <f>+C28/$C$20</f>
        <v>0.27272727272727271</v>
      </c>
      <c r="E28" s="31">
        <f>SUM(E26:E27)</f>
        <v>1902.84</v>
      </c>
      <c r="F28" s="33">
        <f>+E28/$E$20</f>
        <v>0.19591034932218379</v>
      </c>
      <c r="G28" s="33">
        <f>IF(C28=0,"",(E28-C28)/ABS(C28)+1)</f>
        <v>0.80594663278271916</v>
      </c>
      <c r="H28" s="31">
        <f>SUM(H26:H27)</f>
        <v>1984.1599999999999</v>
      </c>
      <c r="I28" s="33">
        <f>+H28/$H$20</f>
        <v>0.2495525646878895</v>
      </c>
      <c r="J28" s="33">
        <f>IF(H28=0,"",(E28-H28)/ABS(H28))</f>
        <v>-4.0984598016288981E-2</v>
      </c>
      <c r="K28" s="31">
        <f>SUM(K26:K27)</f>
        <v>4243</v>
      </c>
      <c r="L28" s="33">
        <f>+K28/$K$20</f>
        <v>0.23632616687089228</v>
      </c>
      <c r="M28" s="31">
        <f>SUM(M26:M27)</f>
        <v>3789.9700000000003</v>
      </c>
      <c r="N28" s="33">
        <f>+M28/$M$20</f>
        <v>0.19573632300983906</v>
      </c>
      <c r="O28" s="33">
        <f>IF(K28=0,"",(M28-K28)/ABS(K28)+1)</f>
        <v>0.8932288475135518</v>
      </c>
      <c r="P28" s="31">
        <f>SUM(P26:P27)</f>
        <v>3761.26</v>
      </c>
      <c r="Q28" s="33">
        <f>+P28/$P$20</f>
        <v>0.21270124920122374</v>
      </c>
      <c r="R28" s="33">
        <f>IF(P28=0,"",(M28-P28)/ABS(P28))</f>
        <v>7.6330804039072102E-3</v>
      </c>
      <c r="S28" s="33"/>
      <c r="T28" s="62"/>
      <c r="U28" s="3" t="s">
        <v>49</v>
      </c>
      <c r="V28" s="31"/>
      <c r="W28" s="31"/>
      <c r="X28" s="31"/>
      <c r="Y28" s="31">
        <f t="shared" si="4"/>
        <v>0</v>
      </c>
      <c r="Z28" s="31">
        <f t="shared" si="5"/>
        <v>0</v>
      </c>
      <c r="AA28" s="62">
        <f>+Z28-Y28</f>
        <v>0</v>
      </c>
      <c r="AB28" s="67" t="str">
        <f>IF(Y28=0,"",(Z28-Y28)/ABS(Y28)+1)</f>
        <v/>
      </c>
      <c r="AC28" s="31">
        <v>0</v>
      </c>
      <c r="AD28" s="33" t="str">
        <f>IF(AC28=0,"",(Z28-AC28)/ABS(AC28))</f>
        <v/>
      </c>
      <c r="AF28" s="31">
        <v>0</v>
      </c>
      <c r="AG28" s="31"/>
      <c r="AH28" s="2">
        <v>0</v>
      </c>
    </row>
    <row r="29" spans="1:35" x14ac:dyDescent="0.2">
      <c r="J29" s="33"/>
      <c r="R29" s="33"/>
      <c r="S29" s="33"/>
    </row>
    <row r="30" spans="1:35" x14ac:dyDescent="0.2">
      <c r="B30" s="3" t="s">
        <v>50</v>
      </c>
      <c r="C30" s="31">
        <v>6948</v>
      </c>
      <c r="D30" s="33">
        <f>+C30/$C$20</f>
        <v>0.80258750144391822</v>
      </c>
      <c r="E30" s="31">
        <v>6564.43</v>
      </c>
      <c r="F30" s="33">
        <f>+E30/$E$20</f>
        <v>0.67585281705294353</v>
      </c>
      <c r="G30" s="33">
        <f>IF(C30=0,"",(E30-C30)/ABS(C30)+1)</f>
        <v>0.94479418537708693</v>
      </c>
      <c r="H30" s="31">
        <v>6278.79</v>
      </c>
      <c r="I30" s="33">
        <f>+H30/$H$20</f>
        <v>0.78969848582607938</v>
      </c>
      <c r="J30" s="33">
        <f>IF(H30=0,"",(E30-H30)/ABS(H30))</f>
        <v>4.549284177365389E-2</v>
      </c>
      <c r="K30" s="31">
        <v>13066</v>
      </c>
      <c r="L30" s="33">
        <f>+K30/$K$20</f>
        <v>0.72774869109947649</v>
      </c>
      <c r="M30" s="31">
        <v>12263.46</v>
      </c>
      <c r="N30" s="33">
        <f>+M30/$M$20</f>
        <v>0.63335714208245464</v>
      </c>
      <c r="O30" s="33">
        <f>IF(K30=0,"",(M30-K30)/ABS(K30)+1)</f>
        <v>0.93857798867289144</v>
      </c>
      <c r="P30" s="31">
        <v>11957.64</v>
      </c>
      <c r="Q30" s="33">
        <f>+P30/$P$20</f>
        <v>0.67621088823918596</v>
      </c>
      <c r="R30" s="33">
        <f>IF(P30=0,"",(M30-P30)/ABS(P30))</f>
        <v>2.5575280741015761E-2</v>
      </c>
      <c r="S30" s="33"/>
      <c r="T30" s="62"/>
      <c r="U30" s="19" t="s">
        <v>51</v>
      </c>
      <c r="V30" s="68">
        <f>V21-V23-V25-V27-V28</f>
        <v>13977.093949294444</v>
      </c>
      <c r="W30" s="68">
        <f>W21-W23-W25-W27-W28</f>
        <v>17481.71</v>
      </c>
      <c r="X30" s="68">
        <v>13548.1</v>
      </c>
      <c r="Y30" s="68">
        <f>Y21-Y23-Y25-Y27-Y28</f>
        <v>13977.093949294444</v>
      </c>
      <c r="Z30" s="68">
        <f>Z21-Z23-Z25-Z27-Z28</f>
        <v>17482.099999999999</v>
      </c>
      <c r="AA30" s="70">
        <f>+Z30-Y30</f>
        <v>3505.006050705555</v>
      </c>
      <c r="AB30" s="71">
        <f>IF(V30=0,"",(W30-V30)/ABS(V30)+1)</f>
        <v>1.250739965218769</v>
      </c>
      <c r="AC30" s="68">
        <v>13548.099999999999</v>
      </c>
      <c r="AD30" s="33">
        <f>IF(AC30=0,"",(Z30-AC30)/ABS(AC30))</f>
        <v>0.29037281980499113</v>
      </c>
      <c r="AF30" s="66">
        <v>15169</v>
      </c>
      <c r="AH30" s="2">
        <v>16554</v>
      </c>
    </row>
    <row r="31" spans="1:35" x14ac:dyDescent="0.2">
      <c r="B31" s="3" t="s">
        <v>52</v>
      </c>
      <c r="C31" s="31">
        <v>0</v>
      </c>
      <c r="D31" s="33">
        <f>+C31/$C$20</f>
        <v>0</v>
      </c>
      <c r="E31" s="31">
        <v>0</v>
      </c>
      <c r="F31" s="33">
        <f>+E31/$E$20</f>
        <v>0</v>
      </c>
      <c r="G31" s="33" t="str">
        <f>IF(C31=0,"",(E31-C31)/ABS(C31)+1)</f>
        <v/>
      </c>
      <c r="H31" s="31">
        <v>0</v>
      </c>
      <c r="I31" s="33">
        <f>+H31/$H$20</f>
        <v>0</v>
      </c>
      <c r="J31" s="33" t="str">
        <f>IF(H31=0,"",(E31-H31)/ABS(H31))</f>
        <v/>
      </c>
      <c r="K31" s="31">
        <v>0</v>
      </c>
      <c r="L31" s="33">
        <f>+K31/$K$20</f>
        <v>0</v>
      </c>
      <c r="M31" s="31">
        <v>0</v>
      </c>
      <c r="N31" s="33">
        <f>+M31/$M$20</f>
        <v>0</v>
      </c>
      <c r="O31" s="33" t="str">
        <f>IF(K31=0,"",(M31-K31)/ABS(K31)+1)</f>
        <v/>
      </c>
      <c r="P31" s="31">
        <v>0</v>
      </c>
      <c r="Q31" s="33">
        <f>+P31/$P$20</f>
        <v>0</v>
      </c>
      <c r="R31" s="33" t="str">
        <f>IF(P31=0,"",(M31-P31)/ABS(P31))</f>
        <v/>
      </c>
      <c r="S31" s="33"/>
      <c r="T31" s="62"/>
      <c r="U31" s="54"/>
      <c r="V31" s="60"/>
      <c r="W31" s="62"/>
      <c r="X31" s="60"/>
      <c r="Y31" s="31"/>
      <c r="Z31" s="31"/>
      <c r="AA31" s="94"/>
      <c r="AB31" s="60"/>
      <c r="AC31" s="31"/>
      <c r="AD31" s="60"/>
      <c r="AE31" s="60"/>
      <c r="AF31" s="60"/>
      <c r="AG31" s="60"/>
    </row>
    <row r="32" spans="1:35" x14ac:dyDescent="0.2">
      <c r="B32" s="3" t="s">
        <v>53</v>
      </c>
      <c r="C32" s="31">
        <f>SUM(C30:C31)</f>
        <v>6948</v>
      </c>
      <c r="D32" s="33">
        <f>+C32/$C$20</f>
        <v>0.80258750144391822</v>
      </c>
      <c r="E32" s="31">
        <f>SUM(E30:E31)</f>
        <v>6564.43</v>
      </c>
      <c r="F32" s="33">
        <f>+E32/$E$20</f>
        <v>0.67585281705294353</v>
      </c>
      <c r="G32" s="33">
        <f>IF(C32=0,"",(E32-C32)/ABS(C32)+1)</f>
        <v>0.94479418537708693</v>
      </c>
      <c r="H32" s="31">
        <f>SUM(H30:H31)</f>
        <v>6278.79</v>
      </c>
      <c r="I32" s="33">
        <f>+H32/$H$20</f>
        <v>0.78969848582607938</v>
      </c>
      <c r="J32" s="33">
        <f>IF(H32=0,"",(E32-H32)/ABS(H32))</f>
        <v>4.549284177365389E-2</v>
      </c>
      <c r="K32" s="31">
        <f>SUM(K30:K31)</f>
        <v>13066</v>
      </c>
      <c r="L32" s="33">
        <f>+K32/$K$20</f>
        <v>0.72774869109947649</v>
      </c>
      <c r="M32" s="31">
        <f>SUM(M30:M31)</f>
        <v>12263.46</v>
      </c>
      <c r="N32" s="33">
        <f>+M32/$M$20</f>
        <v>0.63335714208245464</v>
      </c>
      <c r="O32" s="33">
        <f>IF(K32=0,"",(M32-K32)/ABS(K32)+1)</f>
        <v>0.93857798867289144</v>
      </c>
      <c r="P32" s="31">
        <f>SUM(P30:P31)</f>
        <v>11957.64</v>
      </c>
      <c r="Q32" s="33">
        <f>+P32/$P$20</f>
        <v>0.67621088823918596</v>
      </c>
      <c r="R32" s="33">
        <f>IF(P32=0,"",(M32-P32)/ABS(P32))</f>
        <v>2.5575280741015761E-2</v>
      </c>
      <c r="S32" s="33"/>
      <c r="T32" s="62"/>
      <c r="U32" s="53"/>
      <c r="V32" s="53" t="s">
        <v>61</v>
      </c>
      <c r="W32" s="53" t="s">
        <v>61</v>
      </c>
      <c r="X32" s="53"/>
      <c r="Y32" s="72" t="s">
        <v>61</v>
      </c>
      <c r="Z32" s="72" t="s">
        <v>61</v>
      </c>
      <c r="AA32" s="72"/>
      <c r="AB32" s="53"/>
      <c r="AC32" s="53" t="s">
        <v>61</v>
      </c>
      <c r="AD32" s="53"/>
      <c r="AE32" s="53"/>
      <c r="AF32" s="53"/>
      <c r="AG32" s="53"/>
      <c r="AH32" s="53"/>
    </row>
    <row r="33" spans="1:34" x14ac:dyDescent="0.2">
      <c r="J33" s="33"/>
      <c r="R33" s="33"/>
      <c r="S33" s="3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</row>
    <row r="34" spans="1:34" x14ac:dyDescent="0.2">
      <c r="B34" s="3" t="s">
        <v>54</v>
      </c>
      <c r="C34" s="31">
        <f>C28+C32</f>
        <v>9309</v>
      </c>
      <c r="D34" s="33">
        <f>+C34/$C$20</f>
        <v>1.075314774171191</v>
      </c>
      <c r="E34" s="31">
        <f>E28+E32</f>
        <v>8467.27</v>
      </c>
      <c r="F34" s="33">
        <f>+E34/$E$20</f>
        <v>0.87176316637512741</v>
      </c>
      <c r="G34" s="33">
        <f>IF(C34=0,"",(E34-C34)/ABS(C34)+1)</f>
        <v>0.90957890213771619</v>
      </c>
      <c r="H34" s="31">
        <f>H28+H32</f>
        <v>8262.9500000000007</v>
      </c>
      <c r="I34" s="33">
        <f>+H34/$H$20</f>
        <v>1.0392510505139689</v>
      </c>
      <c r="J34" s="33">
        <f>IF(H34=0,"",(E34-H34)/ABS(H34))</f>
        <v>2.4727246322439285E-2</v>
      </c>
      <c r="K34" s="31">
        <f>K28+K32</f>
        <v>17309</v>
      </c>
      <c r="L34" s="33">
        <f>+K34/$K$20</f>
        <v>0.96407485797036874</v>
      </c>
      <c r="M34" s="31">
        <f>M28+M32</f>
        <v>16053.43</v>
      </c>
      <c r="N34" s="33">
        <f>+M34/$M$20</f>
        <v>0.82909346509229376</v>
      </c>
      <c r="O34" s="33">
        <f>IF(K34=0,"",(M34-K34)/ABS(K34)+1)</f>
        <v>0.92746143624703914</v>
      </c>
      <c r="P34" s="31">
        <f>P28+P32</f>
        <v>15718.9</v>
      </c>
      <c r="Q34" s="33">
        <f>+P34/$P$20</f>
        <v>0.88891213744040976</v>
      </c>
      <c r="R34" s="33">
        <f>IF(P34=0,"",(M34-P34)/ABS(P34))</f>
        <v>2.1282023551266353E-2</v>
      </c>
      <c r="S34" s="33"/>
      <c r="T34" s="62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</row>
    <row r="35" spans="1:34" x14ac:dyDescent="0.2">
      <c r="J35" s="33"/>
      <c r="R35" s="33"/>
      <c r="S35" s="33"/>
      <c r="T35" s="62"/>
    </row>
    <row r="36" spans="1:34" x14ac:dyDescent="0.2">
      <c r="B36" s="19" t="s">
        <v>55</v>
      </c>
      <c r="C36" s="68">
        <f>C24-C34</f>
        <v>-758</v>
      </c>
      <c r="D36" s="44">
        <f>+C36/$C$20</f>
        <v>-8.7559200646875363E-2</v>
      </c>
      <c r="E36" s="68">
        <f>E24-E34</f>
        <v>666.60999999999876</v>
      </c>
      <c r="F36" s="44">
        <f>+E36/$E$20</f>
        <v>6.8632043661926753E-2</v>
      </c>
      <c r="G36" s="44">
        <f>IF(C36=0,"",(E36-C36)/ABS(C36)+1)</f>
        <v>2.8794327176780987</v>
      </c>
      <c r="H36" s="68">
        <f>H24-H34</f>
        <v>-312.08000000000084</v>
      </c>
      <c r="I36" s="44">
        <f>+H36/$H$20</f>
        <v>-3.9251050513969016E-2</v>
      </c>
      <c r="J36" s="44">
        <f>IF(H36=0,"",(E36-H36)/ABS(H36))</f>
        <v>3.1360228146628972</v>
      </c>
      <c r="K36" s="68">
        <f>K24-K34</f>
        <v>447</v>
      </c>
      <c r="L36" s="44">
        <f>+K36/$K$20</f>
        <v>2.4896958894953771E-2</v>
      </c>
      <c r="M36" s="68">
        <f>M24-M34</f>
        <v>2730.2700000000004</v>
      </c>
      <c r="N36" s="44">
        <f>+M36/$M$20</f>
        <v>0.14100718755664909</v>
      </c>
      <c r="O36" s="44">
        <f>IF(K36=0,"",(M36-K36)/ABS(K36)+1)</f>
        <v>6.107986577181209</v>
      </c>
      <c r="P36" s="68">
        <f>P24-P34</f>
        <v>1964.4000000000033</v>
      </c>
      <c r="Q36" s="44">
        <f>+P36/$P$20</f>
        <v>0.11108786255959029</v>
      </c>
      <c r="R36" s="44">
        <f>IF(P36=0,"",(M36-P36)/ABS(P36))</f>
        <v>0.38987477092241696</v>
      </c>
      <c r="S36" s="44"/>
      <c r="T36" s="62"/>
      <c r="V36" s="54"/>
      <c r="W36" s="54"/>
      <c r="Y36" s="54"/>
    </row>
    <row r="37" spans="1:34" x14ac:dyDescent="0.2">
      <c r="J37" s="33"/>
      <c r="R37" s="33"/>
      <c r="S37" s="33"/>
      <c r="V37" s="53"/>
      <c r="W37" s="53"/>
      <c r="X37" s="53"/>
    </row>
    <row r="38" spans="1:34" x14ac:dyDescent="0.2">
      <c r="B38" s="3" t="s">
        <v>56</v>
      </c>
      <c r="C38" s="31">
        <v>0</v>
      </c>
      <c r="D38" s="33">
        <f>+C38/$C$20</f>
        <v>0</v>
      </c>
      <c r="E38" s="31">
        <v>0</v>
      </c>
      <c r="F38" s="33">
        <f>+E38/$E$20</f>
        <v>0</v>
      </c>
      <c r="G38" s="33" t="str">
        <f>IF(C38=0,"",(E38-C38)/ABS(C38)+1)</f>
        <v/>
      </c>
      <c r="H38" s="31">
        <v>0</v>
      </c>
      <c r="I38" s="33">
        <f>+H38/$H$20</f>
        <v>0</v>
      </c>
      <c r="J38" s="33" t="str">
        <f>IF(H38=0,"",(E38-H38)/ABS(H38))</f>
        <v/>
      </c>
      <c r="K38" s="31">
        <v>0</v>
      </c>
      <c r="L38" s="33">
        <f>+K38/$K$20</f>
        <v>0</v>
      </c>
      <c r="M38" s="31">
        <v>0</v>
      </c>
      <c r="N38" s="33">
        <f>+M38/$M$20</f>
        <v>0</v>
      </c>
      <c r="O38" s="33" t="str">
        <f>IF(K38=0,"",(M38-K38)/ABS(K38)+1)</f>
        <v/>
      </c>
      <c r="P38" s="31">
        <v>0</v>
      </c>
      <c r="Q38" s="33">
        <f>+P38/$P$20</f>
        <v>0</v>
      </c>
      <c r="R38" s="33" t="str">
        <f>IF(P38=0,"",(M38-P38)/ABS(P38))</f>
        <v/>
      </c>
      <c r="S38" s="33"/>
      <c r="T38" s="62"/>
      <c r="V38" s="54"/>
      <c r="W38" s="54"/>
      <c r="X38" s="95"/>
    </row>
    <row r="39" spans="1:34" x14ac:dyDescent="0.2">
      <c r="B39" s="3" t="s">
        <v>57</v>
      </c>
      <c r="C39" s="31">
        <v>0</v>
      </c>
      <c r="D39" s="33">
        <f>+C39/$C$20</f>
        <v>0</v>
      </c>
      <c r="E39" s="31">
        <v>4.8099999999999996</v>
      </c>
      <c r="F39" s="33">
        <f>+E39/$E$20</f>
        <v>4.9522228891536019E-4</v>
      </c>
      <c r="G39" s="33" t="str">
        <f>IF(C39=0,"",(E39-C39)/ABS(C39)+1)</f>
        <v/>
      </c>
      <c r="H39" s="31">
        <v>2.93</v>
      </c>
      <c r="I39" s="33">
        <f>+H39/$H$20</f>
        <v>3.6851313126739593E-4</v>
      </c>
      <c r="J39" s="33">
        <f>IF(H39=0,"",(E39-H39)/ABS(H39))</f>
        <v>0.64163822525597247</v>
      </c>
      <c r="K39" s="31">
        <v>0</v>
      </c>
      <c r="L39" s="33">
        <f>+K39/$K$20</f>
        <v>0</v>
      </c>
      <c r="M39" s="31">
        <v>11.83</v>
      </c>
      <c r="N39" s="33">
        <f>+M39/$M$20</f>
        <v>6.1097072040316839E-4</v>
      </c>
      <c r="O39" s="33" t="str">
        <f>IF(K39=0,"",(M39-K39)/ABS(K39)+1)</f>
        <v/>
      </c>
      <c r="P39" s="31">
        <v>2.93</v>
      </c>
      <c r="Q39" s="33">
        <f>+P39/$P$20</f>
        <v>1.6569305502932142E-4</v>
      </c>
      <c r="R39" s="33">
        <f>IF(P39=0,"",(M39-P39)/ABS(P39))</f>
        <v>3.0375426621160408</v>
      </c>
      <c r="S39" s="33"/>
      <c r="T39" s="62"/>
      <c r="V39" s="54"/>
      <c r="W39" s="54"/>
    </row>
    <row r="40" spans="1:34" x14ac:dyDescent="0.2">
      <c r="J40" s="33"/>
      <c r="R40" s="33"/>
      <c r="S40" s="33"/>
      <c r="V40" s="54"/>
      <c r="W40" s="54"/>
    </row>
    <row r="41" spans="1:34" x14ac:dyDescent="0.2">
      <c r="B41" s="3" t="s">
        <v>58</v>
      </c>
      <c r="C41" s="31">
        <f>C36+C38-C39</f>
        <v>-758</v>
      </c>
      <c r="D41" s="33">
        <f>+C41/$C$20</f>
        <v>-8.7559200646875363E-2</v>
      </c>
      <c r="E41" s="31">
        <f>E36+E38-E39</f>
        <v>661.79999999999882</v>
      </c>
      <c r="F41" s="33">
        <f>+E41/$E$20</f>
        <v>6.81368213730114E-2</v>
      </c>
      <c r="G41" s="33">
        <f>IF(C41=0,"",(E41-C41)/ABS(C41)+1)</f>
        <v>2.873087071240104</v>
      </c>
      <c r="H41" s="31">
        <f>H36+H38-H39</f>
        <v>-315.01000000000084</v>
      </c>
      <c r="I41" s="33">
        <f>+H41/$H$20</f>
        <v>-3.9619563645236416E-2</v>
      </c>
      <c r="J41" s="33">
        <f>IF(H41=0,"",(E41-H41)/ABS(H41))</f>
        <v>3.100885686168684</v>
      </c>
      <c r="K41" s="31">
        <f>K36+K38-K39</f>
        <v>447</v>
      </c>
      <c r="L41" s="33">
        <f>+K41/$K$20</f>
        <v>2.4896958894953771E-2</v>
      </c>
      <c r="M41" s="31">
        <f>M36+M38-M39</f>
        <v>2718.4400000000005</v>
      </c>
      <c r="N41" s="33">
        <f>+M41/$M$20</f>
        <v>0.14039621683624592</v>
      </c>
      <c r="O41" s="33">
        <f>IF(K41=0,"",(M41-K41)/ABS(K41)+1)</f>
        <v>6.0815212527964215</v>
      </c>
      <c r="P41" s="31">
        <f>P36+P38-P39</f>
        <v>1961.4700000000032</v>
      </c>
      <c r="Q41" s="33">
        <f>+P41/$P$20</f>
        <v>0.11092216950456096</v>
      </c>
      <c r="R41" s="33">
        <f>IF(P41=0,"",(M41-P41)/ABS(P41))</f>
        <v>0.38591974386556821</v>
      </c>
      <c r="S41" s="33"/>
      <c r="T41" s="62"/>
      <c r="V41" s="54"/>
      <c r="W41" s="54"/>
    </row>
    <row r="42" spans="1:34" x14ac:dyDescent="0.2">
      <c r="A42" s="93"/>
      <c r="B42" s="3" t="s">
        <v>44</v>
      </c>
      <c r="C42" s="31">
        <v>0</v>
      </c>
      <c r="D42" s="33">
        <f>+C42/$C$20</f>
        <v>0</v>
      </c>
      <c r="E42" s="31">
        <v>166.5</v>
      </c>
      <c r="F42" s="33">
        <f>+E42/$E$20</f>
        <v>1.7142310000916317E-2</v>
      </c>
      <c r="G42" s="33" t="str">
        <f>IF(C42=0,"",(E42-C42)/ABS(C42)+1)</f>
        <v/>
      </c>
      <c r="H42" s="31">
        <v>0</v>
      </c>
      <c r="I42" s="33">
        <f>+H42/$H$20</f>
        <v>0</v>
      </c>
      <c r="J42" s="33" t="str">
        <f>IF(H42=0,"",(E42-H42)/ABS(H42))</f>
        <v/>
      </c>
      <c r="K42" s="31">
        <v>0</v>
      </c>
      <c r="L42" s="33">
        <f>+K42/$K$20</f>
        <v>0</v>
      </c>
      <c r="M42" s="31">
        <v>680.66</v>
      </c>
      <c r="N42" s="33">
        <f>+M42/$M$20</f>
        <v>3.5153282379511458E-2</v>
      </c>
      <c r="O42" s="33" t="str">
        <f>IF(K42=0,"",(M42-K42)/ABS(K42)+1)</f>
        <v/>
      </c>
      <c r="P42" s="31">
        <v>569.12</v>
      </c>
      <c r="Q42" s="33">
        <f>+P42/$P$20</f>
        <v>3.2184038047197071E-2</v>
      </c>
      <c r="R42" s="33">
        <f>IF(P42=0,"",(M42-P42)/ABS(P42))</f>
        <v>0.19598678661793639</v>
      </c>
      <c r="S42" s="33"/>
      <c r="T42" s="62"/>
      <c r="V42" s="54"/>
      <c r="W42" s="54"/>
      <c r="X42" s="96"/>
    </row>
    <row r="43" spans="1:34" x14ac:dyDescent="0.2">
      <c r="B43" s="19" t="s">
        <v>59</v>
      </c>
      <c r="C43" s="68">
        <f>C41-C42</f>
        <v>-758</v>
      </c>
      <c r="D43" s="44">
        <f>+C43/$C$20</f>
        <v>-8.7559200646875363E-2</v>
      </c>
      <c r="E43" s="68">
        <f>E41-E42</f>
        <v>495.29999999999882</v>
      </c>
      <c r="F43" s="44">
        <f>+E43/$E$20</f>
        <v>5.0994511372095083E-2</v>
      </c>
      <c r="G43" s="44">
        <f>IF(C43=0,"",(E43-C43)/ABS(C43)+1)</f>
        <v>2.6534300791556715</v>
      </c>
      <c r="H43" s="68">
        <f>H41-H42</f>
        <v>-315.01000000000084</v>
      </c>
      <c r="I43" s="44">
        <f>+H43/$H$20</f>
        <v>-3.9619563645236416E-2</v>
      </c>
      <c r="J43" s="44">
        <f>IF(H43=0,"",(E43-H43)/ABS(H43))</f>
        <v>2.5723310371099251</v>
      </c>
      <c r="K43" s="68">
        <f>K41-K42</f>
        <v>447</v>
      </c>
      <c r="L43" s="44">
        <f>+K43/$K$20</f>
        <v>2.4896958894953771E-2</v>
      </c>
      <c r="M43" s="68">
        <f>M41-M42</f>
        <v>2037.7800000000007</v>
      </c>
      <c r="N43" s="44">
        <f>+M43/$M$20</f>
        <v>0.10524293445673447</v>
      </c>
      <c r="O43" s="44">
        <f>IF(K43=0,"",(M43-K43)/ABS(K43)+1)</f>
        <v>4.5587919463087268</v>
      </c>
      <c r="P43" s="68">
        <f>P41-P42</f>
        <v>1392.3500000000031</v>
      </c>
      <c r="Q43" s="44">
        <f>+P43/$P$20</f>
        <v>7.8738131457363886E-2</v>
      </c>
      <c r="R43" s="44">
        <f>IF(P43=0,"",(M43-P43)/ABS(P43))</f>
        <v>0.46355442237942768</v>
      </c>
      <c r="S43" s="44"/>
      <c r="T43" s="62"/>
    </row>
    <row r="44" spans="1:34" x14ac:dyDescent="0.2">
      <c r="J44" s="33"/>
      <c r="R44" s="33"/>
      <c r="S44" s="33"/>
    </row>
    <row r="45" spans="1:34" x14ac:dyDescent="0.2">
      <c r="A45" s="93"/>
      <c r="B45" s="3" t="s">
        <v>60</v>
      </c>
      <c r="C45" s="31">
        <v>-470</v>
      </c>
      <c r="D45" s="33">
        <f>+C45/$C$20</f>
        <v>-5.4291324939355436E-2</v>
      </c>
      <c r="E45" s="31">
        <v>936.3199999999988</v>
      </c>
      <c r="F45" s="33">
        <f>+E45/$E$20</f>
        <v>9.6400526727074748E-2</v>
      </c>
      <c r="G45" s="33">
        <f>IF(C45=0,"",(E45-C45)/ABS(C45)+1)</f>
        <v>3.9921702127659549</v>
      </c>
      <c r="H45" s="31">
        <v>-1.550000000000864</v>
      </c>
      <c r="I45" s="33">
        <f>+H45/$H$20</f>
        <v>-1.949472196125536E-4</v>
      </c>
      <c r="J45" s="33">
        <f>IF(H45=0,"",(E45-H45)/ABS(H45))</f>
        <v>605.07741935450122</v>
      </c>
      <c r="K45" s="31">
        <v>1023</v>
      </c>
      <c r="L45" s="33">
        <f>+K45/$K$20</f>
        <v>5.6978946195833796E-2</v>
      </c>
      <c r="M45" s="31">
        <v>3272.2200000000003</v>
      </c>
      <c r="N45" s="33">
        <f>+M45/$M$20</f>
        <v>0.16899667039033436</v>
      </c>
      <c r="O45" s="33">
        <f>IF(K45=0,"",(M45-K45)/ABS(K45)+1)</f>
        <v>3.1986510263929619</v>
      </c>
      <c r="P45" s="31">
        <v>2600.3700000000035</v>
      </c>
      <c r="Q45" s="33">
        <f>+P45/$P$20</f>
        <v>0.14705230358586932</v>
      </c>
      <c r="R45" s="33">
        <f>IF(P45=0,"",(M45-P45)/ABS(P45))</f>
        <v>0.2583670785311305</v>
      </c>
      <c r="S45" s="33"/>
      <c r="T45" s="62"/>
    </row>
    <row r="46" spans="1:34" x14ac:dyDescent="0.2">
      <c r="B46" s="3" t="s">
        <v>35</v>
      </c>
      <c r="C46" s="31">
        <v>5935</v>
      </c>
      <c r="D46" s="33">
        <f>+C46/$C$20</f>
        <v>0.68557236918100961</v>
      </c>
      <c r="E46" s="31">
        <v>5665.42</v>
      </c>
      <c r="F46" s="33">
        <f>+E46/$E$20</f>
        <v>0.58329360916150941</v>
      </c>
      <c r="G46" s="33">
        <f>IF(C46=0,"",(E46-C46)/ABS(C46)+1)</f>
        <v>0.95457792754844151</v>
      </c>
      <c r="H46" s="31">
        <v>5364.78</v>
      </c>
      <c r="I46" s="33">
        <f>+H46/$H$20</f>
        <v>0.67474125473061441</v>
      </c>
      <c r="J46" s="33">
        <f>IF(H46=0,"",(E46-H46)/ABS(H46))</f>
        <v>5.6039576646199907E-2</v>
      </c>
      <c r="K46" s="31">
        <v>11870</v>
      </c>
      <c r="L46" s="33">
        <f>+K46/$K$20</f>
        <v>0.66113400913445475</v>
      </c>
      <c r="M46" s="31">
        <v>11213.47</v>
      </c>
      <c r="N46" s="33">
        <f>+M46/$M$20</f>
        <v>0.57912948809123543</v>
      </c>
      <c r="O46" s="33">
        <f>IF(K46=0,"",(M46-K46)/ABS(K46)+1)</f>
        <v>0.94468997472620042</v>
      </c>
      <c r="P46" s="31">
        <v>10850.94</v>
      </c>
      <c r="Q46" s="33">
        <f>+P46/$P$20</f>
        <v>0.61362641588391298</v>
      </c>
      <c r="R46" s="33">
        <f>IF(P46=0,"",(M46-P46)/ABS(P46))</f>
        <v>3.3410008718138595E-2</v>
      </c>
      <c r="S46" s="33"/>
    </row>
    <row r="47" spans="1:34" x14ac:dyDescent="0.2">
      <c r="B47" s="3"/>
      <c r="C47" s="2" t="s">
        <v>61</v>
      </c>
      <c r="E47" s="2" t="s">
        <v>61</v>
      </c>
    </row>
    <row r="48" spans="1:34" x14ac:dyDescent="0.2">
      <c r="K48" s="2" t="s">
        <v>61</v>
      </c>
      <c r="M48" s="2" t="s">
        <v>61</v>
      </c>
    </row>
    <row r="49" spans="2:19" x14ac:dyDescent="0.2">
      <c r="M49" s="54"/>
    </row>
    <row r="55" spans="2:19" x14ac:dyDescent="0.2">
      <c r="H55" s="54"/>
    </row>
    <row r="56" spans="2:19" x14ac:dyDescent="0.2">
      <c r="C56" s="54"/>
      <c r="E56" s="54"/>
      <c r="N56" s="54"/>
      <c r="R56" s="54"/>
      <c r="S56" s="54"/>
    </row>
    <row r="57" spans="2:19" x14ac:dyDescent="0.2">
      <c r="C57" s="54"/>
      <c r="E57" s="54"/>
      <c r="N57" s="54"/>
      <c r="R57" s="54"/>
      <c r="S57" s="54"/>
    </row>
    <row r="58" spans="2:19" x14ac:dyDescent="0.2">
      <c r="C58" s="54"/>
      <c r="E58" s="54"/>
      <c r="N58" s="54"/>
      <c r="R58" s="54"/>
      <c r="S58" s="54"/>
    </row>
    <row r="59" spans="2:19" x14ac:dyDescent="0.2">
      <c r="C59" s="54"/>
      <c r="E59" s="54"/>
      <c r="N59" s="54"/>
      <c r="R59" s="54"/>
      <c r="S59" s="54"/>
    </row>
    <row r="60" spans="2:19" x14ac:dyDescent="0.2">
      <c r="C60" s="54"/>
      <c r="E60" s="54"/>
      <c r="N60" s="54"/>
      <c r="R60" s="54"/>
      <c r="S60" s="54"/>
    </row>
    <row r="61" spans="2:19" x14ac:dyDescent="0.2">
      <c r="C61" s="54"/>
      <c r="E61" s="54"/>
    </row>
    <row r="62" spans="2:19" x14ac:dyDescent="0.2">
      <c r="B62" s="78"/>
    </row>
    <row r="63" spans="2:19" x14ac:dyDescent="0.2">
      <c r="C63" s="54"/>
      <c r="E63" s="54"/>
    </row>
    <row r="64" spans="2:19" x14ac:dyDescent="0.2">
      <c r="C64" s="54"/>
      <c r="E64" s="54"/>
    </row>
    <row r="65" spans="2:6" x14ac:dyDescent="0.2">
      <c r="C65" s="54"/>
      <c r="E65" s="54"/>
    </row>
    <row r="66" spans="2:6" x14ac:dyDescent="0.2">
      <c r="C66" s="54"/>
      <c r="E66" s="54"/>
    </row>
    <row r="68" spans="2:6" x14ac:dyDescent="0.2">
      <c r="B68" s="78"/>
      <c r="C68" s="97"/>
      <c r="D68" s="78"/>
      <c r="E68" s="97"/>
      <c r="F68" s="95"/>
    </row>
  </sheetData>
  <conditionalFormatting sqref="J10:J46">
    <cfRule type="cellIs" dxfId="60" priority="2" operator="lessThan">
      <formula>0</formula>
    </cfRule>
  </conditionalFormatting>
  <conditionalFormatting sqref="R10:S46">
    <cfRule type="cellIs" dxfId="59" priority="3" operator="lessThan">
      <formula>0</formula>
    </cfRule>
  </conditionalFormatting>
  <conditionalFormatting sqref="AD10:AD11 AD13:AD17 AD19:AD28 AD30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4A37F-5C0B-4F01-BD20-55ACFCECACD6}">
  <sheetPr>
    <tabColor theme="0" tint="-0.14999847407452621"/>
  </sheetPr>
  <dimension ref="A1:AH48"/>
  <sheetViews>
    <sheetView showGridLines="0" topLeftCell="F1" zoomScale="98" zoomScaleNormal="98" workbookViewId="0">
      <selection activeCell="R3" sqref="R3"/>
    </sheetView>
  </sheetViews>
  <sheetFormatPr baseColWidth="10" defaultRowHeight="12.75" x14ac:dyDescent="0.2"/>
  <cols>
    <col min="1" max="1" width="4.28515625" style="2" customWidth="1"/>
    <col min="2" max="2" width="35.7109375" style="2" customWidth="1"/>
    <col min="3" max="3" width="11.5703125" style="2" customWidth="1"/>
    <col min="4" max="4" width="6.7109375" style="2" bestFit="1" customWidth="1"/>
    <col min="5" max="6" width="8.85546875" style="2" customWidth="1"/>
    <col min="7" max="7" width="7.5703125" style="2" customWidth="1"/>
    <col min="8" max="8" width="14" style="2" bestFit="1" customWidth="1"/>
    <col min="9" max="9" width="7.7109375" style="2" customWidth="1"/>
    <col min="10" max="10" width="8.140625" style="2" customWidth="1"/>
    <col min="11" max="11" width="9.5703125" style="2" bestFit="1" customWidth="1"/>
    <col min="12" max="12" width="8.42578125" style="2" customWidth="1"/>
    <col min="13" max="13" width="9.42578125" style="2" bestFit="1" customWidth="1"/>
    <col min="14" max="14" width="5.7109375" style="2" customWidth="1"/>
    <col min="15" max="15" width="6" style="2" bestFit="1" customWidth="1"/>
    <col min="16" max="16" width="14.28515625" style="2" customWidth="1"/>
    <col min="17" max="17" width="5.85546875" style="2" bestFit="1" customWidth="1"/>
    <col min="18" max="18" width="8.85546875" style="2" bestFit="1" customWidth="1"/>
    <col min="19" max="19" width="14.140625" style="62" customWidth="1"/>
    <col min="20" max="20" width="23.28515625" style="2" customWidth="1"/>
    <col min="21" max="21" width="11.42578125" style="2"/>
    <col min="22" max="23" width="14.28515625" style="2" customWidth="1"/>
    <col min="24" max="24" width="14.42578125" style="2" customWidth="1"/>
    <col min="25" max="25" width="14.5703125" style="2" customWidth="1"/>
    <col min="26" max="26" width="16.5703125" style="2" customWidth="1"/>
    <col min="27" max="27" width="10" style="2" customWidth="1"/>
    <col min="28" max="28" width="14" style="2" bestFit="1" customWidth="1"/>
    <col min="29" max="29" width="9.42578125" style="2" customWidth="1"/>
    <col min="30" max="31" width="13.140625" style="2" customWidth="1"/>
    <col min="32" max="32" width="18.5703125" style="2" customWidth="1"/>
    <col min="33" max="16384" width="11.42578125" style="2"/>
  </cols>
  <sheetData>
    <row r="1" spans="1:34" s="53" customFormat="1" ht="19.5" customHeight="1" x14ac:dyDescent="0.2">
      <c r="B1" s="49"/>
      <c r="S1" s="62"/>
    </row>
    <row r="2" spans="1:34" ht="13.5" customHeight="1" x14ac:dyDescent="0.2">
      <c r="A2" s="53"/>
      <c r="X2" s="53"/>
      <c r="Y2" s="53"/>
    </row>
    <row r="3" spans="1:34" ht="25.5" customHeight="1" x14ac:dyDescent="0.25">
      <c r="B3" s="15" t="s">
        <v>108</v>
      </c>
      <c r="T3" s="17" t="s">
        <v>108</v>
      </c>
    </row>
    <row r="4" spans="1:34" x14ac:dyDescent="0.2">
      <c r="B4" s="3" t="s">
        <v>102</v>
      </c>
      <c r="C4" s="90"/>
      <c r="S4" s="98"/>
      <c r="T4" s="3" t="s">
        <v>21</v>
      </c>
    </row>
    <row r="5" spans="1:34" ht="15.75" customHeight="1" thickBot="1" x14ac:dyDescent="0.25">
      <c r="B5" s="3" t="s">
        <v>109</v>
      </c>
      <c r="T5" s="3" t="s">
        <v>109</v>
      </c>
      <c r="X5" s="20" t="s">
        <v>23</v>
      </c>
      <c r="Y5" s="20"/>
      <c r="Z5" s="20"/>
      <c r="AA5" s="20"/>
      <c r="AB5" s="20"/>
      <c r="AC5" s="20"/>
    </row>
    <row r="6" spans="1:34" ht="13.5" thickBot="1" x14ac:dyDescent="0.25">
      <c r="B6" s="78" t="str">
        <f>+'COL. CONS.$'!B6</f>
        <v>FEBRERO de 2024</v>
      </c>
      <c r="K6" s="99" t="s">
        <v>23</v>
      </c>
      <c r="L6" s="99"/>
      <c r="M6" s="99"/>
      <c r="N6" s="99"/>
      <c r="O6" s="99"/>
      <c r="P6" s="99"/>
      <c r="Q6" s="99"/>
      <c r="R6" s="99"/>
      <c r="T6" s="19" t="str">
        <f>+B6</f>
        <v>FEBRERO de 2024</v>
      </c>
      <c r="Z6" s="2" t="s">
        <v>26</v>
      </c>
      <c r="AA6" s="2" t="s">
        <v>24</v>
      </c>
      <c r="AC6" s="2" t="s">
        <v>25</v>
      </c>
    </row>
    <row r="7" spans="1:34" x14ac:dyDescent="0.2">
      <c r="C7" s="60" t="str">
        <f>+'COL. CONS.$'!C7:C7</f>
        <v>Ppto 2024</v>
      </c>
      <c r="D7" s="60"/>
      <c r="E7" s="60" t="str">
        <f>+'COL. CONS.$'!E7:E7</f>
        <v>Real 2024</v>
      </c>
      <c r="F7" s="60"/>
      <c r="G7" s="60" t="s">
        <v>24</v>
      </c>
      <c r="H7" s="60" t="str">
        <f>+'COL. CONS.$'!H7:H7</f>
        <v>Real 2023</v>
      </c>
      <c r="I7" s="60"/>
      <c r="J7" s="60" t="s">
        <v>25</v>
      </c>
      <c r="K7" s="60" t="str">
        <f>+C7</f>
        <v>Ppto 2024</v>
      </c>
      <c r="L7" s="60"/>
      <c r="M7" s="60" t="str">
        <f>+E7</f>
        <v>Real 2024</v>
      </c>
      <c r="N7" s="60"/>
      <c r="O7" s="60" t="s">
        <v>24</v>
      </c>
      <c r="P7" s="60" t="str">
        <f>+H7</f>
        <v>Real 2023</v>
      </c>
      <c r="Q7" s="60"/>
      <c r="R7" s="60" t="s">
        <v>25</v>
      </c>
      <c r="U7" s="53" t="str">
        <f>+C7</f>
        <v>Ppto 2024</v>
      </c>
      <c r="V7" s="53" t="str">
        <f>+M7</f>
        <v>Real 2024</v>
      </c>
      <c r="W7" s="53" t="str">
        <f>+H7</f>
        <v>Real 2023</v>
      </c>
      <c r="X7" s="53" t="str">
        <f>+U7</f>
        <v>Ppto 2024</v>
      </c>
      <c r="Y7" s="53" t="str">
        <f>+V7</f>
        <v>Real 2024</v>
      </c>
      <c r="Z7" s="53" t="s">
        <v>26</v>
      </c>
      <c r="AA7" s="53" t="s">
        <v>24</v>
      </c>
      <c r="AB7" s="53" t="str">
        <f>+W7</f>
        <v>Real 2023</v>
      </c>
      <c r="AC7" s="53" t="s">
        <v>25</v>
      </c>
      <c r="AD7" s="66"/>
      <c r="AE7" s="66"/>
      <c r="AG7" s="66"/>
    </row>
    <row r="8" spans="1:34" ht="13.5" thickBot="1" x14ac:dyDescent="0.25">
      <c r="B8" s="28"/>
      <c r="C8" s="29" t="s">
        <v>28</v>
      </c>
      <c r="D8" s="29" t="s">
        <v>29</v>
      </c>
      <c r="E8" s="29" t="s">
        <v>28</v>
      </c>
      <c r="F8" s="29" t="s">
        <v>29</v>
      </c>
      <c r="G8" s="29" t="s">
        <v>30</v>
      </c>
      <c r="H8" s="29" t="s">
        <v>28</v>
      </c>
      <c r="I8" s="29" t="s">
        <v>29</v>
      </c>
      <c r="J8" s="29" t="s">
        <v>30</v>
      </c>
      <c r="K8" s="29" t="s">
        <v>28</v>
      </c>
      <c r="L8" s="29" t="s">
        <v>29</v>
      </c>
      <c r="M8" s="29" t="s">
        <v>28</v>
      </c>
      <c r="N8" s="29" t="s">
        <v>29</v>
      </c>
      <c r="O8" s="29" t="s">
        <v>30</v>
      </c>
      <c r="P8" s="29" t="s">
        <v>28</v>
      </c>
      <c r="Q8" s="29" t="s">
        <v>29</v>
      </c>
      <c r="R8" s="29" t="s">
        <v>30</v>
      </c>
      <c r="T8" s="28"/>
      <c r="U8" s="29"/>
      <c r="V8" s="29"/>
      <c r="W8" s="29"/>
      <c r="X8" s="28"/>
      <c r="Y8" s="28"/>
      <c r="Z8" s="29"/>
      <c r="AA8" s="29" t="s">
        <v>30</v>
      </c>
      <c r="AB8" s="28"/>
      <c r="AC8" s="29" t="s">
        <v>30</v>
      </c>
      <c r="AD8" s="66"/>
      <c r="AE8" s="66"/>
      <c r="AG8" s="66"/>
      <c r="AH8" s="66"/>
    </row>
    <row r="9" spans="1:34" x14ac:dyDescent="0.2">
      <c r="AD9" s="66"/>
      <c r="AE9" s="66"/>
      <c r="AG9" s="66"/>
      <c r="AH9" s="66"/>
    </row>
    <row r="10" spans="1:34" x14ac:dyDescent="0.2">
      <c r="B10" s="3" t="str">
        <f>+'COLOMB$ '!B10</f>
        <v>Musical Experience  (Ambiental)</v>
      </c>
      <c r="C10" s="31"/>
      <c r="D10" s="67" t="str">
        <f t="shared" ref="D10:D20" si="0">IF($C$20=0," ",C10/$C$20)</f>
        <v xml:space="preserve"> </v>
      </c>
      <c r="E10" s="31">
        <v>95595</v>
      </c>
      <c r="F10" s="67">
        <f t="shared" ref="F10:F15" si="1">+E10/$E$20</f>
        <v>0.37869004420922531</v>
      </c>
      <c r="G10" s="67" t="str">
        <f t="shared" ref="G10:G15" si="2">IF(C10=0,"",(E10-C10)/ABS(C10)+1)</f>
        <v/>
      </c>
      <c r="H10" s="31">
        <v>79768</v>
      </c>
      <c r="I10" s="67">
        <f t="shared" ref="I10:I15" si="3">+H10/$H$20</f>
        <v>0.35782088124023281</v>
      </c>
      <c r="J10" s="67">
        <f t="shared" ref="J10:J15" si="4">IF(H10=0,"",(E10-H10)/ABS(H10))</f>
        <v>0.19841289740246715</v>
      </c>
      <c r="K10" s="31"/>
      <c r="L10" s="67" t="str">
        <f t="shared" ref="L10:L20" si="5">IF($K$20=0," ",K10/$K$20)</f>
        <v xml:space="preserve"> </v>
      </c>
      <c r="M10" s="31">
        <v>194478</v>
      </c>
      <c r="N10" s="67">
        <f t="shared" ref="N10:N15" si="6">+M10/$M$20</f>
        <v>0.42330002416021489</v>
      </c>
      <c r="O10" s="67" t="str">
        <f>IF(K10=0,"",(M10-K10)/ABS(K10)+1)</f>
        <v/>
      </c>
      <c r="P10" s="31">
        <v>144658</v>
      </c>
      <c r="Q10" s="67">
        <f t="shared" ref="Q10:Q15" si="7">+P10/$P$20</f>
        <v>0.41218355762638592</v>
      </c>
      <c r="R10" s="67">
        <f t="shared" ref="R10:R15" si="8">IF(P10=0,"",(M10-P10)/ABS(P10))</f>
        <v>0.34439851235327462</v>
      </c>
      <c r="T10" s="3" t="s">
        <v>31</v>
      </c>
      <c r="U10" s="31">
        <v>236652</v>
      </c>
      <c r="V10" s="31">
        <v>239993</v>
      </c>
      <c r="W10" s="31">
        <v>37026</v>
      </c>
      <c r="X10" s="31">
        <v>236652</v>
      </c>
      <c r="Y10" s="31">
        <v>253979</v>
      </c>
      <c r="Z10" s="62">
        <f>+Y10-X10</f>
        <v>17327</v>
      </c>
      <c r="AA10" s="67">
        <f>IF(X10=0,"",(Y10-X10)/ABS(X10)+1)</f>
        <v>1.073217213461116</v>
      </c>
      <c r="AB10" s="31">
        <v>37026</v>
      </c>
      <c r="AC10" s="67">
        <f>IF(W10=0,"",(Y10-AB10)/ABS(AB10))</f>
        <v>5.8594771241830061</v>
      </c>
      <c r="AD10" s="66"/>
      <c r="AE10" s="66"/>
      <c r="AF10" s="66"/>
      <c r="AG10" s="66"/>
      <c r="AH10" s="66"/>
    </row>
    <row r="11" spans="1:34" ht="13.5" customHeight="1" x14ac:dyDescent="0.2">
      <c r="B11" s="3" t="str">
        <f>+'COLOMB$ '!B11</f>
        <v>Instalaciones</v>
      </c>
      <c r="C11" s="31"/>
      <c r="D11" s="67" t="str">
        <f t="shared" si="0"/>
        <v xml:space="preserve"> </v>
      </c>
      <c r="E11" s="31">
        <v>21894</v>
      </c>
      <c r="F11" s="67">
        <f t="shared" si="1"/>
        <v>8.6730894167234465E-2</v>
      </c>
      <c r="G11" s="67" t="str">
        <f t="shared" si="2"/>
        <v/>
      </c>
      <c r="H11" s="31">
        <v>88170.03</v>
      </c>
      <c r="I11" s="67">
        <f t="shared" si="3"/>
        <v>0.39551045323410094</v>
      </c>
      <c r="J11" s="67">
        <f t="shared" si="4"/>
        <v>-0.75168433083214325</v>
      </c>
      <c r="K11" s="31"/>
      <c r="L11" s="67" t="str">
        <f t="shared" si="5"/>
        <v xml:space="preserve"> </v>
      </c>
      <c r="M11" s="31">
        <v>46440</v>
      </c>
      <c r="N11" s="67">
        <f t="shared" si="6"/>
        <v>0.10108111520069303</v>
      </c>
      <c r="O11" s="67" t="str">
        <f>IF(K11=0,"",(M11-K11)/ABS(K11)+1)</f>
        <v/>
      </c>
      <c r="P11" s="31">
        <v>102230.19</v>
      </c>
      <c r="Q11" s="67">
        <f t="shared" si="7"/>
        <v>0.29129120692268234</v>
      </c>
      <c r="R11" s="67">
        <f t="shared" si="8"/>
        <v>-0.54573106046266762</v>
      </c>
      <c r="T11" s="3" t="s">
        <v>32</v>
      </c>
      <c r="U11" s="31"/>
      <c r="V11" s="31">
        <v>277252</v>
      </c>
      <c r="W11" s="31">
        <v>132258</v>
      </c>
      <c r="X11" s="31">
        <f>+AD8+U11</f>
        <v>0</v>
      </c>
      <c r="Y11" s="31">
        <v>484586</v>
      </c>
      <c r="Z11" s="62">
        <f>+Y11-X11</f>
        <v>484586</v>
      </c>
      <c r="AA11" s="67" t="str">
        <f>IF(X11=0,"",(Y11-X11)/ABS(X11)+1)</f>
        <v/>
      </c>
      <c r="AB11" s="31">
        <v>132258</v>
      </c>
      <c r="AC11" s="67">
        <f>IF(AB11=0,"",(Y11-AB11)/ABS(AB11))</f>
        <v>2.6639447141193728</v>
      </c>
      <c r="AD11" s="66"/>
      <c r="AE11" s="66"/>
      <c r="AF11" s="66"/>
      <c r="AG11" s="66"/>
      <c r="AH11" s="66"/>
    </row>
    <row r="12" spans="1:34" x14ac:dyDescent="0.2">
      <c r="B12" s="3" t="str">
        <f>+'COLOMB$ '!B12</f>
        <v>Voice Experience (Publihold)</v>
      </c>
      <c r="C12" s="31"/>
      <c r="D12" s="67" t="str">
        <f t="shared" si="0"/>
        <v xml:space="preserve"> </v>
      </c>
      <c r="E12" s="31">
        <v>75091</v>
      </c>
      <c r="F12" s="67">
        <f t="shared" si="1"/>
        <v>0.2974654962049787</v>
      </c>
      <c r="G12" s="67" t="str">
        <f t="shared" si="2"/>
        <v/>
      </c>
      <c r="H12" s="31">
        <v>21704</v>
      </c>
      <c r="I12" s="67">
        <f t="shared" si="3"/>
        <v>9.7359146605631497E-2</v>
      </c>
      <c r="J12" s="67">
        <f t="shared" si="4"/>
        <v>2.4597769996314045</v>
      </c>
      <c r="K12" s="31"/>
      <c r="L12" s="67" t="str">
        <f t="shared" si="5"/>
        <v xml:space="preserve"> </v>
      </c>
      <c r="M12" s="31">
        <v>105657</v>
      </c>
      <c r="N12" s="67">
        <f t="shared" si="6"/>
        <v>0.22997259665718398</v>
      </c>
      <c r="O12" s="67" t="str">
        <f>IF(K12=0,"",(M12-K12)/ABS(K12)+1)</f>
        <v/>
      </c>
      <c r="P12" s="31">
        <v>53586.25</v>
      </c>
      <c r="Q12" s="67">
        <f t="shared" si="7"/>
        <v>0.15268682800022759</v>
      </c>
      <c r="R12" s="67">
        <f t="shared" si="8"/>
        <v>0.97171849121742981</v>
      </c>
      <c r="AF12" s="66"/>
      <c r="AG12" s="66"/>
      <c r="AH12" s="66"/>
    </row>
    <row r="13" spans="1:34" x14ac:dyDescent="0.2">
      <c r="B13" s="3" t="str">
        <f>+'COLOMB$ '!B13</f>
        <v>Service &amp; Equipment Experience</v>
      </c>
      <c r="C13" s="31"/>
      <c r="D13" s="67" t="str">
        <f t="shared" si="0"/>
        <v xml:space="preserve"> </v>
      </c>
      <c r="E13" s="31">
        <v>25735</v>
      </c>
      <c r="F13" s="67">
        <f t="shared" si="1"/>
        <v>0.1019466320176203</v>
      </c>
      <c r="G13" s="67" t="str">
        <f t="shared" si="2"/>
        <v/>
      </c>
      <c r="H13" s="31">
        <v>6956.32</v>
      </c>
      <c r="I13" s="67">
        <f t="shared" si="3"/>
        <v>3.1204449811817473E-2</v>
      </c>
      <c r="J13" s="67">
        <f t="shared" si="4"/>
        <v>2.6995135358925411</v>
      </c>
      <c r="K13" s="31"/>
      <c r="L13" s="67" t="str">
        <f t="shared" si="5"/>
        <v xml:space="preserve"> </v>
      </c>
      <c r="M13" s="31">
        <v>42104</v>
      </c>
      <c r="N13" s="67">
        <f t="shared" si="6"/>
        <v>9.1643395228466387E-2</v>
      </c>
      <c r="O13" s="67" t="str">
        <f>IF(K13=0,"",(M13-K13)/ABS(K13)+1)</f>
        <v/>
      </c>
      <c r="P13" s="31">
        <v>7205.08</v>
      </c>
      <c r="Q13" s="67">
        <f t="shared" si="7"/>
        <v>2.0529908524815225E-2</v>
      </c>
      <c r="R13" s="67">
        <f t="shared" si="8"/>
        <v>4.8436547547008502</v>
      </c>
      <c r="T13" s="3" t="s">
        <v>33</v>
      </c>
      <c r="U13" s="31"/>
      <c r="V13" s="31"/>
      <c r="W13" s="31"/>
      <c r="X13" s="31">
        <f>+AD9+U13</f>
        <v>0</v>
      </c>
      <c r="Y13" s="31"/>
      <c r="Z13" s="62">
        <f>+X13-Y13</f>
        <v>0</v>
      </c>
      <c r="AA13" s="67" t="str">
        <f>IF(X13=0,"",(Y13-X13)/ABS(X13)+1)</f>
        <v/>
      </c>
      <c r="AB13" s="31"/>
      <c r="AC13" s="67" t="str">
        <f>IF(AB13=0,"",(Y13-AB13)/ABS(AB13))</f>
        <v/>
      </c>
      <c r="AD13" s="66"/>
      <c r="AE13" s="66"/>
      <c r="AG13" s="66"/>
      <c r="AH13" s="66"/>
    </row>
    <row r="14" spans="1:34" x14ac:dyDescent="0.2">
      <c r="B14" s="3" t="str">
        <f>+'COLOMB$ '!B14</f>
        <v>POP Satelital</v>
      </c>
      <c r="C14" s="31"/>
      <c r="D14" s="67" t="str">
        <f t="shared" si="0"/>
        <v xml:space="preserve"> </v>
      </c>
      <c r="E14" s="31"/>
      <c r="F14" s="67">
        <f t="shared" si="1"/>
        <v>0</v>
      </c>
      <c r="G14" s="67" t="str">
        <f t="shared" si="2"/>
        <v/>
      </c>
      <c r="H14" s="31"/>
      <c r="I14" s="67">
        <f t="shared" si="3"/>
        <v>0</v>
      </c>
      <c r="J14" s="67" t="str">
        <f t="shared" si="4"/>
        <v/>
      </c>
      <c r="K14" s="31"/>
      <c r="L14" s="67" t="str">
        <f t="shared" si="5"/>
        <v xml:space="preserve"> </v>
      </c>
      <c r="M14" s="31"/>
      <c r="N14" s="67">
        <f t="shared" si="6"/>
        <v>0</v>
      </c>
      <c r="O14" s="67" t="str">
        <f>IF(K14=0,"",(M14-K14)/ABS(K14)+1)</f>
        <v/>
      </c>
      <c r="P14" s="31"/>
      <c r="Q14" s="67">
        <f t="shared" si="7"/>
        <v>0</v>
      </c>
      <c r="R14" s="67" t="str">
        <f t="shared" si="8"/>
        <v/>
      </c>
      <c r="T14" s="3" t="s">
        <v>34</v>
      </c>
      <c r="U14" s="31"/>
      <c r="V14" s="31"/>
      <c r="W14" s="31"/>
      <c r="X14" s="31">
        <f>+AD10+U14</f>
        <v>0</v>
      </c>
      <c r="Y14" s="31"/>
      <c r="Z14" s="62">
        <f>+X14-Y14</f>
        <v>0</v>
      </c>
      <c r="AA14" s="67" t="str">
        <f>IF(X14=0,"",(Y14-X14)/ABS(X14)+1)</f>
        <v/>
      </c>
      <c r="AB14" s="31"/>
      <c r="AC14" s="67" t="str">
        <f>IF(AB14=0,"",(Y14-AB14)/ABS(AB14))</f>
        <v/>
      </c>
      <c r="AD14" s="66"/>
      <c r="AE14" s="66"/>
      <c r="AF14" s="66"/>
      <c r="AG14" s="66"/>
      <c r="AH14" s="66"/>
    </row>
    <row r="15" spans="1:34" x14ac:dyDescent="0.2">
      <c r="B15" s="3" t="str">
        <f>+'COLOMB$ '!B15</f>
        <v>Voice Experience (Audicóm)</v>
      </c>
      <c r="C15" s="31"/>
      <c r="D15" s="67" t="str">
        <f t="shared" si="0"/>
        <v xml:space="preserve"> </v>
      </c>
      <c r="E15" s="31">
        <v>34121</v>
      </c>
      <c r="F15" s="67">
        <f t="shared" si="1"/>
        <v>0.13516693340094124</v>
      </c>
      <c r="G15" s="67" t="str">
        <f t="shared" si="2"/>
        <v/>
      </c>
      <c r="H15" s="31">
        <v>26328.83</v>
      </c>
      <c r="I15" s="67">
        <f t="shared" si="3"/>
        <v>0.11810506910821732</v>
      </c>
      <c r="J15" s="67">
        <f t="shared" si="4"/>
        <v>0.29595580206184618</v>
      </c>
      <c r="K15" s="31"/>
      <c r="L15" s="67" t="str">
        <f t="shared" si="5"/>
        <v xml:space="preserve"> </v>
      </c>
      <c r="M15" s="31">
        <v>70754</v>
      </c>
      <c r="N15" s="67">
        <f t="shared" si="6"/>
        <v>0.15400286875344174</v>
      </c>
      <c r="O15" s="67"/>
      <c r="P15" s="31">
        <v>43275.770000000004</v>
      </c>
      <c r="Q15" s="67">
        <f t="shared" si="7"/>
        <v>0.12330849892588883</v>
      </c>
      <c r="R15" s="67">
        <f t="shared" si="8"/>
        <v>0.63495646640140646</v>
      </c>
      <c r="T15" s="3" t="s">
        <v>35</v>
      </c>
      <c r="U15" s="31"/>
      <c r="V15" s="31">
        <v>58470.48</v>
      </c>
      <c r="W15" s="31">
        <v>34365.199999999997</v>
      </c>
      <c r="X15" s="31">
        <f>+AD11+U15</f>
        <v>0</v>
      </c>
      <c r="Y15" s="31">
        <v>150902</v>
      </c>
      <c r="Z15" s="62">
        <f>+X15-Y15</f>
        <v>-150902</v>
      </c>
      <c r="AA15" s="67" t="str">
        <f>IF(X15=0,"",(Y15-X15)/ABS(X15)+1)</f>
        <v/>
      </c>
      <c r="AB15" s="31">
        <v>34365.199999999997</v>
      </c>
      <c r="AC15" s="67">
        <f>IF(AB15=0,"",(Y15-AB15)/ABS(AB15))</f>
        <v>3.3911282343766374</v>
      </c>
      <c r="AD15" s="66"/>
      <c r="AE15" s="66"/>
      <c r="AF15" s="66"/>
      <c r="AG15" s="66"/>
      <c r="AH15" s="66"/>
    </row>
    <row r="16" spans="1:34" x14ac:dyDescent="0.2">
      <c r="B16" s="3" t="str">
        <f>+'COLOMB$ '!B16</f>
        <v>Fact. Servicio Satelital</v>
      </c>
      <c r="C16" s="31"/>
      <c r="D16" s="67" t="str">
        <f t="shared" si="0"/>
        <v xml:space="preserve"> </v>
      </c>
      <c r="E16" s="31"/>
      <c r="F16" s="67"/>
      <c r="G16" s="67"/>
      <c r="H16" s="31"/>
      <c r="I16" s="67"/>
      <c r="J16" s="67"/>
      <c r="K16" s="31"/>
      <c r="L16" s="67" t="str">
        <f t="shared" si="5"/>
        <v xml:space="preserve"> </v>
      </c>
      <c r="M16" s="31"/>
      <c r="N16" s="67"/>
      <c r="O16" s="67"/>
      <c r="P16" s="31"/>
      <c r="Q16" s="67"/>
      <c r="R16" s="67"/>
      <c r="T16" s="3" t="s">
        <v>36</v>
      </c>
      <c r="U16" s="31"/>
      <c r="V16" s="31">
        <v>-116374</v>
      </c>
      <c r="W16" s="31">
        <v>52050.2</v>
      </c>
      <c r="X16" s="31">
        <f>+AD13+U16</f>
        <v>0</v>
      </c>
      <c r="Y16" s="31">
        <v>2403</v>
      </c>
      <c r="Z16" s="62">
        <f>+X16-Y16</f>
        <v>-2403</v>
      </c>
      <c r="AA16" s="67" t="str">
        <f>IF(X16=0,"",(Y16-X16)/ABS(X16)+1)</f>
        <v/>
      </c>
      <c r="AB16" s="31">
        <v>52050.2</v>
      </c>
      <c r="AC16" s="67">
        <f>IF(AB16=0,"",(Y16-AB16)/ABS(AB16))</f>
        <v>-0.95383303042063239</v>
      </c>
      <c r="AD16" s="66"/>
      <c r="AE16" s="66"/>
      <c r="AF16" s="66"/>
      <c r="AG16" s="66"/>
      <c r="AH16" s="66"/>
    </row>
    <row r="17" spans="2:34" x14ac:dyDescent="0.2">
      <c r="B17" s="3" t="str">
        <f>+'COLOMB$ '!B17</f>
        <v>Visual Experience</v>
      </c>
      <c r="C17" s="31"/>
      <c r="D17" s="67" t="str">
        <f t="shared" si="0"/>
        <v xml:space="preserve"> </v>
      </c>
      <c r="E17" s="31"/>
      <c r="F17" s="67"/>
      <c r="G17" s="67"/>
      <c r="H17" s="31"/>
      <c r="I17" s="67"/>
      <c r="J17" s="67"/>
      <c r="K17" s="31"/>
      <c r="L17" s="67" t="str">
        <f t="shared" si="5"/>
        <v xml:space="preserve"> </v>
      </c>
      <c r="M17" s="31"/>
      <c r="N17" s="67"/>
      <c r="O17" s="67"/>
      <c r="P17" s="31"/>
      <c r="Q17" s="67"/>
      <c r="R17" s="67"/>
      <c r="T17" s="3" t="s">
        <v>37</v>
      </c>
      <c r="U17" s="31">
        <f t="shared" ref="U17" si="9">U13+U14+U15+U16</f>
        <v>0</v>
      </c>
      <c r="V17" s="31">
        <f>V13+V14+V15+V16</f>
        <v>-57903.519999999997</v>
      </c>
      <c r="W17" s="31">
        <v>86415.4</v>
      </c>
      <c r="X17" s="31">
        <f>X13+X14+X15+X16</f>
        <v>0</v>
      </c>
      <c r="Y17" s="31">
        <f>Y13+Y14+Y15+Y16</f>
        <v>153305</v>
      </c>
      <c r="Z17" s="62">
        <f>+Y17-X17</f>
        <v>153305</v>
      </c>
      <c r="AA17" s="67" t="str">
        <f>IF(X17=0,"",(Y17-X17)/ABS(X17)+1)</f>
        <v/>
      </c>
      <c r="AB17" s="31">
        <v>86415.4</v>
      </c>
      <c r="AC17" s="67">
        <f>IF(AB17=0,"",(Y17-AB17)/ABS(AB17))</f>
        <v>0.77404721843560298</v>
      </c>
      <c r="AD17" s="66"/>
      <c r="AE17" s="66"/>
      <c r="AF17" s="66"/>
      <c r="AG17" s="66"/>
      <c r="AH17" s="66"/>
    </row>
    <row r="18" spans="2:34" x14ac:dyDescent="0.2">
      <c r="B18" s="3" t="s">
        <v>110</v>
      </c>
      <c r="C18" s="31"/>
      <c r="D18" s="67" t="str">
        <f t="shared" si="0"/>
        <v xml:space="preserve"> </v>
      </c>
      <c r="E18" s="31"/>
      <c r="F18" s="67"/>
      <c r="G18" s="67"/>
      <c r="H18" s="31"/>
      <c r="I18" s="67"/>
      <c r="J18" s="67"/>
      <c r="K18" s="31"/>
      <c r="L18" s="67" t="str">
        <f t="shared" si="5"/>
        <v xml:space="preserve"> </v>
      </c>
      <c r="M18" s="31"/>
      <c r="N18" s="67"/>
      <c r="O18" s="67"/>
      <c r="P18" s="31"/>
      <c r="Q18" s="67"/>
      <c r="R18" s="67"/>
      <c r="AF18" s="66"/>
      <c r="AG18" s="66"/>
      <c r="AH18" s="66"/>
    </row>
    <row r="19" spans="2:34" x14ac:dyDescent="0.2">
      <c r="B19" s="3" t="str">
        <f>+'COLOMB$ '!B19</f>
        <v>Locutor virtual</v>
      </c>
      <c r="C19" s="31"/>
      <c r="D19" s="67" t="str">
        <f t="shared" si="0"/>
        <v xml:space="preserve"> </v>
      </c>
      <c r="E19" s="31"/>
      <c r="F19" s="67"/>
      <c r="G19" s="67"/>
      <c r="H19" s="31"/>
      <c r="I19" s="67"/>
      <c r="J19" s="67"/>
      <c r="K19" s="31"/>
      <c r="L19" s="67" t="str">
        <f t="shared" si="5"/>
        <v xml:space="preserve"> </v>
      </c>
      <c r="M19" s="31"/>
      <c r="N19" s="67"/>
      <c r="O19" s="67"/>
      <c r="P19" s="31"/>
      <c r="Q19" s="67"/>
      <c r="R19" s="67"/>
      <c r="T19" s="3" t="s">
        <v>38</v>
      </c>
      <c r="U19" s="31">
        <f>+U11-U17</f>
        <v>0</v>
      </c>
      <c r="V19" s="31">
        <f>+V11-V17</f>
        <v>335155.52</v>
      </c>
      <c r="W19" s="31">
        <v>45842.600000000006</v>
      </c>
      <c r="X19" s="31">
        <f>X11-X17</f>
        <v>0</v>
      </c>
      <c r="Y19" s="31">
        <f>+Y11-Y17</f>
        <v>331281</v>
      </c>
      <c r="Z19" s="62">
        <f>+Y19-X19</f>
        <v>331281</v>
      </c>
      <c r="AA19" s="67" t="str">
        <f>IF(X19=0,"",(Y19-X19)/ABS(X19)+1)</f>
        <v/>
      </c>
      <c r="AB19" s="31">
        <v>45842.600000000006</v>
      </c>
      <c r="AC19" s="67">
        <f>IF(AB19=0,"",(Y19-AB19)/ABS(AB19))</f>
        <v>6.2264880264208395</v>
      </c>
      <c r="AD19" s="66"/>
      <c r="AE19" s="66"/>
      <c r="AF19" s="66"/>
      <c r="AG19" s="66"/>
      <c r="AH19" s="66"/>
    </row>
    <row r="20" spans="2:34" x14ac:dyDescent="0.2">
      <c r="B20" s="3" t="s">
        <v>39</v>
      </c>
      <c r="C20" s="31">
        <f>SUM(C10:C16)</f>
        <v>0</v>
      </c>
      <c r="D20" s="67" t="str">
        <f t="shared" si="0"/>
        <v xml:space="preserve"> </v>
      </c>
      <c r="E20" s="31">
        <f>SUM(E10:E16)</f>
        <v>252436</v>
      </c>
      <c r="F20" s="67">
        <f>+E20/$E$20</f>
        <v>1</v>
      </c>
      <c r="G20" s="67" t="str">
        <f>IF(C20=0,"",(E20-C20)/ABS(C20)+1)</f>
        <v/>
      </c>
      <c r="H20" s="31">
        <v>222927.18</v>
      </c>
      <c r="I20" s="67">
        <f>+H20/$H$20</f>
        <v>1</v>
      </c>
      <c r="J20" s="67">
        <f>IF(H20=0,"",(E20-H20)/ABS(H20))</f>
        <v>0.13236977204843306</v>
      </c>
      <c r="K20" s="31">
        <f>SUM(K10:K16)</f>
        <v>0</v>
      </c>
      <c r="L20" s="67" t="str">
        <f t="shared" si="5"/>
        <v xml:space="preserve"> </v>
      </c>
      <c r="M20" s="31">
        <f>SUM(M10:M19)</f>
        <v>459433</v>
      </c>
      <c r="N20" s="67">
        <f>+M20/$M$20</f>
        <v>1</v>
      </c>
      <c r="O20" s="67" t="str">
        <f>IF(K20=0,"",(M20-K20)/ABS(K20)+1)</f>
        <v/>
      </c>
      <c r="P20" s="31">
        <v>350955.29000000004</v>
      </c>
      <c r="Q20" s="67">
        <f>+P20/$P$20</f>
        <v>1</v>
      </c>
      <c r="R20" s="67">
        <f>IF(P20=0,"",(M20-P20)/ABS(P20))</f>
        <v>0.30909267673383684</v>
      </c>
      <c r="T20" s="3"/>
      <c r="U20" s="31"/>
      <c r="V20" s="31"/>
      <c r="W20" s="31"/>
      <c r="X20" s="31"/>
      <c r="Y20" s="31"/>
      <c r="Z20" s="62"/>
      <c r="AA20" s="67"/>
      <c r="AB20" s="31"/>
      <c r="AC20" s="67" t="str">
        <f>IF(AB20=0,"",(Y20-AB20)/ABS(AB20))</f>
        <v/>
      </c>
      <c r="AD20" s="66"/>
      <c r="AE20" s="66"/>
      <c r="AF20" s="66"/>
      <c r="AG20" s="66"/>
      <c r="AH20" s="66"/>
    </row>
    <row r="21" spans="2:34" x14ac:dyDescent="0.2">
      <c r="T21" s="3" t="s">
        <v>40</v>
      </c>
      <c r="U21" s="31">
        <f>+U10+U19</f>
        <v>236652</v>
      </c>
      <c r="V21" s="31">
        <f>+V10+V19</f>
        <v>575148.52</v>
      </c>
      <c r="W21" s="31">
        <v>82868.600000000006</v>
      </c>
      <c r="X21" s="31">
        <f>+X10+X19</f>
        <v>236652</v>
      </c>
      <c r="Y21" s="31">
        <f>+Y10+Y19</f>
        <v>585260</v>
      </c>
      <c r="Z21" s="62">
        <f>+Y21-X21</f>
        <v>348608</v>
      </c>
      <c r="AA21" s="67">
        <f>IF(X21=0,"",(Y21-X21)/ABS(X21)+1)</f>
        <v>2.4730828389364974</v>
      </c>
      <c r="AB21" s="31">
        <v>82868.600000000006</v>
      </c>
      <c r="AC21" s="67">
        <f>IF(AB21=0,"",(Y21-AB21)/ABS(AB21))</f>
        <v>6.0625061844896617</v>
      </c>
      <c r="AD21" s="66"/>
      <c r="AE21" s="66"/>
      <c r="AG21" s="66"/>
      <c r="AH21" s="66"/>
    </row>
    <row r="22" spans="2:34" x14ac:dyDescent="0.2">
      <c r="B22" s="3" t="s">
        <v>41</v>
      </c>
      <c r="C22" s="31"/>
      <c r="D22" s="67" t="str">
        <f>IF($C$20=0," ",C22/$C$20)</f>
        <v xml:space="preserve"> </v>
      </c>
      <c r="E22" s="31">
        <v>0</v>
      </c>
      <c r="F22" s="67">
        <f>+E22/$E$20</f>
        <v>0</v>
      </c>
      <c r="G22" s="67" t="str">
        <f>IF(C22=0,"",(E22-C22)/ABS(C22)+1)</f>
        <v/>
      </c>
      <c r="H22" s="31">
        <v>0</v>
      </c>
      <c r="I22" s="67">
        <f>+H22/$H$20</f>
        <v>0</v>
      </c>
      <c r="J22" s="67" t="str">
        <f>IF(H22=0,"",(E22-H22)/ABS(H22))</f>
        <v/>
      </c>
      <c r="K22" s="31">
        <f>+S18+C22</f>
        <v>0</v>
      </c>
      <c r="L22" s="67" t="str">
        <f>IF($K$20=0," ",K22/$K$20)</f>
        <v xml:space="preserve"> </v>
      </c>
      <c r="M22" s="31">
        <v>0</v>
      </c>
      <c r="N22" s="67">
        <f>+M22/$M$20</f>
        <v>0</v>
      </c>
      <c r="O22" s="67" t="str">
        <f>IF(K22=0,"",(M22-K22)/ABS(K22)+1)</f>
        <v/>
      </c>
      <c r="P22" s="31">
        <v>0</v>
      </c>
      <c r="Q22" s="67">
        <f>+P22/$P$20</f>
        <v>0</v>
      </c>
      <c r="R22" s="67" t="str">
        <f>IF(P22=0,"",(M22-P22)/ABS(P22))</f>
        <v/>
      </c>
      <c r="AF22" s="66"/>
      <c r="AG22" s="66"/>
      <c r="AH22" s="66"/>
    </row>
    <row r="23" spans="2:34" x14ac:dyDescent="0.2">
      <c r="T23" s="3" t="s">
        <v>42</v>
      </c>
      <c r="U23" s="31"/>
      <c r="V23" s="31"/>
      <c r="W23" s="31"/>
      <c r="X23" s="31"/>
      <c r="Y23" s="31"/>
      <c r="Z23" s="62">
        <f>+Y23-X23</f>
        <v>0</v>
      </c>
      <c r="AA23" s="67" t="str">
        <f>IF(X23=0,"",(Y23-X23)/ABS(X23)+1)</f>
        <v/>
      </c>
      <c r="AB23" s="31"/>
      <c r="AC23" s="67" t="str">
        <f>IF(AB23=0,"",(Y23-AB23)/ABS(AB23))</f>
        <v/>
      </c>
      <c r="AD23" s="66"/>
      <c r="AE23" s="66"/>
      <c r="AG23" s="54"/>
    </row>
    <row r="24" spans="2:34" x14ac:dyDescent="0.2">
      <c r="B24" s="3" t="s">
        <v>43</v>
      </c>
      <c r="C24" s="31">
        <f>+C20-C22</f>
        <v>0</v>
      </c>
      <c r="D24" s="67" t="str">
        <f>IF($C$20=0," ",C24/$C$20)</f>
        <v xml:space="preserve"> </v>
      </c>
      <c r="E24" s="31">
        <f>+E20-E22</f>
        <v>252436</v>
      </c>
      <c r="F24" s="67">
        <f>+E24/$E$20</f>
        <v>1</v>
      </c>
      <c r="G24" s="67" t="str">
        <f>IF(C24=0,"",(E24-C24)/ABS(C24)+1)</f>
        <v/>
      </c>
      <c r="H24" s="31">
        <v>222927.18</v>
      </c>
      <c r="I24" s="67">
        <f>+H24/$H$20</f>
        <v>1</v>
      </c>
      <c r="J24" s="67">
        <f>IF(H24=0,"",(E24-H24)/ABS(H24))</f>
        <v>0.13236977204843306</v>
      </c>
      <c r="K24" s="31">
        <f>+K20-K22</f>
        <v>0</v>
      </c>
      <c r="L24" s="67" t="str">
        <f>IF($K$20=0," ",K24/$K$20)</f>
        <v xml:space="preserve"> </v>
      </c>
      <c r="M24" s="31">
        <f>+M20-M22</f>
        <v>459433</v>
      </c>
      <c r="N24" s="67">
        <f>+M24/$M$20</f>
        <v>1</v>
      </c>
      <c r="O24" s="67" t="str">
        <f>IF(K24=0,"",(M24-K24)/ABS(K24)+1)</f>
        <v/>
      </c>
      <c r="P24" s="31">
        <v>350955.29000000004</v>
      </c>
      <c r="Q24" s="67">
        <f>+P24/$P$20</f>
        <v>1</v>
      </c>
      <c r="R24" s="67">
        <f>IF(P24=0,"",(M24-P24)/ABS(P24))</f>
        <v>0.30909267673383684</v>
      </c>
    </row>
    <row r="25" spans="2:34" x14ac:dyDescent="0.2">
      <c r="T25" s="3" t="s">
        <v>44</v>
      </c>
      <c r="U25" s="31"/>
      <c r="V25" s="31">
        <v>263833.12</v>
      </c>
      <c r="W25" s="31">
        <v>12837.94</v>
      </c>
      <c r="X25" s="31">
        <f>+AD22+U25</f>
        <v>0</v>
      </c>
      <c r="Y25" s="31">
        <v>273945</v>
      </c>
      <c r="Z25" s="62">
        <f>+Y25-X25</f>
        <v>273945</v>
      </c>
      <c r="AA25" s="67" t="str">
        <f>IF(X25=0,"",(Y25-X25)/ABS(X25)+1)</f>
        <v/>
      </c>
      <c r="AB25" s="31">
        <v>12837.94</v>
      </c>
      <c r="AC25" s="67">
        <f>IF(AB25=0,"",(Y25-AB25)/ABS(AB25))</f>
        <v>20.338703873051283</v>
      </c>
      <c r="AD25" s="66"/>
      <c r="AE25" s="66"/>
      <c r="AF25" s="66"/>
    </row>
    <row r="26" spans="2:34" x14ac:dyDescent="0.2">
      <c r="B26" s="3" t="s">
        <v>45</v>
      </c>
      <c r="C26" s="31"/>
      <c r="D26" s="67" t="str">
        <f>IF($C$20=0," ",C26/$C$20)</f>
        <v xml:space="preserve"> </v>
      </c>
      <c r="E26" s="31">
        <v>3830</v>
      </c>
      <c r="F26" s="67">
        <f>+E26/$E$20</f>
        <v>1.5172162449096008E-2</v>
      </c>
      <c r="G26" s="67" t="str">
        <f>IF(C26=0,"",(E26-C26)/ABS(C26)+1)</f>
        <v/>
      </c>
      <c r="H26" s="31">
        <v>2555.81</v>
      </c>
      <c r="I26" s="67">
        <f>+H26/$H$20</f>
        <v>1.1464775179051742E-2</v>
      </c>
      <c r="J26" s="67">
        <f>IF(H26=0,"",(E26-H26)/ABS(H26))</f>
        <v>0.49854644907094037</v>
      </c>
      <c r="K26" s="31"/>
      <c r="L26" s="67" t="str">
        <f>IF($K$20=0," ",K26/$K$20)</f>
        <v xml:space="preserve"> </v>
      </c>
      <c r="M26" s="31">
        <v>7489</v>
      </c>
      <c r="N26" s="67">
        <f>+M26/$M$20</f>
        <v>1.6300526953875755E-2</v>
      </c>
      <c r="O26" s="67" t="str">
        <f>IF(K26=0,"",(M26-K26)/ABS(K26)+1)</f>
        <v/>
      </c>
      <c r="P26" s="31">
        <v>4710.28</v>
      </c>
      <c r="Q26" s="67">
        <f>+P26/$P$20</f>
        <v>1.342131073163194E-2</v>
      </c>
      <c r="R26" s="67">
        <f>IF(P26=0,"",(M26-P26)/ABS(P26))</f>
        <v>0.58992671348624715</v>
      </c>
      <c r="AF26" s="66"/>
    </row>
    <row r="27" spans="2:34" x14ac:dyDescent="0.2">
      <c r="B27" s="3" t="s">
        <v>46</v>
      </c>
      <c r="C27" s="31"/>
      <c r="D27" s="67" t="str">
        <f>IF($C$20=0," ",C27/$C$20)</f>
        <v xml:space="preserve"> </v>
      </c>
      <c r="E27" s="31">
        <v>23134</v>
      </c>
      <c r="F27" s="67">
        <f>+E27/$E$20</f>
        <v>9.1643030312633697E-2</v>
      </c>
      <c r="G27" s="67" t="str">
        <f>IF(C27=0,"",(E27-C27)/ABS(C27)+1)</f>
        <v/>
      </c>
      <c r="H27" s="31">
        <v>20367.829999999998</v>
      </c>
      <c r="I27" s="67">
        <f>+H27/$H$20</f>
        <v>9.1365395641751709E-2</v>
      </c>
      <c r="J27" s="67">
        <f>IF(H27=0,"",(E27-H27)/ABS(H27))</f>
        <v>0.13581073683352632</v>
      </c>
      <c r="K27" s="31"/>
      <c r="L27" s="67" t="str">
        <f>IF($K$20=0," ",K27/$K$20)</f>
        <v xml:space="preserve"> </v>
      </c>
      <c r="M27" s="31">
        <v>45638</v>
      </c>
      <c r="N27" s="67">
        <f>+M27/$M$20</f>
        <v>9.9335485261180634E-2</v>
      </c>
      <c r="O27" s="67" t="str">
        <f>IF(K27=0,"",(M27-K27)/ABS(K27)+1)</f>
        <v/>
      </c>
      <c r="P27" s="31">
        <v>29739.11</v>
      </c>
      <c r="Q27" s="67">
        <f>+P27/$P$20</f>
        <v>8.4737602900927911E-2</v>
      </c>
      <c r="R27" s="67">
        <f>IF(P27=0,"",(M27-P27)/ABS(P27))</f>
        <v>0.53461216559607871</v>
      </c>
      <c r="T27" s="3" t="s">
        <v>47</v>
      </c>
      <c r="U27" s="31"/>
      <c r="V27" s="31"/>
      <c r="W27" s="31"/>
      <c r="X27" s="31">
        <f>+AD21+U27</f>
        <v>0</v>
      </c>
      <c r="Y27" s="31"/>
      <c r="Z27" s="62">
        <f>+Y27-X27</f>
        <v>0</v>
      </c>
      <c r="AA27" s="67" t="str">
        <f>IF(X27=0,"",(Y27-X27)/ABS(X27)+1)</f>
        <v/>
      </c>
      <c r="AB27" s="31"/>
      <c r="AC27" s="67" t="str">
        <f>IF(AB27=0,"",(Y27-AB27)/ABS(AB27))</f>
        <v/>
      </c>
      <c r="AD27" s="54"/>
      <c r="AE27" s="54"/>
    </row>
    <row r="28" spans="2:34" x14ac:dyDescent="0.2">
      <c r="B28" s="3" t="s">
        <v>48</v>
      </c>
      <c r="C28" s="31">
        <f>SUM(C26:C27)</f>
        <v>0</v>
      </c>
      <c r="D28" s="67" t="str">
        <f>IF($C$20=0," ",C28/$C$20)</f>
        <v xml:space="preserve"> </v>
      </c>
      <c r="E28" s="31">
        <f>SUM(E26:E27)</f>
        <v>26964</v>
      </c>
      <c r="F28" s="67">
        <f>+E28/$E$20</f>
        <v>0.10681519276172971</v>
      </c>
      <c r="G28" s="67" t="str">
        <f>IF(C28=0,"",(E28-C28)/ABS(C28)+1)</f>
        <v/>
      </c>
      <c r="H28" s="31">
        <v>22923.64</v>
      </c>
      <c r="I28" s="67">
        <f>+H28/$H$20</f>
        <v>0.10283017082080345</v>
      </c>
      <c r="J28" s="67">
        <f>IF(H28=0,"",(E28-H28)/ABS(H28))</f>
        <v>0.17625298600047815</v>
      </c>
      <c r="K28" s="31">
        <f>+K26+K27</f>
        <v>0</v>
      </c>
      <c r="L28" s="67" t="str">
        <f>IF($K$20=0," ",K28/$K$20)</f>
        <v xml:space="preserve"> </v>
      </c>
      <c r="M28" s="31">
        <f>SUM(M26:M27)</f>
        <v>53127</v>
      </c>
      <c r="N28" s="67">
        <f>+M28/$M$20</f>
        <v>0.11563601221505639</v>
      </c>
      <c r="O28" s="67" t="str">
        <f>IF(K28=0,"",(M28-K28)/ABS(K28)+1)</f>
        <v/>
      </c>
      <c r="P28" s="31">
        <v>34449.39</v>
      </c>
      <c r="Q28" s="67">
        <f>+P28/$P$20</f>
        <v>9.8158913632559852E-2</v>
      </c>
      <c r="R28" s="67">
        <f>IF(P28=0,"",(M28-P28)/ABS(P28))</f>
        <v>0.54217534766217923</v>
      </c>
      <c r="T28" s="3" t="s">
        <v>49</v>
      </c>
      <c r="U28" s="31"/>
      <c r="V28" s="31"/>
      <c r="W28" s="31"/>
      <c r="X28" s="31"/>
      <c r="Y28" s="31"/>
      <c r="Z28" s="62">
        <f>+Y28-X28</f>
        <v>0</v>
      </c>
      <c r="AA28" s="67" t="str">
        <f>IF(X28=0,"",(Y28-X28)/ABS(X28)+1)</f>
        <v/>
      </c>
      <c r="AB28" s="31"/>
      <c r="AC28" s="67" t="str">
        <f>IF(AB28=0,"",(Y28-AB28)/ABS(AB28))</f>
        <v/>
      </c>
      <c r="AD28" s="54"/>
      <c r="AF28" s="66"/>
    </row>
    <row r="29" spans="2:34" x14ac:dyDescent="0.2">
      <c r="AD29" s="54"/>
    </row>
    <row r="30" spans="2:34" x14ac:dyDescent="0.2">
      <c r="B30" s="3" t="s">
        <v>50</v>
      </c>
      <c r="C30" s="31"/>
      <c r="D30" s="67" t="str">
        <f>IF($C$20=0," ",C30/$C$20)</f>
        <v xml:space="preserve"> </v>
      </c>
      <c r="E30" s="31">
        <v>103818</v>
      </c>
      <c r="F30" s="67">
        <f>+E30/$E$20</f>
        <v>0.41126463737343327</v>
      </c>
      <c r="G30" s="67" t="str">
        <f>IF(C30=0,"",(E30-C30)/ABS(C30)+1)</f>
        <v/>
      </c>
      <c r="H30" s="31">
        <v>59628.659999999996</v>
      </c>
      <c r="I30" s="67">
        <f>+H30/$H$20</f>
        <v>0.26748043912814939</v>
      </c>
      <c r="J30" s="67">
        <f>IF(H30=0,"",(E30-H30)/ABS(H30))</f>
        <v>0.74107551637081914</v>
      </c>
      <c r="K30" s="31"/>
      <c r="L30" s="67" t="str">
        <f>IF($K$20=0," ",K30/$K$20)</f>
        <v xml:space="preserve"> </v>
      </c>
      <c r="M30" s="31">
        <v>247365</v>
      </c>
      <c r="N30" s="67">
        <f>+M30/$M$20</f>
        <v>0.53841365335097824</v>
      </c>
      <c r="O30" s="67" t="str">
        <f>IF(K30=0,"",(M30-K30)/ABS(K30)+1)</f>
        <v/>
      </c>
      <c r="P30" s="31">
        <v>147615.52000000002</v>
      </c>
      <c r="Q30" s="67">
        <f>+P30/$P$20</f>
        <v>0.42061061396168159</v>
      </c>
      <c r="R30" s="67">
        <f>IF(P30=0,"",(M30-P30)/ABS(P30))</f>
        <v>0.67573843183968707</v>
      </c>
      <c r="T30" s="3" t="s">
        <v>51</v>
      </c>
      <c r="U30" s="31">
        <f>+U21-U25-U23+U27</f>
        <v>236652</v>
      </c>
      <c r="V30" s="31">
        <f>+V21-V25-V23+V27</f>
        <v>311315.40000000002</v>
      </c>
      <c r="W30" s="31">
        <v>70030.66</v>
      </c>
      <c r="X30" s="31">
        <f>+X21-X25-X23-X27</f>
        <v>236652</v>
      </c>
      <c r="Y30" s="31">
        <f>+Y21-Y25-Y23+Y27</f>
        <v>311315</v>
      </c>
      <c r="Z30" s="62">
        <f>+Y30-X30</f>
        <v>74663</v>
      </c>
      <c r="AA30" s="67">
        <f>IF(U30=0,"",(V30-U30)/ABS(U30)+1)</f>
        <v>1.3154987069621216</v>
      </c>
      <c r="AB30" s="31">
        <v>70030.66</v>
      </c>
      <c r="AC30" s="67">
        <f>IF(AB30=0,"",(Y30-AB30)/ABS(AB30))</f>
        <v>3.4454100532538177</v>
      </c>
      <c r="AD30" s="54"/>
      <c r="AF30" s="66"/>
    </row>
    <row r="31" spans="2:34" x14ac:dyDescent="0.2">
      <c r="B31" s="3" t="s">
        <v>52</v>
      </c>
      <c r="C31" s="31"/>
      <c r="D31" s="67" t="str">
        <f>IF($C$20=0," ",C31/$C$20)</f>
        <v xml:space="preserve"> </v>
      </c>
      <c r="E31" s="31">
        <v>35753</v>
      </c>
      <c r="F31" s="67">
        <f>+E31/$E$20</f>
        <v>0.14163193839230537</v>
      </c>
      <c r="G31" s="67" t="str">
        <f>IF(C31=0,"",(E31-C31)/ABS(C31)+1)</f>
        <v/>
      </c>
      <c r="H31" s="31">
        <v>21689.3</v>
      </c>
      <c r="I31" s="67">
        <f>+H31/$H$20</f>
        <v>9.7293205790339246E-2</v>
      </c>
      <c r="J31" s="67">
        <f>IF(H31=0,"",(E31-H31)/ABS(H31))</f>
        <v>0.64841650030199227</v>
      </c>
      <c r="K31" s="31"/>
      <c r="L31" s="67" t="str">
        <f>IF($K$20=0," ",K31/$K$20)</f>
        <v xml:space="preserve"> </v>
      </c>
      <c r="M31" s="31">
        <v>70015</v>
      </c>
      <c r="N31" s="67">
        <f>+M31/$M$20</f>
        <v>0.15239436435780626</v>
      </c>
      <c r="O31" s="67" t="str">
        <f>IF(K31=0,"",(M31-K31)/ABS(K31)+1)</f>
        <v/>
      </c>
      <c r="P31" s="31">
        <v>36834.800000000003</v>
      </c>
      <c r="Q31" s="67">
        <f>+P31/$P$20</f>
        <v>0.10495581930108533</v>
      </c>
      <c r="R31" s="67">
        <f>IF(P31=0,"",(M31-P31)/ABS(P31))</f>
        <v>0.90078404117845068</v>
      </c>
      <c r="T31" s="60"/>
      <c r="U31" s="60"/>
      <c r="V31" s="60" t="s">
        <v>61</v>
      </c>
      <c r="W31" s="60"/>
      <c r="X31" s="31"/>
      <c r="Y31" s="31" t="s">
        <v>61</v>
      </c>
      <c r="Z31" s="60"/>
      <c r="AA31" s="60"/>
      <c r="AB31" s="31"/>
      <c r="AC31" s="60"/>
      <c r="AD31" s="54"/>
    </row>
    <row r="32" spans="2:34" x14ac:dyDescent="0.2">
      <c r="B32" s="3" t="s">
        <v>53</v>
      </c>
      <c r="C32" s="31">
        <f>SUM(C30:C31)</f>
        <v>0</v>
      </c>
      <c r="D32" s="67" t="str">
        <f>IF($C$20=0," ",C32/$C$20)</f>
        <v xml:space="preserve"> </v>
      </c>
      <c r="E32" s="31">
        <f>SUM(E30:E31)</f>
        <v>139571</v>
      </c>
      <c r="F32" s="67">
        <f>+E32/$E$20</f>
        <v>0.5528965757657387</v>
      </c>
      <c r="G32" s="67" t="str">
        <f>IF(C32=0,"",(E32-C32)/ABS(C32)+1)</f>
        <v/>
      </c>
      <c r="H32" s="31">
        <v>81317.959999999992</v>
      </c>
      <c r="I32" s="67">
        <f>+H32/$H$20</f>
        <v>0.36477364491848863</v>
      </c>
      <c r="J32" s="67">
        <f>IF(H32=0,"",(E32-H32)/ABS(H32))</f>
        <v>0.71636130566974399</v>
      </c>
      <c r="K32" s="31">
        <f>+K30+K31</f>
        <v>0</v>
      </c>
      <c r="L32" s="67" t="str">
        <f>IF($K$20=0," ",K32/$K$20)</f>
        <v xml:space="preserve"> </v>
      </c>
      <c r="M32" s="31">
        <f>+M30+M31</f>
        <v>317380</v>
      </c>
      <c r="N32" s="67">
        <f>+M32/$M$20</f>
        <v>0.69080801770878453</v>
      </c>
      <c r="O32" s="67" t="str">
        <f>IF(K32=0,"",(M32-K32)/ABS(K32)+1)</f>
        <v/>
      </c>
      <c r="P32" s="31">
        <v>184450.32</v>
      </c>
      <c r="Q32" s="67">
        <f>+P32/$P$20</f>
        <v>0.52556643326276686</v>
      </c>
      <c r="R32" s="67">
        <f>IF(P32=0,"",(M32-P32)/ABS(P32))</f>
        <v>0.72068012676800985</v>
      </c>
      <c r="AD32" s="54"/>
    </row>
    <row r="33" spans="2:30" x14ac:dyDescent="0.2">
      <c r="Y33" s="54"/>
      <c r="AD33" s="54"/>
    </row>
    <row r="34" spans="2:30" x14ac:dyDescent="0.2">
      <c r="B34" s="3" t="s">
        <v>54</v>
      </c>
      <c r="C34" s="31">
        <f>C28+C32</f>
        <v>0</v>
      </c>
      <c r="D34" s="67" t="str">
        <f>IF($C$20=0," ",C34/$C$20)</f>
        <v xml:space="preserve"> </v>
      </c>
      <c r="E34" s="31">
        <f>E28+E32</f>
        <v>166535</v>
      </c>
      <c r="F34" s="67">
        <f>+E34/$E$20</f>
        <v>0.65971176852746838</v>
      </c>
      <c r="G34" s="67" t="str">
        <f>IF(C34=0,"",(E34-C34)/ABS(C34)+1)</f>
        <v/>
      </c>
      <c r="H34" s="31">
        <v>104241.59999999999</v>
      </c>
      <c r="I34" s="67">
        <f>+H34/$H$20</f>
        <v>0.46760381573929205</v>
      </c>
      <c r="J34" s="67">
        <f>IF(H34=0,"",(E34-H34)/ABS(H34))</f>
        <v>0.59758675998833488</v>
      </c>
      <c r="K34" s="31">
        <f>K28+K32</f>
        <v>0</v>
      </c>
      <c r="L34" s="67" t="str">
        <f>IF($K$20=0," ",K34/$K$20)</f>
        <v xml:space="preserve"> </v>
      </c>
      <c r="M34" s="31">
        <f>M28+M32</f>
        <v>370507</v>
      </c>
      <c r="N34" s="67">
        <f>+M34/$M$20</f>
        <v>0.8064440299238409</v>
      </c>
      <c r="O34" s="67" t="str">
        <f>IF(K34=0,"",(M34-K34)/ABS(K34)+1)</f>
        <v/>
      </c>
      <c r="P34" s="31">
        <v>218899.71000000002</v>
      </c>
      <c r="Q34" s="67">
        <f>+P34/$P$20</f>
        <v>0.62372534689532677</v>
      </c>
      <c r="R34" s="67">
        <f>IF(P34=0,"",(M34-P34)/ABS(P34))</f>
        <v>0.69258789790082387</v>
      </c>
      <c r="AD34" s="54"/>
    </row>
    <row r="35" spans="2:30" x14ac:dyDescent="0.2">
      <c r="T35" s="62"/>
      <c r="AD35" s="54"/>
    </row>
    <row r="36" spans="2:30" x14ac:dyDescent="0.2">
      <c r="B36" s="3" t="s">
        <v>55</v>
      </c>
      <c r="C36" s="31">
        <f>C24-C34</f>
        <v>0</v>
      </c>
      <c r="D36" s="67" t="str">
        <f>IF($C$20=0," ",C36/$C$20)</f>
        <v xml:space="preserve"> </v>
      </c>
      <c r="E36" s="31">
        <f>E24-E34</f>
        <v>85901</v>
      </c>
      <c r="F36" s="67">
        <f>+E36/$E$20</f>
        <v>0.34028823147253168</v>
      </c>
      <c r="G36" s="67" t="str">
        <f>IF(C36=0,"",(E36-C36)/ABS(C36)+1)</f>
        <v/>
      </c>
      <c r="H36" s="31">
        <v>118685.58</v>
      </c>
      <c r="I36" s="67">
        <f>+H36/$H$20</f>
        <v>0.53239618426070789</v>
      </c>
      <c r="J36" s="67">
        <f>IF(H36=0,"",(E36-H36)/ABS(H36))</f>
        <v>-0.27623052438215329</v>
      </c>
      <c r="K36" s="31">
        <f>K24-K34</f>
        <v>0</v>
      </c>
      <c r="L36" s="67" t="str">
        <f>IF($K$20=0," ",K36/$K$20)</f>
        <v xml:space="preserve"> </v>
      </c>
      <c r="M36" s="31">
        <f>M24-M34</f>
        <v>88926</v>
      </c>
      <c r="N36" s="67">
        <f>+M36/$M$20</f>
        <v>0.1935559700761591</v>
      </c>
      <c r="O36" s="67" t="str">
        <f>IF(K36=0,"",(M36-K36)/ABS(K36)+1)</f>
        <v/>
      </c>
      <c r="P36" s="31">
        <v>132055.58000000002</v>
      </c>
      <c r="Q36" s="67">
        <f>+P36/$P$20</f>
        <v>0.37627465310467323</v>
      </c>
      <c r="R36" s="67">
        <f>IF(P36=0,"",(M36-P36)/ABS(P36))</f>
        <v>-0.3266017233046874</v>
      </c>
      <c r="AD36" s="54"/>
    </row>
    <row r="37" spans="2:30" x14ac:dyDescent="0.2">
      <c r="AD37" s="54"/>
    </row>
    <row r="38" spans="2:30" x14ac:dyDescent="0.2">
      <c r="B38" s="3" t="s">
        <v>56</v>
      </c>
      <c r="C38" s="31"/>
      <c r="D38" s="67" t="str">
        <f>IF($C$20=0," ",C38/$C$20)</f>
        <v xml:space="preserve"> </v>
      </c>
      <c r="E38" s="31">
        <v>2400</v>
      </c>
      <c r="F38" s="67">
        <f>+E38/$E$20</f>
        <v>9.5073602814178641E-3</v>
      </c>
      <c r="G38" s="67" t="str">
        <f>IF(C38=0,"",(E38-C38)/ABS(C38)+1)</f>
        <v/>
      </c>
      <c r="H38" s="31">
        <v>28872.9</v>
      </c>
      <c r="I38" s="67">
        <f>+H38/$H$20</f>
        <v>0.12951718135043022</v>
      </c>
      <c r="J38" s="67">
        <f>IF(H38=0,"",(E38-H38)/ABS(H38))</f>
        <v>-0.91687707157923171</v>
      </c>
      <c r="K38" s="31">
        <f>+S28+C38</f>
        <v>0</v>
      </c>
      <c r="L38" s="67" t="str">
        <f>IF($K$20=0," ",K38/$K$20)</f>
        <v xml:space="preserve"> </v>
      </c>
      <c r="M38" s="31">
        <v>6782</v>
      </c>
      <c r="N38" s="67">
        <f>+M38/$M$20</f>
        <v>1.4761673628145996E-2</v>
      </c>
      <c r="O38" s="67" t="str">
        <f>IF(K38=0,"",(M38-K38)/ABS(K38)+1)</f>
        <v/>
      </c>
      <c r="P38" s="31">
        <v>99813.9</v>
      </c>
      <c r="Q38" s="67">
        <f>+P38/$P$20</f>
        <v>0.28440631283831047</v>
      </c>
      <c r="R38" s="67">
        <f>IF(P38=0,"",(M38-P38)/ABS(P38))</f>
        <v>-0.93205355165963855</v>
      </c>
      <c r="AD38" s="54"/>
    </row>
    <row r="39" spans="2:30" x14ac:dyDescent="0.2">
      <c r="B39" s="3" t="s">
        <v>57</v>
      </c>
      <c r="C39" s="31"/>
      <c r="D39" s="67" t="str">
        <f>IF($C$20=0," ",C39/$C$20)</f>
        <v xml:space="preserve"> </v>
      </c>
      <c r="E39" s="31">
        <v>6278</v>
      </c>
      <c r="F39" s="67">
        <f>+E39/$E$20</f>
        <v>2.486966993614223E-2</v>
      </c>
      <c r="G39" s="67" t="str">
        <f>IF(C39=0,"",(E39-C39)/ABS(C39)+1)</f>
        <v/>
      </c>
      <c r="H39" s="31">
        <v>3547</v>
      </c>
      <c r="I39" s="67">
        <f>+H39/$H$20</f>
        <v>1.5911025295345323E-2</v>
      </c>
      <c r="J39" s="67">
        <f>IF(H39=0,"",(E39-H39)/ABS(H39))</f>
        <v>0.76994643360586412</v>
      </c>
      <c r="K39" s="31"/>
      <c r="L39" s="67" t="str">
        <f>IF($K$20=0," ",K39/$K$20)</f>
        <v xml:space="preserve"> </v>
      </c>
      <c r="M39" s="31">
        <v>10494</v>
      </c>
      <c r="N39" s="67">
        <f>+M39/$M$20</f>
        <v>2.2841197737210866E-2</v>
      </c>
      <c r="O39" s="67" t="str">
        <f>IF(K39=0,"",(M39-K39)/ABS(K39)+1)</f>
        <v/>
      </c>
      <c r="P39" s="31">
        <v>5142</v>
      </c>
      <c r="Q39" s="67">
        <f>+P39/$P$20</f>
        <v>1.4651438934002104E-2</v>
      </c>
      <c r="R39" s="67">
        <f>IF(P39=0,"",(M39-P39)/ABS(P39))</f>
        <v>1.0408401400233371</v>
      </c>
    </row>
    <row r="41" spans="2:30" x14ac:dyDescent="0.2">
      <c r="B41" s="3" t="s">
        <v>58</v>
      </c>
      <c r="C41" s="31">
        <f>C36+C38-C39</f>
        <v>0</v>
      </c>
      <c r="D41" s="67" t="str">
        <f>IF($C$20=0," ",C41/$C$20)</f>
        <v xml:space="preserve"> </v>
      </c>
      <c r="E41" s="31">
        <f>E36+E38-E39</f>
        <v>82023</v>
      </c>
      <c r="F41" s="67">
        <f>+E41/$E$20</f>
        <v>0.32492592181780727</v>
      </c>
      <c r="G41" s="67" t="str">
        <f>IF(C41=0,"",(E41-C41)/ABS(C41)+1)</f>
        <v/>
      </c>
      <c r="H41" s="31">
        <v>144011.48000000001</v>
      </c>
      <c r="I41" s="67">
        <f>+H41/$H$20</f>
        <v>0.64600234031579284</v>
      </c>
      <c r="J41" s="67">
        <f>IF(H41=0,"",(E41-H41)/ABS(H41))</f>
        <v>-0.43044123982338078</v>
      </c>
      <c r="K41" s="31">
        <f>K36+K38-K39</f>
        <v>0</v>
      </c>
      <c r="L41" s="67" t="str">
        <f>IF($K$20=0," ",K41/$K$20)</f>
        <v xml:space="preserve"> </v>
      </c>
      <c r="M41" s="31">
        <f>M36+M38-M39</f>
        <v>85214</v>
      </c>
      <c r="N41" s="67">
        <f>+M41/$M$20</f>
        <v>0.18547644596709423</v>
      </c>
      <c r="O41" s="67" t="str">
        <f>IF(K41=0,"",(M41-K41)/ABS(K41)+1)</f>
        <v/>
      </c>
      <c r="P41" s="31">
        <v>226727.48</v>
      </c>
      <c r="Q41" s="67">
        <f>+P41/$P$20</f>
        <v>0.64602952700898164</v>
      </c>
      <c r="R41" s="67">
        <f>IF(P41=0,"",(M41-P41)/ABS(P41))</f>
        <v>-0.62415671889441904</v>
      </c>
    </row>
    <row r="42" spans="2:30" x14ac:dyDescent="0.2">
      <c r="B42" s="3" t="s">
        <v>44</v>
      </c>
      <c r="C42" s="31"/>
      <c r="D42" s="67" t="str">
        <f>IF($C$20=0," ",C42/$C$20)</f>
        <v xml:space="preserve"> </v>
      </c>
      <c r="E42" s="31">
        <v>0</v>
      </c>
      <c r="F42" s="67">
        <f>+E42/$E$20</f>
        <v>0</v>
      </c>
      <c r="G42" s="67" t="str">
        <f>IF(C42=0,"",(E42-C42)/ABS(C42)+1)</f>
        <v/>
      </c>
      <c r="H42" s="31"/>
      <c r="I42" s="67">
        <f>+H42/$H$20</f>
        <v>0</v>
      </c>
      <c r="J42" s="67" t="str">
        <f>IF(H42=0,"",(E42-H42)/ABS(H42))</f>
        <v/>
      </c>
      <c r="K42" s="31">
        <f>+S31+C42</f>
        <v>0</v>
      </c>
      <c r="L42" s="67" t="str">
        <f>IF($K$20=0," ",K42/$K$20)</f>
        <v xml:space="preserve"> </v>
      </c>
      <c r="M42" s="31">
        <v>0</v>
      </c>
      <c r="N42" s="67">
        <f>+M42/$M$20</f>
        <v>0</v>
      </c>
      <c r="O42" s="67" t="str">
        <f>IF(K42=0,"",(M42-K42)/ABS(K42)+1)</f>
        <v/>
      </c>
      <c r="P42" s="31"/>
      <c r="Q42" s="67">
        <f>+P42/$P$20</f>
        <v>0</v>
      </c>
      <c r="R42" s="67" t="str">
        <f>IF(P42=0,"",(M42-P42)/ABS(P42))</f>
        <v/>
      </c>
    </row>
    <row r="43" spans="2:30" x14ac:dyDescent="0.2">
      <c r="B43" s="19" t="s">
        <v>59</v>
      </c>
      <c r="C43" s="68">
        <f>C41-C42</f>
        <v>0</v>
      </c>
      <c r="D43" s="71" t="str">
        <f>IF($C$20=0," ",C43/$C$20)</f>
        <v xml:space="preserve"> </v>
      </c>
      <c r="E43" s="68">
        <f>+E41-E42</f>
        <v>82023</v>
      </c>
      <c r="F43" s="71">
        <f>+E43/$E$20</f>
        <v>0.32492592181780727</v>
      </c>
      <c r="G43" s="71" t="str">
        <f>IF(C43=0,"",(E43-C43)/ABS(C43)+1)</f>
        <v/>
      </c>
      <c r="H43" s="68">
        <v>144011.48000000001</v>
      </c>
      <c r="I43" s="71">
        <f>+H43/$H$20</f>
        <v>0.64600234031579284</v>
      </c>
      <c r="J43" s="71">
        <f>IF(H43=0,"",(E43-H43)/ABS(H43))</f>
        <v>-0.43044123982338078</v>
      </c>
      <c r="K43" s="68">
        <f>+K41-K42</f>
        <v>0</v>
      </c>
      <c r="L43" s="71" t="str">
        <f>IF($K$20=0," ",K43/$K$20)</f>
        <v xml:space="preserve"> </v>
      </c>
      <c r="M43" s="68">
        <f>+M41-M42</f>
        <v>85214</v>
      </c>
      <c r="N43" s="71">
        <f>+M43/$M$20</f>
        <v>0.18547644596709423</v>
      </c>
      <c r="O43" s="71" t="str">
        <f>IF(K43=0,"",(M43-K43)/ABS(K43)+1)</f>
        <v/>
      </c>
      <c r="P43" s="68">
        <v>226727.48</v>
      </c>
      <c r="Q43" s="71">
        <f>+P43/$P$20</f>
        <v>0.64602952700898164</v>
      </c>
      <c r="R43" s="71">
        <f>IF(P43=0,"",(M43-P43)/ABS(P43))</f>
        <v>-0.62415671889441904</v>
      </c>
    </row>
    <row r="45" spans="2:30" x14ac:dyDescent="0.2">
      <c r="B45" s="3" t="s">
        <v>60</v>
      </c>
      <c r="C45" s="31">
        <f>+C43</f>
        <v>0</v>
      </c>
      <c r="D45" s="67" t="str">
        <f>IF($C$20=0," ",C45/$C$20)</f>
        <v xml:space="preserve"> </v>
      </c>
      <c r="E45" s="31">
        <f>+E43</f>
        <v>82023</v>
      </c>
      <c r="F45" s="67">
        <f>+E45/$E$20</f>
        <v>0.32492592181780727</v>
      </c>
      <c r="G45" s="67" t="str">
        <f>IF(C45=0,"",(E45-C45)/ABS(C45)+1)</f>
        <v/>
      </c>
      <c r="H45" s="31">
        <v>144011.48000000001</v>
      </c>
      <c r="I45" s="67">
        <f>+H45/$H$20</f>
        <v>0.64600234031579284</v>
      </c>
      <c r="J45" s="67">
        <f>IF(H45=0,"",(E45-H45)/ABS(H45))</f>
        <v>-0.43044123982338078</v>
      </c>
      <c r="K45" s="31">
        <f>+K43</f>
        <v>0</v>
      </c>
      <c r="L45" s="67" t="str">
        <f>IF($K$20=0," ",K45/$K$20)</f>
        <v xml:space="preserve"> </v>
      </c>
      <c r="M45" s="31">
        <v>86130</v>
      </c>
      <c r="N45" s="67">
        <f>+M45/$M$20</f>
        <v>0.1874702078431458</v>
      </c>
      <c r="O45" s="67" t="str">
        <f>IF(K45=0,"",(M45-K45)/ABS(K45)+1)</f>
        <v/>
      </c>
      <c r="P45" s="31">
        <v>226727.48</v>
      </c>
      <c r="Q45" s="67">
        <f>+P45/$P$20</f>
        <v>0.64602952700898164</v>
      </c>
      <c r="R45" s="67">
        <f>IF(P45=0,"",(M45-P45)/ABS(P45))</f>
        <v>-0.62011662635689335</v>
      </c>
    </row>
    <row r="46" spans="2:30" x14ac:dyDescent="0.2">
      <c r="B46" s="3" t="s">
        <v>35</v>
      </c>
      <c r="C46" s="31"/>
      <c r="D46" s="67"/>
      <c r="E46" s="31">
        <v>60705</v>
      </c>
      <c r="F46" s="67">
        <f>+E46/$E$20</f>
        <v>0.2404767941181131</v>
      </c>
      <c r="G46" s="67"/>
      <c r="H46" s="31">
        <v>52281</v>
      </c>
      <c r="I46" s="67">
        <f>+H46/$H$20</f>
        <v>0.23452052818323904</v>
      </c>
      <c r="J46" s="67"/>
      <c r="K46" s="100"/>
      <c r="L46" s="67"/>
      <c r="M46" s="31">
        <v>161306</v>
      </c>
      <c r="N46" s="67">
        <f>+M46/$M$20</f>
        <v>0.35109798381918583</v>
      </c>
      <c r="O46" s="67" t="str">
        <f>IF(K46=0,"",(M46-K46)/ABS(K46)+1)</f>
        <v/>
      </c>
      <c r="P46" s="31">
        <v>52281</v>
      </c>
      <c r="Q46" s="67"/>
      <c r="R46" s="67">
        <f>IF(P46=0,"",(M46-P46)/ABS(P46))</f>
        <v>2.0853656203974675</v>
      </c>
    </row>
    <row r="47" spans="2:30" x14ac:dyDescent="0.2"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31"/>
      <c r="N47" s="60"/>
      <c r="O47" s="60"/>
      <c r="P47" s="60"/>
      <c r="Q47" s="60"/>
      <c r="R47" s="60"/>
    </row>
    <row r="48" spans="2:30" x14ac:dyDescent="0.2">
      <c r="E48" s="2" t="s">
        <v>61</v>
      </c>
      <c r="H48" s="66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569EC-8C02-4271-BD49-CE78C6B877E1}">
  <sheetPr>
    <tabColor theme="2" tint="-0.249977111117893"/>
  </sheetPr>
  <dimension ref="A1:AY82"/>
  <sheetViews>
    <sheetView showGridLines="0" zoomScaleNormal="100" workbookViewId="0">
      <selection activeCell="H25" sqref="H25"/>
    </sheetView>
  </sheetViews>
  <sheetFormatPr baseColWidth="10" defaultRowHeight="12.75" x14ac:dyDescent="0.2"/>
  <cols>
    <col min="1" max="1" width="2.85546875" style="2" customWidth="1"/>
    <col min="2" max="2" width="29.140625" style="2" customWidth="1"/>
    <col min="3" max="3" width="9.42578125" style="2" bestFit="1" customWidth="1"/>
    <col min="4" max="4" width="8.5703125" style="2" customWidth="1"/>
    <col min="5" max="5" width="9.28515625" style="2" bestFit="1" customWidth="1"/>
    <col min="6" max="6" width="8.5703125" style="2" customWidth="1"/>
    <col min="7" max="7" width="8.7109375" style="2" customWidth="1"/>
    <col min="8" max="8" width="13.28515625" style="2" bestFit="1" customWidth="1"/>
    <col min="9" max="9" width="10.28515625" style="2" customWidth="1"/>
    <col min="10" max="10" width="7.85546875" style="2" customWidth="1"/>
    <col min="11" max="11" width="12.7109375" style="2" bestFit="1" customWidth="1"/>
    <col min="12" max="12" width="9.85546875" style="2" customWidth="1"/>
    <col min="13" max="13" width="10.42578125" style="2" customWidth="1"/>
    <col min="14" max="14" width="6.7109375" style="2" customWidth="1"/>
    <col min="15" max="15" width="12.5703125" style="2" customWidth="1"/>
    <col min="16" max="16" width="13.28515625" style="2" bestFit="1" customWidth="1"/>
    <col min="17" max="17" width="9.28515625" style="2" customWidth="1"/>
    <col min="18" max="18" width="11.42578125" style="2" customWidth="1"/>
    <col min="19" max="19" width="9.7109375" style="2" customWidth="1"/>
    <col min="20" max="20" width="33.85546875" style="2" customWidth="1"/>
    <col min="21" max="22" width="9.7109375" style="2" customWidth="1"/>
    <col min="23" max="23" width="12.7109375" style="2" bestFit="1" customWidth="1"/>
    <col min="24" max="27" width="11.42578125" style="2"/>
    <col min="28" max="28" width="13.7109375" style="2" bestFit="1" customWidth="1"/>
    <col min="29" max="29" width="11.42578125" style="2"/>
    <col min="30" max="30" width="10.42578125" style="2" customWidth="1"/>
    <col min="31" max="31" width="10" style="2" customWidth="1"/>
    <col min="32" max="32" width="17.42578125" style="2" bestFit="1" customWidth="1"/>
    <col min="33" max="33" width="11.42578125" style="2"/>
    <col min="34" max="34" width="12.85546875" style="2" bestFit="1" customWidth="1"/>
    <col min="35" max="35" width="18.85546875" style="2" customWidth="1"/>
    <col min="36" max="16384" width="11.42578125" style="2"/>
  </cols>
  <sheetData>
    <row r="1" spans="1:35" s="50" customFormat="1" ht="18.75" customHeight="1" x14ac:dyDescent="0.2">
      <c r="B1" s="49"/>
    </row>
    <row r="2" spans="1:35" ht="18.75" customHeight="1" x14ac:dyDescent="0.2">
      <c r="A2" s="50"/>
      <c r="Y2" s="53"/>
      <c r="Z2" s="53"/>
      <c r="AA2" s="53"/>
      <c r="AB2" s="53"/>
    </row>
    <row r="3" spans="1:35" ht="18" x14ac:dyDescent="0.25">
      <c r="B3" s="15" t="s">
        <v>108</v>
      </c>
      <c r="S3" s="53"/>
      <c r="T3" s="17" t="s">
        <v>108</v>
      </c>
      <c r="AF3" s="2" t="str">
        <f>+B6</f>
        <v>FEBRERO de 2024</v>
      </c>
      <c r="AG3" s="2" t="s">
        <v>111</v>
      </c>
      <c r="AH3" s="101">
        <f>_xlfn.XLOOKUP(Paramet!E3,'VENEZUELA USD'!AL69:AL80,'VENEZUELA USD'!AM69:AM80,0,0)</f>
        <v>38.92</v>
      </c>
      <c r="AI3" s="2" t="s">
        <v>112</v>
      </c>
    </row>
    <row r="4" spans="1:35" x14ac:dyDescent="0.2">
      <c r="B4" s="2" t="s">
        <v>86</v>
      </c>
      <c r="S4" s="53"/>
      <c r="T4" s="3" t="s">
        <v>21</v>
      </c>
      <c r="AG4" s="2" t="s">
        <v>113</v>
      </c>
      <c r="AH4" s="101">
        <f>+AM52</f>
        <v>23.11</v>
      </c>
    </row>
    <row r="5" spans="1:35" ht="13.5" thickBot="1" x14ac:dyDescent="0.25">
      <c r="B5" s="3" t="s">
        <v>114</v>
      </c>
      <c r="S5" s="53"/>
      <c r="T5" s="3" t="s">
        <v>115</v>
      </c>
      <c r="X5" s="20" t="s">
        <v>23</v>
      </c>
      <c r="Y5" s="20"/>
      <c r="Z5" s="20"/>
      <c r="AA5" s="20"/>
      <c r="AB5" s="20"/>
      <c r="AC5" s="20"/>
    </row>
    <row r="6" spans="1:35" ht="13.5" thickBot="1" x14ac:dyDescent="0.25">
      <c r="B6" s="19" t="str">
        <f>+'VZLA BFS'!B6</f>
        <v>FEBRERO de 2024</v>
      </c>
      <c r="C6" s="90"/>
      <c r="K6" s="99" t="s">
        <v>23</v>
      </c>
      <c r="L6" s="99"/>
      <c r="M6" s="99"/>
      <c r="N6" s="99"/>
      <c r="O6" s="99"/>
      <c r="P6" s="99"/>
      <c r="Q6" s="99"/>
      <c r="R6" s="99"/>
      <c r="T6" s="19" t="str">
        <f>+B6</f>
        <v>FEBRERO de 2024</v>
      </c>
      <c r="Z6" s="2" t="s">
        <v>26</v>
      </c>
      <c r="AA6" s="2" t="s">
        <v>24</v>
      </c>
      <c r="AC6" s="2" t="s">
        <v>25</v>
      </c>
    </row>
    <row r="7" spans="1:35" ht="15.75" customHeight="1" x14ac:dyDescent="0.2">
      <c r="C7" s="2" t="str">
        <f>+'VZLA BFS'!C7</f>
        <v>Ppto 2024</v>
      </c>
      <c r="E7" s="2" t="str">
        <f>+'VZLA BFS'!E7</f>
        <v>Real 2024</v>
      </c>
      <c r="G7" s="2" t="str">
        <f>+'VZLA BFS'!G7</f>
        <v>Cump</v>
      </c>
      <c r="H7" s="2" t="str">
        <f>+'VZLA BFS'!H7</f>
        <v>Real 2023</v>
      </c>
      <c r="J7" s="50" t="s">
        <v>25</v>
      </c>
      <c r="K7" s="2" t="str">
        <f>+C7</f>
        <v>Ppto 2024</v>
      </c>
      <c r="M7" s="2" t="str">
        <f>+E7</f>
        <v>Real 2024</v>
      </c>
      <c r="O7" s="2" t="str">
        <f>+G7</f>
        <v>Cump</v>
      </c>
      <c r="P7" s="2" t="str">
        <f>+H7</f>
        <v>Real 2023</v>
      </c>
      <c r="Q7" s="50"/>
      <c r="R7" s="50" t="s">
        <v>25</v>
      </c>
      <c r="S7" s="50"/>
      <c r="U7" s="53" t="str">
        <f>+C7</f>
        <v>Ppto 2024</v>
      </c>
      <c r="V7" s="53" t="str">
        <f>+M7</f>
        <v>Real 2024</v>
      </c>
      <c r="W7" s="53" t="str">
        <f>+H7</f>
        <v>Real 2023</v>
      </c>
      <c r="X7" s="53" t="str">
        <f>+U7</f>
        <v>Ppto 2024</v>
      </c>
      <c r="Y7" s="53" t="str">
        <f>+V7</f>
        <v>Real 2024</v>
      </c>
      <c r="Z7" s="53" t="s">
        <v>26</v>
      </c>
      <c r="AA7" s="53" t="s">
        <v>24</v>
      </c>
      <c r="AB7" s="53" t="str">
        <f>+W7</f>
        <v>Real 2023</v>
      </c>
      <c r="AC7" s="53" t="s">
        <v>25</v>
      </c>
      <c r="AD7" s="53"/>
      <c r="AE7" s="53"/>
      <c r="AH7" s="2">
        <v>2819322440</v>
      </c>
      <c r="AI7" s="102">
        <f>1/AH4</f>
        <v>4.3271311120726956E-2</v>
      </c>
    </row>
    <row r="8" spans="1:35" ht="13.5" thickBot="1" x14ac:dyDescent="0.25">
      <c r="B8" s="28"/>
      <c r="C8" s="29" t="s">
        <v>28</v>
      </c>
      <c r="D8" s="29" t="s">
        <v>29</v>
      </c>
      <c r="E8" s="29" t="s">
        <v>28</v>
      </c>
      <c r="F8" s="29" t="s">
        <v>29</v>
      </c>
      <c r="G8" s="29" t="s">
        <v>30</v>
      </c>
      <c r="H8" s="29" t="s">
        <v>28</v>
      </c>
      <c r="I8" s="29" t="s">
        <v>29</v>
      </c>
      <c r="J8" s="29" t="s">
        <v>30</v>
      </c>
      <c r="K8" s="29" t="s">
        <v>28</v>
      </c>
      <c r="L8" s="29" t="s">
        <v>29</v>
      </c>
      <c r="M8" s="29" t="s">
        <v>28</v>
      </c>
      <c r="N8" s="29" t="s">
        <v>29</v>
      </c>
      <c r="O8" s="29" t="s">
        <v>30</v>
      </c>
      <c r="P8" s="29" t="s">
        <v>28</v>
      </c>
      <c r="Q8" s="29" t="s">
        <v>29</v>
      </c>
      <c r="R8" s="29" t="s">
        <v>30</v>
      </c>
      <c r="S8" s="53"/>
      <c r="T8" s="28"/>
      <c r="U8" s="29"/>
      <c r="V8" s="29"/>
      <c r="W8" s="29"/>
      <c r="X8" s="28"/>
      <c r="Y8" s="28"/>
      <c r="Z8" s="29"/>
      <c r="AA8" s="29" t="s">
        <v>30</v>
      </c>
      <c r="AB8" s="28"/>
      <c r="AC8" s="29" t="s">
        <v>30</v>
      </c>
      <c r="AD8" s="53"/>
      <c r="AE8" s="53"/>
      <c r="AI8" s="103">
        <f>+AI7*AH7</f>
        <v>121995778.45088705</v>
      </c>
    </row>
    <row r="9" spans="1:35" x14ac:dyDescent="0.2">
      <c r="S9" s="67"/>
      <c r="AD9" s="67"/>
      <c r="AE9" s="67"/>
      <c r="AH9" s="2">
        <f>+AH7/AH4</f>
        <v>121995778.45088707</v>
      </c>
    </row>
    <row r="10" spans="1:35" x14ac:dyDescent="0.2">
      <c r="B10" s="3" t="s">
        <v>65</v>
      </c>
      <c r="C10" s="31">
        <f>'VZLA BFS'!C10/'VENEZUELA USD'!$AH$3</f>
        <v>0</v>
      </c>
      <c r="D10" s="33" t="str">
        <f t="shared" ref="D10:D20" si="0">IF(DD19&lt;=0," ",C10/$C$20)</f>
        <v xml:space="preserve"> </v>
      </c>
      <c r="E10" s="31">
        <f>'VZLA BFS'!E10/'VENEZUELA USD'!$AH$3</f>
        <v>2456.1921891058582</v>
      </c>
      <c r="F10" s="33">
        <f t="shared" ref="F10:F20" si="1">+E10/$E$20</f>
        <v>0.37869004420922536</v>
      </c>
      <c r="G10" s="33" t="str">
        <f>IF(C10=0,"",(E10-C10)/ABS(C10)+1)</f>
        <v/>
      </c>
      <c r="H10" s="62">
        <f>+'VZLA BFS'!H10/'VENEZUELA USD'!$AH$4</f>
        <v>3451.6659454781479</v>
      </c>
      <c r="I10" s="33">
        <f t="shared" ref="I10:I20" si="2">IF($H$20&lt;=0," ",H10/$H$20)</f>
        <v>0.35782088124023281</v>
      </c>
      <c r="J10" s="33">
        <f>IF(E10=0,"",(E10-H10)/ABS(H10))</f>
        <v>-0.28840385254442402</v>
      </c>
      <c r="K10" s="31">
        <f>'VZLA BFS'!K10/'VENEZUELA USD'!$AH$3</f>
        <v>0</v>
      </c>
      <c r="L10" s="33" t="str">
        <f t="shared" ref="L10:L22" si="3">IF($K$20&lt;=0," ",K10/$K$20)</f>
        <v xml:space="preserve"> </v>
      </c>
      <c r="M10" s="31">
        <f>'VZLA BFS'!M10/'VENEZUELA USD'!$AH$3</f>
        <v>4996.8653648509762</v>
      </c>
      <c r="N10" s="33">
        <f t="shared" ref="N10:N15" si="4">+M10/$M$20</f>
        <v>0.42330002416021489</v>
      </c>
      <c r="O10" s="33" t="str">
        <f>IF(K10=0,"",(M10-K10)/ABS(K10)+1)</f>
        <v/>
      </c>
      <c r="P10" s="62">
        <f>+'VZLA BFS'!P10/'VENEZUELA USD'!$AH$4</f>
        <v>6259.5413241021206</v>
      </c>
      <c r="Q10" s="33">
        <f t="shared" ref="Q10:Q22" si="5">IF($P$20&lt;=0," ",P10/$P$20)</f>
        <v>0.41218355762638592</v>
      </c>
      <c r="R10" s="33">
        <f>IF(M10=0,"",(M10-P10)/ABS(P10))</f>
        <v>-0.201720205023531</v>
      </c>
      <c r="S10" s="67"/>
      <c r="T10" s="3" t="s">
        <v>31</v>
      </c>
      <c r="U10" s="31">
        <f>+'VZLA BFS'!U10/'VENEZUELA USD'!$AH$3</f>
        <v>6080.4727646454267</v>
      </c>
      <c r="V10" s="31">
        <f>+'VZLA BFS'!V10/'VENEZUELA USD'!$AH$3</f>
        <v>6166.3155190133602</v>
      </c>
      <c r="W10" s="31">
        <f>+'VZLA BFS'!W10/'VENEZUELA USD'!$AH$3</f>
        <v>951.33607399794448</v>
      </c>
      <c r="X10" s="31">
        <f>+'VZLA BFS'!X10/'VENEZUELA USD'!$AH$3</f>
        <v>6080.4727646454267</v>
      </c>
      <c r="Y10" s="31">
        <f>+'VZLA BFS'!Y10/'VENEZUELA USD'!$AH$3</f>
        <v>6525.6680369989717</v>
      </c>
      <c r="Z10" s="62">
        <f>+Y10-X10</f>
        <v>445.19527235354508</v>
      </c>
      <c r="AA10" s="67">
        <f>IF(X10=0,"",(Y10-X10)/ABS(X10)+1)</f>
        <v>1.0732172134611158</v>
      </c>
      <c r="AB10" s="31">
        <f>+'VZLA BFS'!AB10/'VENEZUELA USD'!$AH$3</f>
        <v>951.33607399794448</v>
      </c>
      <c r="AC10" s="67">
        <f>IF(W10=0,"",(Y10-AB10)/ABS(AB10))</f>
        <v>5.8594771241830061</v>
      </c>
      <c r="AD10" s="67"/>
      <c r="AE10" s="67"/>
    </row>
    <row r="11" spans="1:35" x14ac:dyDescent="0.2">
      <c r="B11" s="3" t="s">
        <v>67</v>
      </c>
      <c r="C11" s="31">
        <f>'VZLA BFS'!C11/'VENEZUELA USD'!$AH$3</f>
        <v>0</v>
      </c>
      <c r="D11" s="33" t="str">
        <f t="shared" si="0"/>
        <v xml:space="preserve"> </v>
      </c>
      <c r="E11" s="31">
        <f>'VZLA BFS'!E11/'VENEZUELA USD'!$AH$3</f>
        <v>562.53854059609455</v>
      </c>
      <c r="F11" s="33">
        <f t="shared" si="1"/>
        <v>8.6730894167234479E-2</v>
      </c>
      <c r="G11" s="33" t="str">
        <f t="shared" ref="G11:G22" si="6">IF(C11=0,"",(E11-C11)/ABS(C11)+1)</f>
        <v/>
      </c>
      <c r="H11" s="62">
        <f>+'VZLA BFS'!H11/'VENEZUELA USD'!$AH$4</f>
        <v>3815.2327996538297</v>
      </c>
      <c r="I11" s="33">
        <f t="shared" si="2"/>
        <v>0.39551045323410094</v>
      </c>
      <c r="J11" s="33">
        <f t="shared" ref="J11:J20" si="7">IF(E11=0,"",(E11-H11)/ABS(H11))</f>
        <v>-0.85255459623666063</v>
      </c>
      <c r="K11" s="31">
        <f>'VZLA BFS'!K11/'VENEZUELA USD'!$AH$3</f>
        <v>0</v>
      </c>
      <c r="L11" s="33" t="str">
        <f t="shared" si="3"/>
        <v xml:space="preserve"> </v>
      </c>
      <c r="M11" s="31">
        <f>'VZLA BFS'!M11/'VENEZUELA USD'!$AH$3</f>
        <v>1193.2168550873587</v>
      </c>
      <c r="N11" s="33">
        <f t="shared" si="4"/>
        <v>0.10108111520069303</v>
      </c>
      <c r="O11" s="33" t="str">
        <f t="shared" ref="O11:O22" si="8">IF(K11=0,"",(M11-K11)/ABS(K11)+1)</f>
        <v/>
      </c>
      <c r="P11" s="62">
        <f>+'VZLA BFS'!P11/'VENEZUELA USD'!$AH$4</f>
        <v>4423.6343574210305</v>
      </c>
      <c r="Q11" s="33">
        <f t="shared" si="5"/>
        <v>0.29129120692268234</v>
      </c>
      <c r="R11" s="33">
        <f t="shared" ref="R11:R22" si="9">IF(M11=0,"",(M11-P11)/ABS(P11))</f>
        <v>-0.73026322731994486</v>
      </c>
      <c r="S11" s="67"/>
      <c r="T11" s="3" t="s">
        <v>32</v>
      </c>
      <c r="U11" s="31">
        <f>+'VZLA BFS'!U11/'VENEZUELA USD'!$AH$3</f>
        <v>0</v>
      </c>
      <c r="V11" s="31">
        <f>+'VZLA BFS'!V11/'VENEZUELA USD'!$AH$3</f>
        <v>7123.6382322713253</v>
      </c>
      <c r="W11" s="31">
        <f>+'VZLA BFS'!W11/'VENEZUELA USD'!$AH$3</f>
        <v>3398.2014388489206</v>
      </c>
      <c r="X11" s="31">
        <f>+'VZLA BFS'!X11/'VENEZUELA USD'!$AH$3</f>
        <v>0</v>
      </c>
      <c r="Y11" s="31">
        <f>+'VZLA BFS'!Y11/'VENEZUELA USD'!$AH$3</f>
        <v>12450.82219938335</v>
      </c>
      <c r="Z11" s="62">
        <f>+Y11-X11</f>
        <v>12450.82219938335</v>
      </c>
      <c r="AA11" s="67" t="str">
        <f>IF(X11=0,"",(Y11-X11)/ABS(X11)+1)</f>
        <v/>
      </c>
      <c r="AB11" s="31">
        <f>+'VZLA BFS'!AB11/'VENEZUELA USD'!$AH$3</f>
        <v>3398.2014388489206</v>
      </c>
      <c r="AC11" s="67">
        <f>IF(AB11=0,"",(Y11-AB11)/ABS(AB11))</f>
        <v>2.6639447141193728</v>
      </c>
      <c r="AD11" s="67"/>
      <c r="AE11" s="67"/>
    </row>
    <row r="12" spans="1:35" x14ac:dyDescent="0.2">
      <c r="B12" s="3" t="s">
        <v>69</v>
      </c>
      <c r="C12" s="31">
        <f>'VZLA BFS'!C12/'VENEZUELA USD'!$AH$3</f>
        <v>0</v>
      </c>
      <c r="D12" s="33" t="str">
        <f t="shared" si="0"/>
        <v xml:space="preserve"> </v>
      </c>
      <c r="E12" s="31">
        <f>'VZLA BFS'!E12/'VENEZUELA USD'!$AH$3</f>
        <v>1929.3679342240493</v>
      </c>
      <c r="F12" s="33">
        <f t="shared" si="1"/>
        <v>0.2974654962049787</v>
      </c>
      <c r="G12" s="33" t="str">
        <f t="shared" si="6"/>
        <v/>
      </c>
      <c r="H12" s="62">
        <f>+'VZLA BFS'!H12/'VENEZUELA USD'!$AH$4</f>
        <v>939.16053656425788</v>
      </c>
      <c r="I12" s="33">
        <f t="shared" si="2"/>
        <v>9.7359146605631483E-2</v>
      </c>
      <c r="J12" s="33">
        <f t="shared" si="7"/>
        <v>1.0543537117544131</v>
      </c>
      <c r="K12" s="31">
        <f>'VZLA BFS'!K12/'VENEZUELA USD'!$AH$3</f>
        <v>0</v>
      </c>
      <c r="L12" s="33" t="str">
        <f t="shared" si="3"/>
        <v xml:space="preserve"> </v>
      </c>
      <c r="M12" s="31">
        <f>'VZLA BFS'!M12/'VENEZUELA USD'!$AH$3</f>
        <v>2714.7225077081189</v>
      </c>
      <c r="N12" s="33">
        <f t="shared" si="4"/>
        <v>0.22997259665718395</v>
      </c>
      <c r="O12" s="33" t="str">
        <f t="shared" si="8"/>
        <v/>
      </c>
      <c r="P12" s="62">
        <f>+'VZLA BFS'!P12/'VENEZUELA USD'!$AH$4</f>
        <v>2318.7472955430549</v>
      </c>
      <c r="Q12" s="33">
        <f t="shared" si="5"/>
        <v>0.15268682800022756</v>
      </c>
      <c r="R12" s="33">
        <f t="shared" si="9"/>
        <v>0.17077118016533402</v>
      </c>
      <c r="S12" s="67"/>
      <c r="U12" s="31">
        <f>+'VZLA BFS'!U12/'VENEZUELA USD'!$AH$3</f>
        <v>0</v>
      </c>
      <c r="AD12" s="67"/>
      <c r="AE12" s="67"/>
    </row>
    <row r="13" spans="1:35" x14ac:dyDescent="0.2">
      <c r="B13" s="3" t="s">
        <v>71</v>
      </c>
      <c r="C13" s="31">
        <f>'VZLA BFS'!C13/'VENEZUELA USD'!$AH$3</f>
        <v>0</v>
      </c>
      <c r="D13" s="33" t="str">
        <f t="shared" si="0"/>
        <v xml:space="preserve"> </v>
      </c>
      <c r="E13" s="31">
        <f>'VZLA BFS'!E13/'VENEZUELA USD'!$AH$3</f>
        <v>661.22816032887977</v>
      </c>
      <c r="F13" s="33">
        <f t="shared" si="1"/>
        <v>0.10194663201762032</v>
      </c>
      <c r="G13" s="33" t="str">
        <f t="shared" si="6"/>
        <v/>
      </c>
      <c r="H13" s="62">
        <f>+'VZLA BFS'!H13/'VENEZUELA USD'!$AH$4</f>
        <v>301.00908697533532</v>
      </c>
      <c r="I13" s="33">
        <f t="shared" si="2"/>
        <v>3.120444981181747E-2</v>
      </c>
      <c r="J13" s="33">
        <f t="shared" si="7"/>
        <v>1.196704979816974</v>
      </c>
      <c r="K13" s="31">
        <f>'VZLA BFS'!K13/'VENEZUELA USD'!$AH$3</f>
        <v>0</v>
      </c>
      <c r="L13" s="33" t="str">
        <f t="shared" si="3"/>
        <v xml:space="preserve"> </v>
      </c>
      <c r="M13" s="31">
        <f>'VZLA BFS'!M13/'VENEZUELA USD'!$AH$3</f>
        <v>1081.808838643371</v>
      </c>
      <c r="N13" s="33">
        <f t="shared" si="4"/>
        <v>9.1643395228466401E-2</v>
      </c>
      <c r="O13" s="33" t="str">
        <f t="shared" si="8"/>
        <v/>
      </c>
      <c r="P13" s="62">
        <f>+'VZLA BFS'!P13/'VENEZUELA USD'!$AH$4</f>
        <v>311.77325832972741</v>
      </c>
      <c r="Q13" s="33">
        <f t="shared" si="5"/>
        <v>2.0529908524815225E-2</v>
      </c>
      <c r="R13" s="33">
        <f t="shared" si="9"/>
        <v>2.46985769221831</v>
      </c>
      <c r="S13" s="67"/>
      <c r="T13" s="3" t="s">
        <v>33</v>
      </c>
      <c r="U13" s="31">
        <f>+'VZLA BFS'!U13/'VENEZUELA USD'!$AH$3</f>
        <v>0</v>
      </c>
      <c r="V13" s="31">
        <f>+'VZLA BFS'!V13/'VENEZUELA USD'!$AH$3</f>
        <v>0</v>
      </c>
      <c r="W13" s="31">
        <f>+'VZLA BFS'!W13/'VENEZUELA USD'!$AH$3</f>
        <v>0</v>
      </c>
      <c r="X13" s="31">
        <f>+'VZLA BFS'!X13/'VENEZUELA USD'!$AH$3</f>
        <v>0</v>
      </c>
      <c r="Y13" s="31">
        <f>+'VZLA BFS'!Y13/'VENEZUELA USD'!$AH$3</f>
        <v>0</v>
      </c>
      <c r="Z13" s="62">
        <f>+X13-Y13</f>
        <v>0</v>
      </c>
      <c r="AA13" s="67" t="str">
        <f>IF(X13=0,"",(Y13-X13)/ABS(X13)+1)</f>
        <v/>
      </c>
      <c r="AB13" s="31">
        <f>+'VZLA BFS'!AB13/'VENEZUELA USD'!$AH$3</f>
        <v>0</v>
      </c>
      <c r="AC13" s="67" t="str">
        <f>IF(AB13=0,"",(Y13-AB13)/ABS(AB13))</f>
        <v/>
      </c>
      <c r="AD13" s="67"/>
      <c r="AE13" s="67"/>
    </row>
    <row r="14" spans="1:35" x14ac:dyDescent="0.2">
      <c r="B14" s="3" t="s">
        <v>72</v>
      </c>
      <c r="C14" s="31">
        <f>'VZLA BFS'!C14/'VENEZUELA USD'!$AH$3</f>
        <v>0</v>
      </c>
      <c r="D14" s="33" t="str">
        <f t="shared" si="0"/>
        <v xml:space="preserve"> </v>
      </c>
      <c r="E14" s="31">
        <f>'VZLA BFS'!E14/'VENEZUELA USD'!$AH$3</f>
        <v>0</v>
      </c>
      <c r="F14" s="33">
        <f t="shared" si="1"/>
        <v>0</v>
      </c>
      <c r="G14" s="33" t="str">
        <f t="shared" si="6"/>
        <v/>
      </c>
      <c r="H14" s="62">
        <f>+'VZLA BFS'!H14/'VENEZUELA USD'!$AH$4</f>
        <v>0</v>
      </c>
      <c r="I14" s="33">
        <f t="shared" si="2"/>
        <v>0</v>
      </c>
      <c r="J14" s="33" t="str">
        <f t="shared" si="7"/>
        <v/>
      </c>
      <c r="K14" s="31">
        <f>'VZLA BFS'!K14/'VENEZUELA USD'!$AH$3</f>
        <v>0</v>
      </c>
      <c r="L14" s="33" t="str">
        <f t="shared" si="3"/>
        <v xml:space="preserve"> </v>
      </c>
      <c r="M14" s="31">
        <f>'VZLA BFS'!M14/'VENEZUELA USD'!$AH$3</f>
        <v>0</v>
      </c>
      <c r="N14" s="33">
        <f t="shared" si="4"/>
        <v>0</v>
      </c>
      <c r="O14" s="33" t="str">
        <f t="shared" si="8"/>
        <v/>
      </c>
      <c r="P14" s="62">
        <f>+'VZLA BFS'!P14/'VENEZUELA USD'!$AH$4</f>
        <v>0</v>
      </c>
      <c r="Q14" s="33">
        <f t="shared" si="5"/>
        <v>0</v>
      </c>
      <c r="R14" s="33" t="str">
        <f t="shared" si="9"/>
        <v/>
      </c>
      <c r="S14" s="67"/>
      <c r="T14" s="3" t="s">
        <v>34</v>
      </c>
      <c r="U14" s="31">
        <f>+'VZLA BFS'!U14/'VENEZUELA USD'!$AH$3</f>
        <v>0</v>
      </c>
      <c r="V14" s="31">
        <f>+'VZLA BFS'!V14/'VENEZUELA USD'!$AH$3</f>
        <v>0</v>
      </c>
      <c r="W14" s="31">
        <f>+'VZLA BFS'!W14/'VENEZUELA USD'!$AH$3</f>
        <v>0</v>
      </c>
      <c r="X14" s="31">
        <f>+'VZLA BFS'!X14/'VENEZUELA USD'!$AH$3</f>
        <v>0</v>
      </c>
      <c r="Y14" s="31">
        <f>+'VZLA BFS'!Y14/'VENEZUELA USD'!$AH$3</f>
        <v>0</v>
      </c>
      <c r="Z14" s="62">
        <f>+X14-Y14</f>
        <v>0</v>
      </c>
      <c r="AA14" s="67" t="str">
        <f>IF(X14=0,"",(Y14-X14)/ABS(X14)+1)</f>
        <v/>
      </c>
      <c r="AB14" s="31">
        <f>+'VZLA BFS'!AB14/'VENEZUELA USD'!$AH$3</f>
        <v>0</v>
      </c>
      <c r="AC14" s="67" t="str">
        <f>IF(AB14=0,"",(Y14-AB14)/ABS(AB14))</f>
        <v/>
      </c>
      <c r="AD14" s="67"/>
      <c r="AE14" s="67"/>
    </row>
    <row r="15" spans="1:35" x14ac:dyDescent="0.2">
      <c r="B15" s="3" t="s">
        <v>74</v>
      </c>
      <c r="C15" s="31">
        <f>'VZLA BFS'!C15/'VENEZUELA USD'!$AH$3</f>
        <v>0</v>
      </c>
      <c r="D15" s="33" t="str">
        <f t="shared" si="0"/>
        <v xml:space="preserve"> </v>
      </c>
      <c r="E15" s="31">
        <f>'VZLA BFS'!E15/'VENEZUELA USD'!$AH$3</f>
        <v>876.69578622816027</v>
      </c>
      <c r="F15" s="33">
        <f t="shared" si="1"/>
        <v>0.13516693340094124</v>
      </c>
      <c r="G15" s="33" t="str">
        <f t="shared" si="6"/>
        <v/>
      </c>
      <c r="H15" s="62">
        <f>+'VZLA BFS'!H15/'VENEZUELA USD'!$AH$4</f>
        <v>1139.2829943747297</v>
      </c>
      <c r="I15" s="33">
        <f t="shared" si="2"/>
        <v>0.11810506910821733</v>
      </c>
      <c r="J15" s="33">
        <f t="shared" si="7"/>
        <v>-0.23048462010150922</v>
      </c>
      <c r="K15" s="31">
        <f>'VZLA BFS'!K15/'VENEZUELA USD'!$AH$3</f>
        <v>0</v>
      </c>
      <c r="L15" s="33" t="str">
        <f t="shared" si="3"/>
        <v xml:space="preserve"> </v>
      </c>
      <c r="M15" s="31">
        <f>'VZLA BFS'!M15/'VENEZUELA USD'!$AH$3</f>
        <v>1817.934224049332</v>
      </c>
      <c r="N15" s="33">
        <f t="shared" si="4"/>
        <v>0.15400286875344174</v>
      </c>
      <c r="O15" s="33" t="str">
        <f t="shared" si="8"/>
        <v/>
      </c>
      <c r="P15" s="62">
        <f>+'VZLA BFS'!P15/'VENEZUELA USD'!$AH$4</f>
        <v>1872.5993076590223</v>
      </c>
      <c r="Q15" s="33">
        <f t="shared" si="5"/>
        <v>0.12330849892588881</v>
      </c>
      <c r="R15" s="33">
        <f t="shared" si="9"/>
        <v>-2.9192087910161812E-2</v>
      </c>
      <c r="S15" s="67"/>
      <c r="T15" s="3" t="s">
        <v>35</v>
      </c>
      <c r="U15" s="31">
        <f>+'VZLA BFS'!U15/'VENEZUELA USD'!$AH$3</f>
        <v>0</v>
      </c>
      <c r="V15" s="31">
        <f>+'VZLA BFS'!V15/'VENEZUELA USD'!$AH$3</f>
        <v>1502.3247687564235</v>
      </c>
      <c r="W15" s="31">
        <f>+'VZLA BFS'!W15/'VENEZUELA USD'!$AH$3</f>
        <v>882.97019527235341</v>
      </c>
      <c r="X15" s="31">
        <f>+'VZLA BFS'!X15/'VENEZUELA USD'!$AH$3</f>
        <v>0</v>
      </c>
      <c r="Y15" s="31">
        <f>+'VZLA BFS'!Y15/'VENEZUELA USD'!$AH$3</f>
        <v>3877.2353545734841</v>
      </c>
      <c r="Z15" s="62">
        <f>+X15-Y15</f>
        <v>-3877.2353545734841</v>
      </c>
      <c r="AA15" s="67" t="str">
        <f>IF(X15=0,"",(Y15-X15)/ABS(X15)+1)</f>
        <v/>
      </c>
      <c r="AB15" s="31">
        <f>+'VZLA BFS'!AB15/'VENEZUELA USD'!$AH$3</f>
        <v>882.97019527235341</v>
      </c>
      <c r="AC15" s="67">
        <f>IF(AB15=0,"",(Y15-AB15)/ABS(AB15))</f>
        <v>3.3911282343766374</v>
      </c>
      <c r="AD15" s="67"/>
      <c r="AE15" s="67"/>
      <c r="AG15" s="54"/>
    </row>
    <row r="16" spans="1:35" x14ac:dyDescent="0.2">
      <c r="B16" s="3" t="s">
        <v>75</v>
      </c>
      <c r="C16" s="31">
        <f>'VZLA BFS'!C16/'VENEZUELA USD'!$AH$3</f>
        <v>0</v>
      </c>
      <c r="D16" s="33" t="str">
        <f t="shared" si="0"/>
        <v xml:space="preserve"> </v>
      </c>
      <c r="E16" s="31">
        <f>'VZLA BFS'!E16/'VENEZUELA USD'!$AH$3</f>
        <v>0</v>
      </c>
      <c r="F16" s="33">
        <f t="shared" si="1"/>
        <v>0</v>
      </c>
      <c r="G16" s="33" t="str">
        <f t="shared" si="6"/>
        <v/>
      </c>
      <c r="H16" s="62">
        <f>+'VZLA BFS'!H16/'VENEZUELA USD'!$AH$4</f>
        <v>0</v>
      </c>
      <c r="I16" s="33">
        <f t="shared" si="2"/>
        <v>0</v>
      </c>
      <c r="J16" s="33" t="str">
        <f t="shared" si="7"/>
        <v/>
      </c>
      <c r="K16" s="31">
        <f>'VZLA BFS'!K16/'VENEZUELA USD'!$AH$3</f>
        <v>0</v>
      </c>
      <c r="L16" s="33" t="str">
        <f t="shared" si="3"/>
        <v xml:space="preserve"> </v>
      </c>
      <c r="M16" s="31">
        <f>'VZLA BFS'!M16/'VENEZUELA USD'!$AH$3</f>
        <v>0</v>
      </c>
      <c r="N16" s="33"/>
      <c r="O16" s="33" t="str">
        <f t="shared" si="8"/>
        <v/>
      </c>
      <c r="P16" s="62">
        <f>+'VZLA BFS'!P16/'VENEZUELA USD'!$AH$4</f>
        <v>0</v>
      </c>
      <c r="Q16" s="33">
        <f t="shared" si="5"/>
        <v>0</v>
      </c>
      <c r="R16" s="33" t="str">
        <f t="shared" si="9"/>
        <v/>
      </c>
      <c r="S16" s="67"/>
      <c r="T16" s="3" t="s">
        <v>36</v>
      </c>
      <c r="U16" s="31">
        <f>+'VZLA BFS'!U16/'VENEZUELA USD'!$AH$3</f>
        <v>0</v>
      </c>
      <c r="V16" s="31">
        <f>+'VZLA BFS'!V16/'VENEZUELA USD'!$AH$3</f>
        <v>-2990.0822199383351</v>
      </c>
      <c r="W16" s="31">
        <f>+'VZLA BFS'!W16/'VENEZUELA USD'!$AH$3</f>
        <v>1337.3638232271323</v>
      </c>
      <c r="X16" s="31">
        <f>+'VZLA BFS'!X16/'VENEZUELA USD'!$AH$3</f>
        <v>0</v>
      </c>
      <c r="Y16" s="31">
        <f>+'VZLA BFS'!Y16/'VENEZUELA USD'!$AH$3</f>
        <v>61.74203494347379</v>
      </c>
      <c r="Z16" s="62">
        <f>+X16-Y16</f>
        <v>-61.74203494347379</v>
      </c>
      <c r="AA16" s="67" t="str">
        <f>IF(X16=0,"",(Y16-X16)/ABS(X16)+1)</f>
        <v/>
      </c>
      <c r="AB16" s="31">
        <f>+'VZLA BFS'!AB16/'VENEZUELA USD'!$AH$3</f>
        <v>1337.3638232271323</v>
      </c>
      <c r="AC16" s="67">
        <f>IF(AB16=0,"",(Y16-AB16)/ABS(AB16))</f>
        <v>-0.95383303042063239</v>
      </c>
      <c r="AD16" s="67"/>
      <c r="AE16" s="67"/>
    </row>
    <row r="17" spans="2:33" x14ac:dyDescent="0.2">
      <c r="B17" s="3" t="s">
        <v>76</v>
      </c>
      <c r="C17" s="31">
        <f>'VZLA BFS'!C17/'VENEZUELA USD'!$AH$3</f>
        <v>0</v>
      </c>
      <c r="D17" s="33" t="str">
        <f t="shared" si="0"/>
        <v xml:space="preserve"> </v>
      </c>
      <c r="E17" s="31">
        <f>'VZLA BFS'!E17/'VENEZUELA USD'!$AH$3</f>
        <v>0</v>
      </c>
      <c r="F17" s="33">
        <f t="shared" si="1"/>
        <v>0</v>
      </c>
      <c r="G17" s="33" t="str">
        <f t="shared" si="6"/>
        <v/>
      </c>
      <c r="H17" s="62">
        <f>+'VZLA BFS'!H17/'VENEZUELA USD'!$AH$4</f>
        <v>0</v>
      </c>
      <c r="I17" s="33">
        <f t="shared" si="2"/>
        <v>0</v>
      </c>
      <c r="J17" s="33" t="str">
        <f t="shared" si="7"/>
        <v/>
      </c>
      <c r="K17" s="31">
        <f>'VZLA BFS'!K17/'VENEZUELA USD'!$AH$3</f>
        <v>0</v>
      </c>
      <c r="L17" s="33" t="str">
        <f t="shared" si="3"/>
        <v xml:space="preserve"> </v>
      </c>
      <c r="M17" s="31">
        <f>'VZLA BFS'!M17/'VENEZUELA USD'!$AH$3</f>
        <v>0</v>
      </c>
      <c r="N17" s="33"/>
      <c r="O17" s="33" t="str">
        <f t="shared" si="8"/>
        <v/>
      </c>
      <c r="P17" s="62">
        <f>+'VZLA BFS'!P17/'VENEZUELA USD'!$AH$4</f>
        <v>0</v>
      </c>
      <c r="Q17" s="33">
        <f t="shared" si="5"/>
        <v>0</v>
      </c>
      <c r="R17" s="33" t="str">
        <f t="shared" si="9"/>
        <v/>
      </c>
      <c r="S17" s="67"/>
      <c r="T17" s="3" t="s">
        <v>37</v>
      </c>
      <c r="U17" s="31">
        <f>+'VZLA BFS'!U17/'VENEZUELA USD'!$AH$3</f>
        <v>0</v>
      </c>
      <c r="V17" s="31">
        <f>+'VZLA BFS'!V17/'VENEZUELA USD'!$AH$3</f>
        <v>-1487.7574511819114</v>
      </c>
      <c r="W17" s="31">
        <f>+'VZLA BFS'!W17/'VENEZUELA USD'!$AH$3</f>
        <v>2220.3340184994859</v>
      </c>
      <c r="X17" s="31">
        <f>+'VZLA BFS'!X17/'VENEZUELA USD'!$AH$3</f>
        <v>0</v>
      </c>
      <c r="Y17" s="31">
        <f>+'VZLA BFS'!Y17/'VENEZUELA USD'!$AH$3</f>
        <v>3938.9773895169578</v>
      </c>
      <c r="Z17" s="62">
        <f>+Y17-X17</f>
        <v>3938.9773895169578</v>
      </c>
      <c r="AA17" s="67" t="str">
        <f>IF(X17=0,"",(Y17-X17)/ABS(X17)+1)</f>
        <v/>
      </c>
      <c r="AB17" s="31">
        <f>+'VZLA BFS'!AB17/'VENEZUELA USD'!$AH$3</f>
        <v>2220.3340184994859</v>
      </c>
      <c r="AC17" s="67">
        <f>IF(AB17=0,"",(Y17-AB17)/ABS(AB17))</f>
        <v>0.77404721843560309</v>
      </c>
      <c r="AD17" s="67"/>
      <c r="AE17" s="67"/>
    </row>
    <row r="18" spans="2:33" x14ac:dyDescent="0.2">
      <c r="B18" s="3" t="s">
        <v>110</v>
      </c>
      <c r="C18" s="31">
        <f>'VZLA BFS'!C18/'VENEZUELA USD'!$AH$3</f>
        <v>0</v>
      </c>
      <c r="D18" s="33" t="str">
        <f t="shared" si="0"/>
        <v xml:space="preserve"> </v>
      </c>
      <c r="E18" s="31">
        <f>'VZLA BFS'!E18/'VENEZUELA USD'!$AH$3</f>
        <v>0</v>
      </c>
      <c r="F18" s="33">
        <f t="shared" si="1"/>
        <v>0</v>
      </c>
      <c r="G18" s="33" t="str">
        <f t="shared" si="6"/>
        <v/>
      </c>
      <c r="H18" s="62">
        <f>+'VZLA BFS'!H18/'VENEZUELA USD'!$AH$4</f>
        <v>0</v>
      </c>
      <c r="I18" s="33">
        <f t="shared" si="2"/>
        <v>0</v>
      </c>
      <c r="J18" s="33" t="str">
        <f t="shared" si="7"/>
        <v/>
      </c>
      <c r="K18" s="31">
        <f>'VZLA BFS'!K18/'VENEZUELA USD'!$AH$3</f>
        <v>0</v>
      </c>
      <c r="L18" s="33" t="str">
        <f t="shared" si="3"/>
        <v xml:space="preserve"> </v>
      </c>
      <c r="M18" s="31">
        <f>'VZLA BFS'!M18/'VENEZUELA USD'!$AH$3</f>
        <v>0</v>
      </c>
      <c r="N18" s="33"/>
      <c r="O18" s="33" t="str">
        <f t="shared" si="8"/>
        <v/>
      </c>
      <c r="P18" s="62">
        <f>+'VZLA BFS'!P18/'VENEZUELA USD'!$AH$4</f>
        <v>0</v>
      </c>
      <c r="Q18" s="33">
        <f t="shared" si="5"/>
        <v>0</v>
      </c>
      <c r="R18" s="33" t="str">
        <f t="shared" si="9"/>
        <v/>
      </c>
      <c r="S18" s="67"/>
      <c r="U18" s="31">
        <f>+'VZLA BFS'!U18/'VENEZUELA USD'!$AH$3</f>
        <v>0</v>
      </c>
      <c r="AD18" s="67"/>
      <c r="AE18" s="67"/>
    </row>
    <row r="19" spans="2:33" x14ac:dyDescent="0.2">
      <c r="B19" s="3" t="s">
        <v>80</v>
      </c>
      <c r="C19" s="31">
        <f>'VZLA BFS'!C19/'VENEZUELA USD'!$AH$3</f>
        <v>0</v>
      </c>
      <c r="D19" s="33" t="str">
        <f t="shared" si="0"/>
        <v xml:space="preserve"> </v>
      </c>
      <c r="E19" s="31">
        <f>'VZLA BFS'!E19/'VENEZUELA USD'!$AH$3</f>
        <v>0</v>
      </c>
      <c r="F19" s="33">
        <f t="shared" si="1"/>
        <v>0</v>
      </c>
      <c r="G19" s="33" t="str">
        <f t="shared" si="6"/>
        <v/>
      </c>
      <c r="H19" s="62">
        <f>+'VZLA BFS'!H19/'VENEZUELA USD'!$AH$4</f>
        <v>0</v>
      </c>
      <c r="I19" s="33">
        <f t="shared" si="2"/>
        <v>0</v>
      </c>
      <c r="J19" s="33" t="str">
        <f t="shared" si="7"/>
        <v/>
      </c>
      <c r="K19" s="31">
        <f>'VZLA BFS'!K19/'VENEZUELA USD'!$AH$3</f>
        <v>0</v>
      </c>
      <c r="L19" s="33" t="str">
        <f t="shared" si="3"/>
        <v xml:space="preserve"> </v>
      </c>
      <c r="M19" s="31">
        <f>'VZLA BFS'!M19/'VENEZUELA USD'!$AH$3</f>
        <v>0</v>
      </c>
      <c r="N19" s="33"/>
      <c r="O19" s="33" t="str">
        <f t="shared" si="8"/>
        <v/>
      </c>
      <c r="P19" s="62">
        <f>+'VZLA BFS'!P19/'VENEZUELA USD'!$AH$4</f>
        <v>0</v>
      </c>
      <c r="Q19" s="33">
        <f t="shared" si="5"/>
        <v>0</v>
      </c>
      <c r="R19" s="33" t="str">
        <f t="shared" si="9"/>
        <v/>
      </c>
      <c r="S19" s="67"/>
      <c r="T19" s="3" t="s">
        <v>38</v>
      </c>
      <c r="U19" s="31">
        <f>+'VZLA BFS'!U19/'VENEZUELA USD'!$AH$3</f>
        <v>0</v>
      </c>
      <c r="V19" s="31">
        <f>+V11-V17</f>
        <v>8611.3956834532364</v>
      </c>
      <c r="W19" s="31">
        <f>+'VZLA BFS'!W19/'VENEZUELA USD'!$AH$3</f>
        <v>1177.8674203494347</v>
      </c>
      <c r="X19" s="31">
        <f>+'VZLA BFS'!X19/'VENEZUELA USD'!$AH$3</f>
        <v>0</v>
      </c>
      <c r="Y19" s="31">
        <f>Y11-Y17</f>
        <v>8511.8448098663921</v>
      </c>
      <c r="Z19" s="62">
        <f>+Y19-X19</f>
        <v>8511.8448098663921</v>
      </c>
      <c r="AA19" s="67" t="str">
        <f>IF(X19=0,"",(Y19-X19)/ABS(X19)+1)</f>
        <v/>
      </c>
      <c r="AB19" s="31">
        <f>+'VZLA BFS'!AB19/'VENEZUELA USD'!$AH$3</f>
        <v>1177.8674203494347</v>
      </c>
      <c r="AC19" s="67">
        <f>IF(AB19=0,"",(Y19-AB19)/ABS(AB19))</f>
        <v>6.2264880264208395</v>
      </c>
      <c r="AD19" s="67"/>
      <c r="AE19" s="67"/>
      <c r="AG19" s="54"/>
    </row>
    <row r="20" spans="2:33" x14ac:dyDescent="0.2">
      <c r="B20" s="3" t="s">
        <v>39</v>
      </c>
      <c r="C20" s="31">
        <f>'VZLA BFS'!C20/'VENEZUELA USD'!$AH$3</f>
        <v>0</v>
      </c>
      <c r="D20" s="33" t="str">
        <f t="shared" si="0"/>
        <v xml:space="preserve"> </v>
      </c>
      <c r="E20" s="31">
        <f>'VZLA BFS'!E20/'VENEZUELA USD'!$AH$3</f>
        <v>6486.0226104830417</v>
      </c>
      <c r="F20" s="33">
        <f t="shared" si="1"/>
        <v>1</v>
      </c>
      <c r="G20" s="33" t="str">
        <f t="shared" si="6"/>
        <v/>
      </c>
      <c r="H20" s="62">
        <f>+'VZLA BFS'!H20/'VENEZUELA USD'!$AH$4</f>
        <v>9646.3513630463003</v>
      </c>
      <c r="I20" s="33">
        <f t="shared" si="2"/>
        <v>1</v>
      </c>
      <c r="J20" s="33">
        <f t="shared" si="7"/>
        <v>-0.32761907934123108</v>
      </c>
      <c r="K20" s="31">
        <f>'VZLA BFS'!K20/'VENEZUELA USD'!$AH$3</f>
        <v>0</v>
      </c>
      <c r="L20" s="33" t="str">
        <f t="shared" si="3"/>
        <v xml:space="preserve"> </v>
      </c>
      <c r="M20" s="31">
        <f>'VZLA BFS'!M20/'VENEZUELA USD'!$AH$3</f>
        <v>11804.547790339157</v>
      </c>
      <c r="N20" s="33">
        <f>+M20/$M$20</f>
        <v>1</v>
      </c>
      <c r="O20" s="33" t="str">
        <f t="shared" si="8"/>
        <v/>
      </c>
      <c r="P20" s="62">
        <f>+'VZLA BFS'!P20/'VENEZUELA USD'!$AH$4</f>
        <v>15186.295543054957</v>
      </c>
      <c r="Q20" s="33">
        <f t="shared" si="5"/>
        <v>1</v>
      </c>
      <c r="R20" s="33">
        <f t="shared" si="9"/>
        <v>-0.22268417884586422</v>
      </c>
      <c r="S20" s="67"/>
      <c r="T20" s="3"/>
      <c r="U20" s="31">
        <f>+'VZLA BFS'!U20/'VENEZUELA USD'!$AH$3</f>
        <v>0</v>
      </c>
      <c r="V20" s="31"/>
      <c r="W20" s="31"/>
      <c r="X20" s="31"/>
      <c r="Y20" s="31"/>
      <c r="Z20" s="62"/>
      <c r="AA20" s="67"/>
      <c r="AB20" s="31"/>
      <c r="AC20" s="67" t="str">
        <f>IF(AB20=0,"",(Y20-AB20)/ABS(AB20))</f>
        <v/>
      </c>
      <c r="AD20" s="67"/>
      <c r="AE20" s="67"/>
    </row>
    <row r="21" spans="2:33" x14ac:dyDescent="0.2">
      <c r="E21" s="31">
        <f>'VZLA BFS'!E21/'VENEZUELA USD'!$AH$3</f>
        <v>0</v>
      </c>
      <c r="G21" s="33" t="str">
        <f t="shared" si="6"/>
        <v/>
      </c>
      <c r="H21" s="62">
        <f>+'VZLA BFS'!H21/'VENEZUELA USD'!$AH$4</f>
        <v>0</v>
      </c>
      <c r="L21" s="33" t="str">
        <f t="shared" si="3"/>
        <v xml:space="preserve"> </v>
      </c>
      <c r="M21" s="31">
        <f>'VZLA BFS'!M21/'VENEZUELA USD'!$AH$3</f>
        <v>0</v>
      </c>
      <c r="O21" s="33" t="str">
        <f t="shared" si="8"/>
        <v/>
      </c>
      <c r="P21" s="62">
        <f>+'VZLA BFS'!P21/'VENEZUELA USD'!$AH$4</f>
        <v>0</v>
      </c>
      <c r="Q21" s="33">
        <f t="shared" si="5"/>
        <v>0</v>
      </c>
      <c r="R21" s="33" t="str">
        <f t="shared" si="9"/>
        <v/>
      </c>
      <c r="S21" s="67"/>
      <c r="T21" s="3" t="s">
        <v>40</v>
      </c>
      <c r="U21" s="31">
        <f>+'VZLA BFS'!U21/'VENEZUELA USD'!$AH$3</f>
        <v>6080.4727646454267</v>
      </c>
      <c r="V21" s="31">
        <f>+V10+V19</f>
        <v>14777.711202466597</v>
      </c>
      <c r="W21" s="31">
        <f>+'VZLA BFS'!W21/'VENEZUELA USD'!$AH$3</f>
        <v>2129.2034943473791</v>
      </c>
      <c r="X21" s="31">
        <f>+'VZLA BFS'!X21/'VENEZUELA USD'!$AH$3</f>
        <v>6080.4727646454267</v>
      </c>
      <c r="Y21" s="31">
        <f>+Y10+Y19</f>
        <v>15037.512846865364</v>
      </c>
      <c r="Z21" s="62">
        <f>+Y21-X21</f>
        <v>8957.0400822199372</v>
      </c>
      <c r="AA21" s="67">
        <f>IF(X21=0,"",(Y21-X21)/ABS(X21)+1)</f>
        <v>2.4730828389364969</v>
      </c>
      <c r="AB21" s="31">
        <f>+'VZLA BFS'!AB21/'VENEZUELA USD'!$AH$3</f>
        <v>2129.2034943473791</v>
      </c>
      <c r="AC21" s="67">
        <f>IF(AB21=0,"",(Y21-AB21)/ABS(AB21))</f>
        <v>6.0625061844896617</v>
      </c>
      <c r="AD21" s="67"/>
      <c r="AE21" s="67"/>
      <c r="AG21" s="54"/>
    </row>
    <row r="22" spans="2:33" x14ac:dyDescent="0.2">
      <c r="B22" s="3" t="s">
        <v>41</v>
      </c>
      <c r="C22" s="31">
        <f>'VZLA BFS'!C21/'VENEZUELA USD'!$AH$3</f>
        <v>0</v>
      </c>
      <c r="D22" s="33" t="str">
        <f>IF(DD30&lt;=0," ",C22/$C$20)</f>
        <v xml:space="preserve"> </v>
      </c>
      <c r="E22" s="31">
        <f>'VZLA BFS'!E22/'VENEZUELA USD'!$AH$3</f>
        <v>0</v>
      </c>
      <c r="F22" s="33">
        <f>+E22/$E$20</f>
        <v>0</v>
      </c>
      <c r="G22" s="33" t="str">
        <f t="shared" si="6"/>
        <v/>
      </c>
      <c r="H22" s="62">
        <f>+'VZLA BFS'!H22/'VENEZUELA USD'!$AH$4</f>
        <v>0</v>
      </c>
      <c r="I22" s="33">
        <f>IF($H$20&lt;=0," ",H22/$H$20)</f>
        <v>0</v>
      </c>
      <c r="J22" s="33" t="str">
        <f>IF(E22=0,"",(E22-H22)/ABS(H22))</f>
        <v/>
      </c>
      <c r="K22" s="31">
        <f>'VZLA BFS'!K21/'VENEZUELA USD'!$AH$3</f>
        <v>0</v>
      </c>
      <c r="L22" s="33" t="str">
        <f t="shared" si="3"/>
        <v xml:space="preserve"> </v>
      </c>
      <c r="M22" s="31">
        <f>'VZLA BFS'!M22/'VENEZUELA USD'!$AH$3</f>
        <v>0</v>
      </c>
      <c r="N22" s="33">
        <f>+M22/$M$20</f>
        <v>0</v>
      </c>
      <c r="O22" s="33" t="str">
        <f t="shared" si="8"/>
        <v/>
      </c>
      <c r="P22" s="62">
        <f>+'VZLA BFS'!P22/'VENEZUELA USD'!$AH$4</f>
        <v>0</v>
      </c>
      <c r="Q22" s="33">
        <f t="shared" si="5"/>
        <v>0</v>
      </c>
      <c r="R22" s="33" t="str">
        <f t="shared" si="9"/>
        <v/>
      </c>
      <c r="S22" s="67"/>
      <c r="U22" s="31">
        <f>+'VZLA BFS'!U22/'VENEZUELA USD'!$AH$3</f>
        <v>0</v>
      </c>
      <c r="AD22" s="67"/>
      <c r="AE22" s="67"/>
    </row>
    <row r="23" spans="2:33" x14ac:dyDescent="0.2">
      <c r="E23" s="31">
        <f>'VZLA BFS'!E23/'VENEZUELA USD'!$AH$3</f>
        <v>0</v>
      </c>
      <c r="H23" s="62">
        <f>+'VZLA BFS'!H23/'VENEZUELA USD'!$AH$4</f>
        <v>0</v>
      </c>
      <c r="M23" s="31">
        <f>'VZLA BFS'!M23/'VENEZUELA USD'!$AH$3</f>
        <v>0</v>
      </c>
      <c r="P23" s="62">
        <f>+'VZLA BFS'!P23/'VENEZUELA USD'!$AH$4</f>
        <v>0</v>
      </c>
      <c r="S23" s="67"/>
      <c r="T23" s="3" t="s">
        <v>42</v>
      </c>
      <c r="U23" s="31">
        <f>+'VZLA BFS'!U23/'VENEZUELA USD'!$AH$3</f>
        <v>0</v>
      </c>
      <c r="V23" s="31"/>
      <c r="W23" s="31"/>
      <c r="X23" s="31"/>
      <c r="Y23" s="31"/>
      <c r="Z23" s="62">
        <f>+Y23-X23</f>
        <v>0</v>
      </c>
      <c r="AA23" s="67" t="str">
        <f>IF(X23=0,"",(Y23-X23)/ABS(X23)+1)</f>
        <v/>
      </c>
      <c r="AB23" s="31">
        <v>0</v>
      </c>
      <c r="AC23" s="67" t="str">
        <f>IF(AB23=0,"",(Y23-AB23)/ABS(AB23))</f>
        <v/>
      </c>
      <c r="AD23" s="67"/>
      <c r="AE23" s="67"/>
    </row>
    <row r="24" spans="2:33" x14ac:dyDescent="0.2">
      <c r="B24" s="3" t="s">
        <v>43</v>
      </c>
      <c r="C24" s="31">
        <f>'VZLA BFS'!C22/'VENEZUELA USD'!$AH$3</f>
        <v>0</v>
      </c>
      <c r="D24" s="33" t="str">
        <f>IF(DD31&lt;=0," ",C24/$C$20)</f>
        <v xml:space="preserve"> </v>
      </c>
      <c r="E24" s="31">
        <f>'VZLA BFS'!E24/'VENEZUELA USD'!$AH$3</f>
        <v>6486.0226104830417</v>
      </c>
      <c r="F24" s="33">
        <f>+E24/$E$20</f>
        <v>1</v>
      </c>
      <c r="G24" s="33" t="str">
        <f>IF(C24=0,"",(E24-C24)/ABS(C24)+1)</f>
        <v/>
      </c>
      <c r="H24" s="62">
        <f>+'VZLA BFS'!H24/'VENEZUELA USD'!$AH$4</f>
        <v>9646.3513630463003</v>
      </c>
      <c r="I24" s="33">
        <f>IF($H$20&lt;=0," ",H24/$H$20)</f>
        <v>1</v>
      </c>
      <c r="J24" s="33">
        <f>IF(E24=0,"",(E24-H24)/ABS(H24))</f>
        <v>-0.32761907934123108</v>
      </c>
      <c r="K24" s="31">
        <f>'VZLA BFS'!K22/'VENEZUELA USD'!$AH$3</f>
        <v>0</v>
      </c>
      <c r="L24" s="33" t="str">
        <f>IF($K$20&lt;=0," ",K24/$K$20)</f>
        <v xml:space="preserve"> </v>
      </c>
      <c r="M24" s="31">
        <f>'VZLA BFS'!M24/'VENEZUELA USD'!$AH$3</f>
        <v>11804.547790339157</v>
      </c>
      <c r="N24" s="33">
        <f>+M24/$M$20</f>
        <v>1</v>
      </c>
      <c r="O24" s="33" t="str">
        <f>IF(K24=0,"",(M24-K24)/ABS(K24)+1)</f>
        <v/>
      </c>
      <c r="P24" s="62">
        <f>+'VZLA BFS'!P24/'VENEZUELA USD'!$AH$4</f>
        <v>15186.295543054957</v>
      </c>
      <c r="Q24" s="33">
        <f>IF($P$20&lt;=0," ",P24/$P$20)</f>
        <v>1</v>
      </c>
      <c r="R24" s="33">
        <f>IF(M24=0,"",(M24-P24)/ABS(P24))</f>
        <v>-0.22268417884586422</v>
      </c>
      <c r="S24" s="67"/>
      <c r="U24" s="31">
        <f>+'VZLA BFS'!U24/'VENEZUELA USD'!$AH$3</f>
        <v>0</v>
      </c>
      <c r="AD24" s="67"/>
      <c r="AE24" s="67"/>
    </row>
    <row r="25" spans="2:33" x14ac:dyDescent="0.2">
      <c r="E25" s="31">
        <f>'VZLA BFS'!E25/'VENEZUELA USD'!$AH$3</f>
        <v>0</v>
      </c>
      <c r="H25" s="62">
        <f>+'VZLA BFS'!H25/'VENEZUELA USD'!$AH$4</f>
        <v>0</v>
      </c>
      <c r="M25" s="31">
        <f>'VZLA BFS'!M25/'VENEZUELA USD'!$AH$3</f>
        <v>0</v>
      </c>
      <c r="P25" s="62">
        <f>+'VZLA BFS'!P25/'VENEZUELA USD'!$AH$4</f>
        <v>0</v>
      </c>
      <c r="S25" s="67"/>
      <c r="T25" s="3" t="s">
        <v>44</v>
      </c>
      <c r="U25" s="31">
        <f>+'VZLA BFS'!U25/'VENEZUELA USD'!$AH$3</f>
        <v>0</v>
      </c>
      <c r="V25" s="31">
        <v>1736.09</v>
      </c>
      <c r="W25" s="31">
        <f>+'VZLA BFS'!W25/'VENEZUELA USD'!$AH$3</f>
        <v>329.85457348406987</v>
      </c>
      <c r="X25" s="31">
        <f>+'VZLA BFS'!X25/'VENEZUELA USD'!$AH$3</f>
        <v>0</v>
      </c>
      <c r="Y25" s="31">
        <f>+'VZLA BFS'!Y25/'VENEZUELA USD'!$AH$3</f>
        <v>7038.669064748201</v>
      </c>
      <c r="Z25" s="62">
        <f>+Y25-X25</f>
        <v>7038.669064748201</v>
      </c>
      <c r="AA25" s="67" t="str">
        <f>IF(X25=0,"",(Y25-X25)/ABS(X25)+1)</f>
        <v/>
      </c>
      <c r="AB25" s="31">
        <f>+'VZLA BFS'!AB25/'VENEZUELA USD'!$AH$3</f>
        <v>329.85457348406987</v>
      </c>
      <c r="AC25" s="67">
        <f>IF(AB25=0,"",(Y25-AB25)/ABS(AB25))</f>
        <v>20.338703873051283</v>
      </c>
    </row>
    <row r="26" spans="2:33" x14ac:dyDescent="0.2">
      <c r="B26" s="3" t="s">
        <v>45</v>
      </c>
      <c r="C26" s="31">
        <f>'VZLA BFS'!C23/'VENEZUELA USD'!$AH$3</f>
        <v>0</v>
      </c>
      <c r="D26" s="33" t="str">
        <f>IF(DD32&lt;=0," ",C26/$C$20)</f>
        <v xml:space="preserve"> </v>
      </c>
      <c r="E26" s="31">
        <f>'VZLA BFS'!E26/'VENEZUELA USD'!$AH$3</f>
        <v>98.406988694758468</v>
      </c>
      <c r="F26" s="33">
        <f>+E26/$E$20</f>
        <v>1.5172162449096008E-2</v>
      </c>
      <c r="G26" s="33" t="str">
        <f>IF(C26=0,"",(E26-C26)/ABS(C26)+1)</f>
        <v/>
      </c>
      <c r="H26" s="62">
        <f>+'VZLA BFS'!H26/'VENEZUELA USD'!$AH$4</f>
        <v>110.59324967546517</v>
      </c>
      <c r="I26" s="33">
        <f>IF($H$20&lt;=0," ",H26/$H$20)</f>
        <v>1.1464775179051744E-2</v>
      </c>
      <c r="J26" s="33">
        <f>IF(E26=0,"",(E26-H26)/ABS(H26))</f>
        <v>-0.11018991680294386</v>
      </c>
      <c r="K26" s="31">
        <f>'VZLA BFS'!K23/'VENEZUELA USD'!$AH$3</f>
        <v>0</v>
      </c>
      <c r="L26" s="33" t="str">
        <f>IF($K$20&lt;=0," ",K26/$K$20)</f>
        <v xml:space="preserve"> </v>
      </c>
      <c r="M26" s="31">
        <f>'VZLA BFS'!M26/'VENEZUELA USD'!$AH$3</f>
        <v>192.42034943473791</v>
      </c>
      <c r="N26" s="33">
        <f>+M26/$M$20</f>
        <v>1.6300526953875755E-2</v>
      </c>
      <c r="O26" s="33" t="str">
        <f>IF(K26=0,"",(M26-K26)/ABS(K26)+1)</f>
        <v/>
      </c>
      <c r="P26" s="62">
        <f>+'VZLA BFS'!P26/'VENEZUELA USD'!$AH$4</f>
        <v>203.81999134573778</v>
      </c>
      <c r="Q26" s="33">
        <f>IF($P$20&lt;=0," ",P26/$P$20)</f>
        <v>1.3421310731631938E-2</v>
      </c>
      <c r="R26" s="33">
        <f>IF(M26=0,"",(M26-P26)/ABS(P26))</f>
        <v>-5.5929949931470484E-2</v>
      </c>
      <c r="S26" s="67"/>
      <c r="U26" s="31">
        <f>+'VZLA BFS'!U26/'VENEZUELA USD'!$AH$3</f>
        <v>0</v>
      </c>
    </row>
    <row r="27" spans="2:33" x14ac:dyDescent="0.2">
      <c r="B27" s="3" t="s">
        <v>46</v>
      </c>
      <c r="C27" s="31">
        <f>'VZLA BFS'!C24/'VENEZUELA USD'!$AH$3</f>
        <v>0</v>
      </c>
      <c r="D27" s="33" t="str">
        <f>IF(DD33&lt;=0," ",C27/$C$20)</f>
        <v xml:space="preserve"> </v>
      </c>
      <c r="E27" s="31">
        <f>'VZLA BFS'!E27/'VENEZUELA USD'!$AH$3</f>
        <v>594.39876670092497</v>
      </c>
      <c r="F27" s="33">
        <f>+E27/$E$20</f>
        <v>9.1643030312633697E-2</v>
      </c>
      <c r="G27" s="33" t="str">
        <f>IF(C27=0,"",(E27-C27)/ABS(C27)+1)</f>
        <v/>
      </c>
      <c r="H27" s="62">
        <f>+'VZLA BFS'!H27/'VENEZUELA USD'!$AH$4</f>
        <v>881.34270878407608</v>
      </c>
      <c r="I27" s="33">
        <f>IF($H$20&lt;=0," ",H27/$H$20)</f>
        <v>9.1365395641751709E-2</v>
      </c>
      <c r="J27" s="33">
        <f>IF(E27=0,"",(E27-H27)/ABS(H27))</f>
        <v>-0.32557589598605363</v>
      </c>
      <c r="K27" s="31">
        <f>'VZLA BFS'!K24/'VENEZUELA USD'!$AH$3</f>
        <v>0</v>
      </c>
      <c r="L27" s="33" t="str">
        <f>IF($K$20&lt;=0," ",K27/$K$20)</f>
        <v xml:space="preserve"> </v>
      </c>
      <c r="M27" s="31">
        <f>'VZLA BFS'!M27/'VENEZUELA USD'!$AH$3</f>
        <v>1172.6104830421377</v>
      </c>
      <c r="N27" s="33">
        <f>+M27/$M$20</f>
        <v>9.9335485261180634E-2</v>
      </c>
      <c r="O27" s="33" t="str">
        <f>IF(K27=0,"",(M27-K27)/ABS(K27)+1)</f>
        <v/>
      </c>
      <c r="P27" s="62">
        <f>+'VZLA BFS'!P27/'VENEZUELA USD'!$AH$4</f>
        <v>1286.8502812635224</v>
      </c>
      <c r="Q27" s="33">
        <f>IF($P$20&lt;=0," ",P27/$P$20)</f>
        <v>8.4737602900927911E-2</v>
      </c>
      <c r="R27" s="33">
        <f>IF(M27=0,"",(M27-P27)/ABS(P27))</f>
        <v>-8.8774739287631688E-2</v>
      </c>
      <c r="S27" s="67"/>
      <c r="T27" s="3" t="s">
        <v>47</v>
      </c>
      <c r="U27" s="31">
        <f>+'VZLA BFS'!U27/'VENEZUELA USD'!$AH$3</f>
        <v>0</v>
      </c>
      <c r="V27" s="31"/>
      <c r="W27" s="31"/>
      <c r="X27" s="31">
        <f>+'VZLA BFS'!X27/'VENEZUELA USD'!$AH$3</f>
        <v>0</v>
      </c>
      <c r="Y27" s="31">
        <f>+'VZLA BFS'!Y27/'VENEZUELA USD'!$AH$3</f>
        <v>0</v>
      </c>
      <c r="Z27" s="62">
        <f>+Y27-X27</f>
        <v>0</v>
      </c>
      <c r="AA27" s="67" t="str">
        <f>IF(X27=0,"",(Y27-X27)/ABS(X27)+1)</f>
        <v/>
      </c>
      <c r="AB27" s="31">
        <f>+'VZLA BFS'!AB27/'VENEZUELA USD'!$AH$3</f>
        <v>0</v>
      </c>
      <c r="AC27" s="67" t="str">
        <f>IF(AB27=0,"",(Y27-AB27)/ABS(AB27))</f>
        <v/>
      </c>
    </row>
    <row r="28" spans="2:33" x14ac:dyDescent="0.2">
      <c r="B28" s="3" t="s">
        <v>48</v>
      </c>
      <c r="C28" s="31">
        <f>'VZLA BFS'!C25/'VENEZUELA USD'!$AH$3</f>
        <v>0</v>
      </c>
      <c r="D28" s="33" t="str">
        <f>IF(DD34&lt;=0," ",C28/$C$20)</f>
        <v xml:space="preserve"> </v>
      </c>
      <c r="E28" s="31">
        <f>'VZLA BFS'!E28/'VENEZUELA USD'!$AH$3</f>
        <v>692.80575539568338</v>
      </c>
      <c r="F28" s="33">
        <f>+E28/$E$20</f>
        <v>0.1068151927617297</v>
      </c>
      <c r="G28" s="33" t="str">
        <f>IF(C28=0,"",(E28-C28)/ABS(C28)+1)</f>
        <v/>
      </c>
      <c r="H28" s="62">
        <f>+'VZLA BFS'!H28/'VENEZUELA USD'!$AH$4</f>
        <v>991.93595845954133</v>
      </c>
      <c r="I28" s="33">
        <f>IF($H$20&lt;=0," ",H28/$H$20)</f>
        <v>0.10283017082080345</v>
      </c>
      <c r="J28" s="33">
        <f>IF(E28=0,"",(E28-H28)/ABS(H28))</f>
        <v>-0.30156201165285085</v>
      </c>
      <c r="K28" s="31">
        <f>'VZLA BFS'!K25/'VENEZUELA USD'!$AH$3</f>
        <v>0</v>
      </c>
      <c r="L28" s="33" t="str">
        <f>IF($K$20&lt;=0," ",K28/$K$20)</f>
        <v xml:space="preserve"> </v>
      </c>
      <c r="M28" s="31">
        <f>'VZLA BFS'!M28/'VENEZUELA USD'!$AH$3</f>
        <v>1365.0308324768755</v>
      </c>
      <c r="N28" s="33">
        <f>+M28/$M$20</f>
        <v>0.11563601221505639</v>
      </c>
      <c r="O28" s="33" t="str">
        <f>IF(K28=0,"",(M28-K28)/ABS(K28)+1)</f>
        <v/>
      </c>
      <c r="P28" s="62">
        <f>+'VZLA BFS'!P28/'VENEZUELA USD'!$AH$4</f>
        <v>1490.6702726092601</v>
      </c>
      <c r="Q28" s="33">
        <f>IF($P$20&lt;=0," ",P28/$P$20)</f>
        <v>9.8158913632559852E-2</v>
      </c>
      <c r="R28" s="33">
        <f>IF(M28=0,"",(M28-P28)/ABS(P28))</f>
        <v>-8.428385702793019E-2</v>
      </c>
      <c r="S28" s="67"/>
      <c r="T28" s="3" t="s">
        <v>49</v>
      </c>
      <c r="U28" s="31">
        <f>+'VZLA BFS'!U28/'VENEZUELA USD'!$AH$3</f>
        <v>0</v>
      </c>
      <c r="V28" s="31"/>
      <c r="W28" s="31"/>
      <c r="X28" s="31"/>
      <c r="Y28" s="31">
        <f>+'VZLA BFS'!Y28/'VENEZUELA USD'!$AH$3</f>
        <v>0</v>
      </c>
      <c r="Z28" s="62">
        <f>+Y28-X28</f>
        <v>0</v>
      </c>
      <c r="AA28" s="67" t="str">
        <f>IF(X28=0,"",(Y28-X28)/ABS(X28)+1)</f>
        <v/>
      </c>
      <c r="AB28" s="31">
        <f>+'VZLA BFS'!AB28/'VENEZUELA USD'!$AH$3</f>
        <v>0</v>
      </c>
      <c r="AC28" s="67" t="str">
        <f>IF(AB28=0,"",(Y28-AB28)/ABS(AB28))</f>
        <v/>
      </c>
    </row>
    <row r="29" spans="2:33" x14ac:dyDescent="0.2">
      <c r="E29" s="31">
        <f>'VZLA BFS'!E29/'VENEZUELA USD'!$AH$3</f>
        <v>0</v>
      </c>
      <c r="H29" s="62">
        <f>+'VZLA BFS'!H29/'VENEZUELA USD'!$AH$4</f>
        <v>0</v>
      </c>
      <c r="M29" s="31">
        <f>'VZLA BFS'!M29/'VENEZUELA USD'!$AH$3</f>
        <v>0</v>
      </c>
      <c r="P29" s="62">
        <f>+'VZLA BFS'!P29/'VENEZUELA USD'!$AH$4</f>
        <v>0</v>
      </c>
      <c r="S29" s="67"/>
      <c r="U29" s="31">
        <f>+'VZLA BFS'!U29/'VENEZUELA USD'!$AH$3</f>
        <v>0</v>
      </c>
    </row>
    <row r="30" spans="2:33" x14ac:dyDescent="0.2">
      <c r="B30" s="3" t="s">
        <v>50</v>
      </c>
      <c r="C30" s="31">
        <f>'VZLA BFS'!C26/'VENEZUELA USD'!$AH$3</f>
        <v>0</v>
      </c>
      <c r="D30" s="33" t="str">
        <f>IF(DD35&lt;=0," ",C30/$C$20)</f>
        <v xml:space="preserve"> </v>
      </c>
      <c r="E30" s="31">
        <f>'VZLA BFS'!E30/'VENEZUELA USD'!$AH$3</f>
        <v>2667.4717368961974</v>
      </c>
      <c r="F30" s="33">
        <f>+E30/$E$20</f>
        <v>0.41126463737343333</v>
      </c>
      <c r="G30" s="33" t="str">
        <f>IF(C30=0,"",(E30-C30)/ABS(C30)+1)</f>
        <v/>
      </c>
      <c r="H30" s="62">
        <f>+'VZLA BFS'!H30/'VENEZUELA USD'!$AH$4</f>
        <v>2580.2102985720467</v>
      </c>
      <c r="I30" s="33">
        <f>IF($H$20&lt;=0," ",H30/$H$20)</f>
        <v>0.26748043912814939</v>
      </c>
      <c r="J30" s="33">
        <f>IF(E30=0,"",(E30-H30)/ABS(H30))</f>
        <v>3.3819506252045967E-2</v>
      </c>
      <c r="K30" s="31">
        <f>'VZLA BFS'!K26/'VENEZUELA USD'!$AH$3</f>
        <v>0</v>
      </c>
      <c r="L30" s="33" t="str">
        <f>IF($K$20&lt;=0," ",K30/$K$20)</f>
        <v xml:space="preserve"> </v>
      </c>
      <c r="M30" s="31">
        <f>'VZLA BFS'!M30/'VENEZUELA USD'!$AH$3</f>
        <v>6355.7297019527232</v>
      </c>
      <c r="N30" s="33">
        <f>+M30/$M$20</f>
        <v>0.53841365335097824</v>
      </c>
      <c r="O30" s="33" t="str">
        <f>IF(K30=0,"",(M30-K30)/ABS(K30)+1)</f>
        <v/>
      </c>
      <c r="P30" s="62">
        <f>+'VZLA BFS'!P30/'VENEZUELA USD'!$AH$4</f>
        <v>6387.5170921678937</v>
      </c>
      <c r="Q30" s="33">
        <f>IF($P$20&lt;=0," ",P30/$P$20)</f>
        <v>0.42061061396168153</v>
      </c>
      <c r="R30" s="33">
        <f>IF(M30=0,"",(M30-P30)/ABS(P30))</f>
        <v>-4.976486130134487E-3</v>
      </c>
      <c r="S30" s="67"/>
      <c r="T30" s="3" t="s">
        <v>51</v>
      </c>
      <c r="U30" s="31">
        <f>+'VZLA BFS'!U30/'VENEZUELA USD'!$AH$3</f>
        <v>6080.4727646454267</v>
      </c>
      <c r="V30" s="31">
        <f>+V21-V25-V23+V27</f>
        <v>13041.621202466597</v>
      </c>
      <c r="W30" s="31">
        <f>+W21-W25-W23+W27</f>
        <v>1799.3489208633091</v>
      </c>
      <c r="X30" s="31">
        <f>+X21-X25-X23-X27</f>
        <v>6080.4727646454267</v>
      </c>
      <c r="Y30" s="31">
        <f>+Y21-Y25-Y23+Y27</f>
        <v>7998.8437821171628</v>
      </c>
      <c r="Z30" s="62">
        <f>+Y30-X30</f>
        <v>1918.3710174717362</v>
      </c>
      <c r="AA30" s="67">
        <f>IF(U30=0,"",(V30-U30)/ABS(U30)+1)</f>
        <v>2.1448367104440269</v>
      </c>
      <c r="AB30" s="31">
        <f>+AB21-AB25-AB23-AB27</f>
        <v>1799.3489208633091</v>
      </c>
      <c r="AC30" s="67">
        <f>IF(AB30=0,"",(Y30-AB30)/ABS(AB30))</f>
        <v>3.4454100532538181</v>
      </c>
    </row>
    <row r="31" spans="2:33" x14ac:dyDescent="0.2">
      <c r="B31" s="3" t="s">
        <v>52</v>
      </c>
      <c r="C31" s="31">
        <f>'VZLA BFS'!C27/'VENEZUELA USD'!$AH$3</f>
        <v>0</v>
      </c>
      <c r="D31" s="33" t="str">
        <f>IF(DD36&lt;=0," ",C31/$C$20)</f>
        <v xml:space="preserve"> </v>
      </c>
      <c r="E31" s="31">
        <f>'VZLA BFS'!E31/'VENEZUELA USD'!$AH$3</f>
        <v>918.62795477903387</v>
      </c>
      <c r="F31" s="33">
        <f>+E31/$E$20</f>
        <v>0.14163193839230537</v>
      </c>
      <c r="G31" s="33" t="str">
        <f>IF(C31=0,"",(E31-C31)/ABS(C31)+1)</f>
        <v/>
      </c>
      <c r="H31" s="62">
        <f>+'VZLA BFS'!H31/'VENEZUELA USD'!$AH$4</f>
        <v>938.5244482907832</v>
      </c>
      <c r="I31" s="33">
        <f>IF($H$20&lt;=0," ",H31/$H$20)</f>
        <v>9.7293205790339246E-2</v>
      </c>
      <c r="J31" s="33">
        <f>IF(E31=0,"",(E31-H31)/ABS(H31))</f>
        <v>-2.1199760483580705E-2</v>
      </c>
      <c r="K31" s="31">
        <f>'VZLA BFS'!K27/'VENEZUELA USD'!$AH$3</f>
        <v>0</v>
      </c>
      <c r="L31" s="33" t="str">
        <f>IF($K$20&lt;=0," ",K31/$K$20)</f>
        <v xml:space="preserve"> </v>
      </c>
      <c r="M31" s="31">
        <f>'VZLA BFS'!M31/'VENEZUELA USD'!$AH$3</f>
        <v>1798.9465570400821</v>
      </c>
      <c r="N31" s="33">
        <f>+M31/$M$20</f>
        <v>0.15239436435780626</v>
      </c>
      <c r="O31" s="33" t="str">
        <f>IF(K31=0,"",(M31-K31)/ABS(K31)+1)</f>
        <v/>
      </c>
      <c r="P31" s="62">
        <f>+'VZLA BFS'!P31/'VENEZUELA USD'!$AH$4</f>
        <v>1593.8900908697535</v>
      </c>
      <c r="Q31" s="33">
        <f>IF($P$20&lt;=0," ",P31/$P$20)</f>
        <v>0.10495581930108533</v>
      </c>
      <c r="R31" s="33">
        <f>IF(M31=0,"",(M31-P31)/ABS(P31))</f>
        <v>0.12865157224136667</v>
      </c>
      <c r="S31" s="67"/>
      <c r="T31" s="67"/>
      <c r="U31" s="57"/>
    </row>
    <row r="32" spans="2:33" x14ac:dyDescent="0.2">
      <c r="B32" s="3" t="s">
        <v>53</v>
      </c>
      <c r="C32" s="31">
        <f>'VZLA BFS'!C28/'VENEZUELA USD'!$AH$3</f>
        <v>0</v>
      </c>
      <c r="D32" s="33" t="str">
        <f>IF(DD37&lt;=0," ",C32/$C$20)</f>
        <v xml:space="preserve"> </v>
      </c>
      <c r="E32" s="31">
        <f>'VZLA BFS'!E32/'VENEZUELA USD'!$AH$3</f>
        <v>3586.099691675231</v>
      </c>
      <c r="F32" s="33">
        <f>+E32/$E$20</f>
        <v>0.5528965757657387</v>
      </c>
      <c r="G32" s="33" t="str">
        <f>IF(C32=0,"",(E32-C32)/ABS(C32)+1)</f>
        <v/>
      </c>
      <c r="H32" s="62">
        <f>+'VZLA BFS'!H32/'VENEZUELA USD'!$AH$4</f>
        <v>3518.7347468628295</v>
      </c>
      <c r="I32" s="33">
        <f>IF($H$20&lt;=0," ",H32/$H$20)</f>
        <v>0.36477364491848857</v>
      </c>
      <c r="J32" s="33">
        <f>IF(E32=0,"",(E32-H32)/ABS(H32))</f>
        <v>1.9144649897938897E-2</v>
      </c>
      <c r="K32" s="31">
        <f>'VZLA BFS'!K28/'VENEZUELA USD'!$AH$3</f>
        <v>0</v>
      </c>
      <c r="L32" s="33" t="str">
        <f>IF($K$20&lt;=0," ",K32/$K$20)</f>
        <v xml:space="preserve"> </v>
      </c>
      <c r="M32" s="31">
        <f>'VZLA BFS'!M32/'VENEZUELA USD'!$AH$3</f>
        <v>8154.6762589928057</v>
      </c>
      <c r="N32" s="33">
        <f>+M32/$M$20</f>
        <v>0.69080801770878453</v>
      </c>
      <c r="O32" s="33" t="str">
        <f>IF(K32=0,"",(M32-K32)/ABS(K32)+1)</f>
        <v/>
      </c>
      <c r="P32" s="62">
        <f>+'VZLA BFS'!P32/'VENEZUELA USD'!$AH$4</f>
        <v>7981.407183037647</v>
      </c>
      <c r="Q32" s="33">
        <f>IF($P$20&lt;=0," ",P32/$P$20)</f>
        <v>0.52556643326276686</v>
      </c>
      <c r="R32" s="33">
        <f>IF(M32=0,"",(M32-P32)/ABS(P32))</f>
        <v>2.1709088633317192E-2</v>
      </c>
      <c r="S32" s="67"/>
    </row>
    <row r="33" spans="2:51" x14ac:dyDescent="0.2">
      <c r="E33" s="31">
        <f>'VZLA BFS'!E33/'VENEZUELA USD'!$AH$3</f>
        <v>0</v>
      </c>
      <c r="H33" s="62">
        <f>+'VZLA BFS'!H33/'VENEZUELA USD'!$AH$4</f>
        <v>0</v>
      </c>
      <c r="M33" s="31">
        <f>'VZLA BFS'!M33/'VENEZUELA USD'!$AH$3</f>
        <v>0</v>
      </c>
      <c r="P33" s="62">
        <f>+'VZLA BFS'!P33/'VENEZUELA USD'!$AH$4</f>
        <v>0</v>
      </c>
      <c r="S33" s="67"/>
    </row>
    <row r="34" spans="2:51" x14ac:dyDescent="0.2">
      <c r="B34" s="3" t="s">
        <v>54</v>
      </c>
      <c r="C34" s="31">
        <f>'VZLA BFS'!C29/'VENEZUELA USD'!$AH$3</f>
        <v>0</v>
      </c>
      <c r="D34" s="33" t="str">
        <f>IF(DD38&lt;=0," ",C34/$C$20)</f>
        <v xml:space="preserve"> </v>
      </c>
      <c r="E34" s="31">
        <f>'VZLA BFS'!E34/'VENEZUELA USD'!$AH$3</f>
        <v>4278.9054470709143</v>
      </c>
      <c r="F34" s="33">
        <f>+E34/$E$20</f>
        <v>0.65971176852746838</v>
      </c>
      <c r="G34" s="33" t="str">
        <f>IF(C34=0,"",(E34-C34)/ABS(C34)+1)</f>
        <v/>
      </c>
      <c r="H34" s="62">
        <f>+'VZLA BFS'!H34/'VENEZUELA USD'!$AH$4</f>
        <v>4510.6707053223708</v>
      </c>
      <c r="I34" s="33">
        <f>IF($H$20&lt;=0," ",H34/$H$20)</f>
        <v>0.46760381573929205</v>
      </c>
      <c r="J34" s="33">
        <f>IF(E34=0,"",(E34-H34)/ABS(H34))</f>
        <v>-5.1381551301890621E-2</v>
      </c>
      <c r="K34" s="31">
        <f>'VZLA BFS'!K29/'VENEZUELA USD'!$AH$3</f>
        <v>0</v>
      </c>
      <c r="L34" s="33" t="str">
        <f>IF($K$20&lt;=0," ",K34/$K$20)</f>
        <v xml:space="preserve"> </v>
      </c>
      <c r="M34" s="31">
        <f>'VZLA BFS'!M34/'VENEZUELA USD'!$AH$3</f>
        <v>9519.7070914696815</v>
      </c>
      <c r="N34" s="33">
        <f>+M34/$M$20</f>
        <v>0.80644402992384101</v>
      </c>
      <c r="O34" s="33" t="str">
        <f>IF(K34=0,"",(M34-K34)/ABS(K34)+1)</f>
        <v/>
      </c>
      <c r="P34" s="62">
        <f>+'VZLA BFS'!P34/'VENEZUELA USD'!$AH$4</f>
        <v>9472.0774556469078</v>
      </c>
      <c r="Q34" s="33">
        <f>IF($P$20&lt;=0," ",P34/$P$20)</f>
        <v>0.62372534689532677</v>
      </c>
      <c r="R34" s="33">
        <f>IF(M34=0,"",(M34-P34)/ABS(P34))</f>
        <v>5.0284255007203996E-3</v>
      </c>
      <c r="S34" s="67"/>
      <c r="AL34" s="78" t="s">
        <v>116</v>
      </c>
      <c r="AT34" s="78" t="s">
        <v>117</v>
      </c>
    </row>
    <row r="35" spans="2:51" ht="15" x14ac:dyDescent="0.25">
      <c r="E35" s="31">
        <f>'VZLA BFS'!E35/'VENEZUELA USD'!$AH$3</f>
        <v>0</v>
      </c>
      <c r="H35" s="62">
        <f>+'VZLA BFS'!H35/'VENEZUELA USD'!$AH$4</f>
        <v>0</v>
      </c>
      <c r="M35" s="31">
        <f>'VZLA BFS'!M35/'VENEZUELA USD'!$AH$3</f>
        <v>0</v>
      </c>
      <c r="P35" s="62">
        <f>+'VZLA BFS'!P35/'VENEZUELA USD'!$AH$4</f>
        <v>0</v>
      </c>
      <c r="S35" s="67"/>
      <c r="AL35" s="104" t="s">
        <v>6</v>
      </c>
      <c r="AM35" s="105">
        <v>1788641</v>
      </c>
      <c r="AN35" s="106"/>
      <c r="AO35" s="106"/>
      <c r="AP35" s="106"/>
      <c r="AQ35" s="106"/>
      <c r="AT35" s="104" t="s">
        <v>6</v>
      </c>
      <c r="AU35" s="105">
        <v>4.71</v>
      </c>
      <c r="AV35" s="106"/>
      <c r="AW35" s="106"/>
      <c r="AX35" s="106"/>
      <c r="AY35" s="106"/>
    </row>
    <row r="36" spans="2:51" ht="15" x14ac:dyDescent="0.25">
      <c r="B36" s="3" t="s">
        <v>55</v>
      </c>
      <c r="C36" s="31">
        <f>'VZLA BFS'!C30/'VENEZUELA USD'!$AH$3</f>
        <v>0</v>
      </c>
      <c r="D36" s="33" t="str">
        <f>IF(DD39&lt;=0," ",C36/$C$20)</f>
        <v xml:space="preserve"> </v>
      </c>
      <c r="E36" s="31">
        <f>'VZLA BFS'!E36/'VENEZUELA USD'!$AH$3</f>
        <v>2207.1171634121274</v>
      </c>
      <c r="F36" s="33">
        <f>+E36/$E$20</f>
        <v>0.34028823147253168</v>
      </c>
      <c r="G36" s="33" t="str">
        <f>IF(C36=0,"",(E36-C36)/ABS(C36)+1)</f>
        <v/>
      </c>
      <c r="H36" s="62">
        <f>+'VZLA BFS'!H36/'VENEZUELA USD'!$AH$4</f>
        <v>5135.6806577239295</v>
      </c>
      <c r="I36" s="33">
        <f>IF($H$20&lt;=0," ",H36/$H$20)</f>
        <v>0.53239618426070801</v>
      </c>
      <c r="J36" s="33">
        <f>IF(E36=0,"",(E36-H36)/ABS(H36))</f>
        <v>-0.57023862842938244</v>
      </c>
      <c r="K36" s="31">
        <f>'VZLA BFS'!K30/'VENEZUELA USD'!$AH$3</f>
        <v>0</v>
      </c>
      <c r="L36" s="33" t="str">
        <f>IF($K$20&lt;=0," ",K36/$K$20)</f>
        <v xml:space="preserve"> </v>
      </c>
      <c r="M36" s="31">
        <f>'VZLA BFS'!M36/'VENEZUELA USD'!$AH$3</f>
        <v>2284.8406988694755</v>
      </c>
      <c r="N36" s="33">
        <f>+M36/$M$20</f>
        <v>0.19355597007615907</v>
      </c>
      <c r="O36" s="33" t="str">
        <f>IF(K36=0,"",(M36-K36)/ABS(K36)+1)</f>
        <v/>
      </c>
      <c r="P36" s="62">
        <f>+'VZLA BFS'!P36/'VENEZUELA USD'!$AH$4</f>
        <v>5714.2180874080495</v>
      </c>
      <c r="Q36" s="33">
        <f>IF($P$20&lt;=0," ",P36/$P$20)</f>
        <v>0.37627465310467323</v>
      </c>
      <c r="R36" s="33">
        <f>IF(M36=0,"",(M36-P36)/ABS(P36))</f>
        <v>-0.60014814556966412</v>
      </c>
      <c r="AL36" s="104" t="s">
        <v>7</v>
      </c>
      <c r="AM36" s="105">
        <v>1899023</v>
      </c>
      <c r="AN36" s="106"/>
      <c r="AO36" s="106"/>
      <c r="AP36" s="106"/>
      <c r="AQ36" s="106"/>
      <c r="AT36" s="104" t="s">
        <v>7</v>
      </c>
      <c r="AU36" s="105">
        <v>4.6100000000000003</v>
      </c>
      <c r="AV36" s="106"/>
      <c r="AW36" s="106"/>
      <c r="AX36" s="106"/>
      <c r="AY36" s="106"/>
    </row>
    <row r="37" spans="2:51" ht="13.5" customHeight="1" x14ac:dyDescent="0.25">
      <c r="E37" s="31">
        <f>'VZLA BFS'!E37/'VENEZUELA USD'!$AH$3</f>
        <v>0</v>
      </c>
      <c r="H37" s="62">
        <f>+'VZLA BFS'!H37/'VENEZUELA USD'!$AH$4</f>
        <v>0</v>
      </c>
      <c r="M37" s="31">
        <f>'VZLA BFS'!M37/'VENEZUELA USD'!$AH$3</f>
        <v>0</v>
      </c>
      <c r="P37" s="62">
        <f>+'VZLA BFS'!P37/'VENEZUELA USD'!$AH$4</f>
        <v>0</v>
      </c>
      <c r="AL37" s="104" t="s">
        <v>9</v>
      </c>
      <c r="AM37" s="105">
        <v>2115582</v>
      </c>
      <c r="AN37" s="106"/>
      <c r="AO37" s="106"/>
      <c r="AP37" s="106"/>
      <c r="AQ37" s="106"/>
      <c r="AT37" s="104" t="s">
        <v>9</v>
      </c>
      <c r="AU37" s="105">
        <v>4.4800000000000004</v>
      </c>
      <c r="AV37" s="106"/>
      <c r="AW37" s="106"/>
      <c r="AX37" s="106"/>
      <c r="AY37" s="106"/>
    </row>
    <row r="38" spans="2:51" ht="15" x14ac:dyDescent="0.25">
      <c r="B38" s="3" t="s">
        <v>56</v>
      </c>
      <c r="C38" s="31">
        <f>'VZLA BFS'!C31/'VENEZUELA USD'!$AH$3</f>
        <v>0</v>
      </c>
      <c r="D38" s="33" t="str">
        <f>IF(DD40&lt;=0," ",C38/$C$20)</f>
        <v xml:space="preserve"> </v>
      </c>
      <c r="E38" s="31">
        <f>'VZLA BFS'!E38/'VENEZUELA USD'!$AH$3</f>
        <v>61.664953751284685</v>
      </c>
      <c r="F38" s="33">
        <f>+E38/$E$20</f>
        <v>9.5073602814178641E-3</v>
      </c>
      <c r="G38" s="33" t="str">
        <f>IF(C38=0,"",(E38-C38)/ABS(C38)+1)</f>
        <v/>
      </c>
      <c r="H38" s="62">
        <f>+'VZLA BFS'!H38/'VENEZUELA USD'!$AH$4</f>
        <v>1249.3682388576374</v>
      </c>
      <c r="I38" s="33">
        <f>IF($H$20&lt;=0," ",H38/$H$20)</f>
        <v>0.12951718135043022</v>
      </c>
      <c r="J38" s="33">
        <f>IF(E38=0,"",(E38-H38)/ABS(H38))</f>
        <v>-0.95064309157749349</v>
      </c>
      <c r="K38" s="31">
        <f>'VZLA BFS'!K31/'VENEZUELA USD'!$AH$3</f>
        <v>0</v>
      </c>
      <c r="L38" s="33" t="str">
        <f>IF($K$20&lt;=0," ",K38/$K$20)</f>
        <v xml:space="preserve"> </v>
      </c>
      <c r="M38" s="31">
        <f>'VZLA BFS'!M38/'VENEZUELA USD'!$AH$3</f>
        <v>174.25488180883863</v>
      </c>
      <c r="N38" s="33">
        <f>+M38/$M$20</f>
        <v>1.4761673628145996E-2</v>
      </c>
      <c r="O38" s="33" t="str">
        <f>IF(K38=0,"",(M38-K38)/ABS(K38)+1)</f>
        <v/>
      </c>
      <c r="P38" s="62">
        <f>+'VZLA BFS'!P38/'VENEZUELA USD'!$AH$4</f>
        <v>4319.0783210731288</v>
      </c>
      <c r="Q38" s="33">
        <f>IF($P$20&lt;=0," ",P38/$P$20)</f>
        <v>0.28440631283831053</v>
      </c>
      <c r="R38" s="33">
        <f>IF(M38=0,"",(M38-P38)/ABS(P38))</f>
        <v>-0.95965461405072572</v>
      </c>
      <c r="AL38" s="104" t="s">
        <v>10</v>
      </c>
      <c r="AM38" s="105">
        <v>2900823</v>
      </c>
      <c r="AN38" s="106"/>
      <c r="AO38" s="106"/>
      <c r="AP38" s="106"/>
      <c r="AQ38" s="106"/>
      <c r="AT38" s="104" t="s">
        <v>10</v>
      </c>
      <c r="AU38" s="105">
        <v>4.57</v>
      </c>
      <c r="AV38" s="106"/>
      <c r="AW38" s="106"/>
      <c r="AX38" s="106"/>
      <c r="AY38" s="106"/>
    </row>
    <row r="39" spans="2:51" ht="15" x14ac:dyDescent="0.25">
      <c r="B39" s="3" t="s">
        <v>57</v>
      </c>
      <c r="C39" s="31">
        <f>'VZLA BFS'!C32/'VENEZUELA USD'!$AH$3</f>
        <v>0</v>
      </c>
      <c r="D39" s="33" t="str">
        <f>IF(DD41&lt;=0," ",C39/$C$20)</f>
        <v xml:space="preserve"> </v>
      </c>
      <c r="E39" s="31">
        <f>'VZLA BFS'!E39/'VENEZUELA USD'!$AH$3</f>
        <v>161.30524152106887</v>
      </c>
      <c r="F39" s="33">
        <f>+E39/$E$20</f>
        <v>2.4869669936142234E-2</v>
      </c>
      <c r="G39" s="33" t="str">
        <f>IF(C39=0,"",(E39-C39)/ABS(C39)+1)</f>
        <v/>
      </c>
      <c r="H39" s="62">
        <f>+'VZLA BFS'!H39/'VENEZUELA USD'!$AH$4</f>
        <v>153.48334054521851</v>
      </c>
      <c r="I39" s="33">
        <f>IF($H$20&lt;=0," ",H39/$H$20)</f>
        <v>1.5911025295345323E-2</v>
      </c>
      <c r="J39" s="33">
        <f>IF(E39=0,"",(E39-H39)/ABS(H39))</f>
        <v>5.096254061232075E-2</v>
      </c>
      <c r="K39" s="31">
        <f>'VZLA BFS'!K32/'VENEZUELA USD'!$AH$3</f>
        <v>0</v>
      </c>
      <c r="L39" s="33" t="str">
        <f>IF($K$20&lt;=0," ",K39/$K$20)</f>
        <v xml:space="preserve"> </v>
      </c>
      <c r="M39" s="31">
        <f>'VZLA BFS'!M39/'VENEZUELA USD'!$AH$3</f>
        <v>269.63001027749226</v>
      </c>
      <c r="N39" s="33">
        <f>+M39/$M$20</f>
        <v>2.2841197737210866E-2</v>
      </c>
      <c r="O39" s="33" t="str">
        <f>IF(K39=0,"",(M39-K39)/ABS(K39)+1)</f>
        <v/>
      </c>
      <c r="P39" s="62">
        <f>+'VZLA BFS'!P39/'VENEZUELA USD'!$AH$4</f>
        <v>222.50108178277802</v>
      </c>
      <c r="Q39" s="33">
        <f>IF($P$20&lt;=0," ",P39/$P$20)</f>
        <v>1.4651438934002104E-2</v>
      </c>
      <c r="R39" s="33">
        <f>IF(M39=0,"",(M39-P39)/ABS(P39))</f>
        <v>0.21181437913513151</v>
      </c>
      <c r="AL39" s="104" t="s">
        <v>11</v>
      </c>
      <c r="AM39" s="105">
        <v>3143738</v>
      </c>
      <c r="AN39" s="106"/>
      <c r="AO39" s="106"/>
      <c r="AP39" s="106"/>
      <c r="AQ39" s="106"/>
      <c r="AT39" s="104" t="s">
        <v>11</v>
      </c>
      <c r="AU39" s="105">
        <v>5.14</v>
      </c>
      <c r="AV39" s="106"/>
      <c r="AW39" s="106"/>
      <c r="AX39" s="106"/>
      <c r="AY39" s="106"/>
    </row>
    <row r="40" spans="2:51" ht="15" x14ac:dyDescent="0.25">
      <c r="E40" s="31">
        <f>'VZLA BFS'!E40/'VENEZUELA USD'!$AH$3</f>
        <v>0</v>
      </c>
      <c r="H40" s="62">
        <f>+'VZLA BFS'!H40/'VENEZUELA USD'!$AH$4</f>
        <v>0</v>
      </c>
      <c r="M40" s="31">
        <f>'VZLA BFS'!M40/'VENEZUELA USD'!$AH$3</f>
        <v>0</v>
      </c>
      <c r="P40" s="62">
        <f>+'VZLA BFS'!P40/'VENEZUELA USD'!$AH$4</f>
        <v>0</v>
      </c>
      <c r="AL40" s="104" t="s">
        <v>12</v>
      </c>
      <c r="AM40" s="105">
        <v>3267940</v>
      </c>
      <c r="AN40" s="106"/>
      <c r="AO40" s="106"/>
      <c r="AP40" s="106"/>
      <c r="AQ40" s="106"/>
      <c r="AT40" s="104" t="s">
        <v>12</v>
      </c>
      <c r="AU40" s="105">
        <v>5.78</v>
      </c>
      <c r="AV40" s="106"/>
      <c r="AW40" s="106"/>
      <c r="AX40" s="106"/>
      <c r="AY40" s="106"/>
    </row>
    <row r="41" spans="2:51" ht="15" x14ac:dyDescent="0.25">
      <c r="B41" s="3" t="s">
        <v>58</v>
      </c>
      <c r="C41" s="31">
        <f>'VZLA BFS'!C33/'VENEZUELA USD'!$AH$3</f>
        <v>0</v>
      </c>
      <c r="D41" s="33" t="str">
        <f>IF(DD42&lt;=0," ",C41/$C$20)</f>
        <v xml:space="preserve"> </v>
      </c>
      <c r="E41" s="31">
        <f>'VZLA BFS'!E41/'VENEZUELA USD'!$AH$3</f>
        <v>2107.4768756423432</v>
      </c>
      <c r="F41" s="33">
        <f>+E41/$E$20</f>
        <v>0.32492592181780727</v>
      </c>
      <c r="G41" s="33" t="str">
        <f>IF(C41=0,"",(E41-C41)/ABS(C41)+1)</f>
        <v/>
      </c>
      <c r="H41" s="62">
        <f>+'VZLA BFS'!H41/'VENEZUELA USD'!$AH$4</f>
        <v>6231.5655560363484</v>
      </c>
      <c r="I41" s="33">
        <f>IF($H$20&lt;=0," ",H41/$H$20)</f>
        <v>0.64600234031579284</v>
      </c>
      <c r="J41" s="33">
        <f>IF(E41=0,"",(E41-H41)/ABS(H41))</f>
        <v>-0.6618061935333589</v>
      </c>
      <c r="K41" s="31">
        <f>'VZLA BFS'!K33/'VENEZUELA USD'!$AH$3</f>
        <v>0</v>
      </c>
      <c r="L41" s="33" t="str">
        <f>IF($K$20&lt;=0," ",K41/$K$20)</f>
        <v xml:space="preserve"> </v>
      </c>
      <c r="M41" s="31">
        <f>'VZLA BFS'!M41/'VENEZUELA USD'!$AH$3</f>
        <v>2189.4655704008219</v>
      </c>
      <c r="N41" s="33">
        <f>+M41/$M$20</f>
        <v>0.1854764459670942</v>
      </c>
      <c r="O41" s="33" t="str">
        <f>IF(K41=0,"",(M41-K41)/ABS(K41)+1)</f>
        <v/>
      </c>
      <c r="P41" s="62">
        <f>+'VZLA BFS'!P41/'VENEZUELA USD'!$AH$4</f>
        <v>9810.7953266984005</v>
      </c>
      <c r="Q41" s="33">
        <f>IF($P$20&lt;=0," ",P41/$P$20)</f>
        <v>0.64602952700898164</v>
      </c>
      <c r="R41" s="33">
        <f>IF(M41=0,"",(M41-P41)/ABS(P41))</f>
        <v>-0.77683098082348467</v>
      </c>
      <c r="AL41" s="104" t="s">
        <v>13</v>
      </c>
      <c r="AM41" s="105">
        <v>4139112</v>
      </c>
      <c r="AN41" s="106"/>
      <c r="AO41" s="106"/>
      <c r="AP41" s="106"/>
      <c r="AQ41" s="106"/>
      <c r="AT41" s="104" t="s">
        <v>13</v>
      </c>
      <c r="AU41" s="105">
        <v>5.91</v>
      </c>
      <c r="AV41" s="106"/>
      <c r="AW41" s="106"/>
      <c r="AX41" s="106"/>
      <c r="AY41" s="106"/>
    </row>
    <row r="42" spans="2:51" ht="15" x14ac:dyDescent="0.25">
      <c r="B42" s="3" t="s">
        <v>44</v>
      </c>
      <c r="C42" s="31">
        <f>'VZLA BFS'!C34/'VENEZUELA USD'!$AH$3</f>
        <v>0</v>
      </c>
      <c r="D42" s="33" t="str">
        <f>IF(DD43&lt;=0," ",C42/$C$20)</f>
        <v xml:space="preserve"> </v>
      </c>
      <c r="E42" s="31">
        <f>'VZLA BFS'!E42/'VENEZUELA USD'!$AH$3</f>
        <v>0</v>
      </c>
      <c r="F42" s="33">
        <f>+E42/$E$20</f>
        <v>0</v>
      </c>
      <c r="G42" s="33" t="str">
        <f>IF(C42=0,"",(E42-C42)/ABS(C42)+1)</f>
        <v/>
      </c>
      <c r="H42" s="62">
        <f>+'VZLA BFS'!H42/'VENEZUELA USD'!$AH$4</f>
        <v>0</v>
      </c>
      <c r="I42" s="33">
        <f>IF($H$20&lt;=0," ",H42/$H$20)</f>
        <v>0</v>
      </c>
      <c r="J42" s="33" t="str">
        <f>IF(E42=0,"",(E42-H42)/ABS(H42))</f>
        <v/>
      </c>
      <c r="K42" s="31">
        <f>'VZLA BFS'!K34/'VENEZUELA USD'!$AH$3</f>
        <v>0</v>
      </c>
      <c r="L42" s="33" t="str">
        <f>IF($K$20&lt;=0," ",K42/$K$20)</f>
        <v xml:space="preserve"> </v>
      </c>
      <c r="M42" s="31">
        <f>'VZLA BFS'!M42/'VENEZUELA USD'!$AH$3</f>
        <v>0</v>
      </c>
      <c r="N42" s="33">
        <f>+M42/$M$20</f>
        <v>0</v>
      </c>
      <c r="O42" s="33" t="str">
        <f>IF(K42=0,"",(M42-K42)/ABS(K42)+1)</f>
        <v/>
      </c>
      <c r="P42" s="62">
        <f>+'VZLA BFS'!P42/'VENEZUELA USD'!$AH$4</f>
        <v>0</v>
      </c>
      <c r="Q42" s="33">
        <f>IF($P$20&lt;=0," ",P42/$P$20)</f>
        <v>0</v>
      </c>
      <c r="R42" s="33" t="str">
        <f>IF(M42=0,"",(M42-P42)/ABS(P42))</f>
        <v/>
      </c>
      <c r="AL42" s="104" t="s">
        <v>14</v>
      </c>
      <c r="AM42" s="105">
        <v>4148043</v>
      </c>
      <c r="AN42" s="106"/>
      <c r="AO42" s="106"/>
      <c r="AP42" s="106"/>
      <c r="AQ42" s="106"/>
      <c r="AT42" s="104" t="s">
        <v>14</v>
      </c>
      <c r="AU42" s="105">
        <v>8.39</v>
      </c>
      <c r="AV42" s="106"/>
      <c r="AW42" s="106"/>
      <c r="AX42" s="106"/>
      <c r="AY42" s="106"/>
    </row>
    <row r="43" spans="2:51" ht="15" x14ac:dyDescent="0.25">
      <c r="B43" s="3" t="s">
        <v>59</v>
      </c>
      <c r="C43" s="31">
        <f>'VZLA BFS'!C35/'VENEZUELA USD'!$AH$3</f>
        <v>0</v>
      </c>
      <c r="D43" s="33" t="str">
        <f>IF(DD44&lt;=0," ",C43/$C$20)</f>
        <v xml:space="preserve"> </v>
      </c>
      <c r="E43" s="31">
        <f>'VZLA BFS'!E43/'VENEZUELA USD'!$AH$3</f>
        <v>2107.4768756423432</v>
      </c>
      <c r="F43" s="33">
        <f>+E43/$E$20</f>
        <v>0.32492592181780727</v>
      </c>
      <c r="G43" s="33" t="str">
        <f>IF(C43=0,"",(E43-C43)/ABS(C43)+1)</f>
        <v/>
      </c>
      <c r="H43" s="62">
        <f>+'VZLA BFS'!H43/'VENEZUELA USD'!$AH$4</f>
        <v>6231.5655560363484</v>
      </c>
      <c r="I43" s="33">
        <f>IF($H$20&lt;=0," ",H43/$H$20)</f>
        <v>0.64600234031579284</v>
      </c>
      <c r="J43" s="33">
        <f>IF(E43=0,"",(E43-H43)/ABS(H43))</f>
        <v>-0.6618061935333589</v>
      </c>
      <c r="K43" s="31">
        <f>'VZLA BFS'!K35/'VENEZUELA USD'!$AH$3</f>
        <v>0</v>
      </c>
      <c r="L43" s="33" t="str">
        <f>IF($K$20&lt;=0," ",K43/$K$20)</f>
        <v xml:space="preserve"> </v>
      </c>
      <c r="M43" s="31">
        <f>'VZLA BFS'!M43/'VENEZUELA USD'!$AH$3</f>
        <v>2189.4655704008219</v>
      </c>
      <c r="N43" s="33">
        <f>+M43/$M$20</f>
        <v>0.1854764459670942</v>
      </c>
      <c r="O43" s="33" t="str">
        <f>IF(K43=0,"",(M43-K43)/ABS(K43)+1)</f>
        <v/>
      </c>
      <c r="P43" s="62">
        <f>+'VZLA BFS'!P43/'VENEZUELA USD'!$AH$4</f>
        <v>9810.7953266984005</v>
      </c>
      <c r="Q43" s="33">
        <f>IF($P$20&lt;=0," ",P43/$P$20)</f>
        <v>0.64602952700898164</v>
      </c>
      <c r="R43" s="33">
        <f>IF(M43=0,"",(M43-P43)/ABS(P43))</f>
        <v>-0.77683098082348467</v>
      </c>
      <c r="AL43" s="104" t="s">
        <v>15</v>
      </c>
      <c r="AM43" s="105">
        <v>4549688</v>
      </c>
      <c r="AN43" s="106"/>
      <c r="AO43" s="106"/>
      <c r="AP43" s="106"/>
      <c r="AQ43" s="106"/>
      <c r="AT43" s="104" t="s">
        <v>15</v>
      </c>
      <c r="AU43" s="105">
        <v>8.3699999999999992</v>
      </c>
      <c r="AV43" s="106"/>
      <c r="AW43" s="106"/>
      <c r="AX43" s="106"/>
      <c r="AY43" s="106"/>
    </row>
    <row r="44" spans="2:51" ht="15" x14ac:dyDescent="0.25">
      <c r="E44" s="31">
        <f>'VZLA BFS'!E44/'VENEZUELA USD'!$AH$3</f>
        <v>0</v>
      </c>
      <c r="H44" s="62">
        <f>+'VZLA BFS'!H44/'VENEZUELA USD'!$AH$4</f>
        <v>0</v>
      </c>
      <c r="M44" s="31">
        <f>'VZLA BFS'!M44/'VENEZUELA USD'!$AH$3</f>
        <v>0</v>
      </c>
      <c r="P44" s="62">
        <f>+'VZLA BFS'!P44/'VENEZUELA USD'!$AH$4</f>
        <v>0</v>
      </c>
      <c r="AL44" s="104" t="s">
        <v>16</v>
      </c>
      <c r="AM44" s="105">
        <v>4.5599999999999996</v>
      </c>
      <c r="AN44" s="106"/>
      <c r="AO44" s="106"/>
      <c r="AP44" s="106"/>
      <c r="AQ44" s="106"/>
      <c r="AT44" s="104" t="s">
        <v>16</v>
      </c>
      <c r="AU44" s="105">
        <v>9.0500000000000007</v>
      </c>
      <c r="AV44" s="106"/>
      <c r="AW44" s="106"/>
      <c r="AX44" s="106"/>
      <c r="AY44" s="106"/>
    </row>
    <row r="45" spans="2:51" ht="23.25" x14ac:dyDescent="0.25">
      <c r="B45" s="3" t="s">
        <v>60</v>
      </c>
      <c r="C45" s="31">
        <f>'VZLA BFS'!C36/'VENEZUELA USD'!$AH$3</f>
        <v>0</v>
      </c>
      <c r="D45" s="33" t="str">
        <f>IF(DD45&lt;=0," ",C45/$C$20)</f>
        <v xml:space="preserve"> </v>
      </c>
      <c r="E45" s="31">
        <f>'VZLA BFS'!E45/'VENEZUELA USD'!$AH$3</f>
        <v>2107.4768756423432</v>
      </c>
      <c r="F45" s="33">
        <f>+E45/$E$20</f>
        <v>0.32492592181780727</v>
      </c>
      <c r="G45" s="33" t="str">
        <f>IF(C45=0,"",(E45-C45)/ABS(C45)+1)</f>
        <v/>
      </c>
      <c r="H45" s="62">
        <f>+'VZLA BFS'!H45/'VENEZUELA USD'!$AH$4</f>
        <v>6231.5655560363484</v>
      </c>
      <c r="I45" s="33">
        <f>IF($H$20&lt;=0," ",H45/$H$20)</f>
        <v>0.64600234031579284</v>
      </c>
      <c r="J45" s="33">
        <f>IF(E45=0,"",(E45-H45)/ABS(H45))</f>
        <v>-0.6618061935333589</v>
      </c>
      <c r="K45" s="31">
        <f>'VZLA BFS'!K36/'VENEZUELA USD'!$AH$3</f>
        <v>0</v>
      </c>
      <c r="L45" s="33" t="str">
        <f>IF($K$20&lt;=0," ",K45/$K$20)</f>
        <v xml:space="preserve"> </v>
      </c>
      <c r="M45" s="31">
        <f>'VZLA BFS'!M45/'VENEZUELA USD'!$AH$3</f>
        <v>2213.0010277492293</v>
      </c>
      <c r="N45" s="33">
        <f>+M45/$M$20</f>
        <v>0.1874702078431458</v>
      </c>
      <c r="O45" s="33" t="str">
        <f>IF(K45=0,"",(M45-K45)/ABS(K45)+1)</f>
        <v/>
      </c>
      <c r="P45" s="62">
        <f>+'VZLA BFS'!P45/'VENEZUELA USD'!$AH$4</f>
        <v>9810.7953266984005</v>
      </c>
      <c r="Q45" s="33">
        <f>IF($P$20&lt;=0," ",P45/$P$20)</f>
        <v>0.64602952700898164</v>
      </c>
      <c r="R45" s="33">
        <f>IF(M45=0,"",(M45-P45)/ABS(P45))</f>
        <v>-0.77443204612301664</v>
      </c>
      <c r="AL45" s="104" t="s">
        <v>17</v>
      </c>
      <c r="AM45" s="105">
        <v>4.99</v>
      </c>
      <c r="AN45" s="106"/>
      <c r="AO45" s="106"/>
      <c r="AP45" s="107" t="s">
        <v>118</v>
      </c>
      <c r="AQ45" s="106" t="s">
        <v>119</v>
      </c>
      <c r="AT45" s="104" t="s">
        <v>17</v>
      </c>
      <c r="AU45" s="105">
        <v>13.1</v>
      </c>
      <c r="AV45" s="106"/>
      <c r="AW45" s="106"/>
      <c r="AX45" s="107" t="s">
        <v>118</v>
      </c>
      <c r="AY45" s="106" t="s">
        <v>119</v>
      </c>
    </row>
    <row r="46" spans="2:51" ht="15" x14ac:dyDescent="0.25">
      <c r="B46" s="3" t="s">
        <v>35</v>
      </c>
      <c r="C46" s="31">
        <f>'VZLA BFS'!C37/'VENEZUELA USD'!$AH$3</f>
        <v>0</v>
      </c>
      <c r="D46" s="33" t="str">
        <f>IF(DD46&lt;=0," ",C46/$C$20)</f>
        <v xml:space="preserve"> </v>
      </c>
      <c r="E46" s="31">
        <f>'VZLA BFS'!E46/'VENEZUELA USD'!$AH$3</f>
        <v>1559.737923946557</v>
      </c>
      <c r="F46" s="33">
        <f>+E46/$E$20</f>
        <v>0.24047679411811312</v>
      </c>
      <c r="G46" s="33" t="str">
        <f>IF(C46=0,"",(E46-C46)/ABS(C46)+1)</f>
        <v/>
      </c>
      <c r="H46" s="62">
        <f>+'VZLA BFS'!H46/'VENEZUELA USD'!$AH$4</f>
        <v>2262.2674167027262</v>
      </c>
      <c r="I46" s="33">
        <f>IF($H$20&lt;=0," ",H46/$H$20)</f>
        <v>0.23452052818323904</v>
      </c>
      <c r="J46" s="33">
        <f>IF(E46=0,"",(E46-H46)/ABS(H46))</f>
        <v>-0.31054219654549586</v>
      </c>
      <c r="K46" s="31">
        <f>'VZLA BFS'!K37/'VENEZUELA USD'!$AH$3</f>
        <v>0</v>
      </c>
      <c r="L46" s="33" t="str">
        <f>IF($K$20&lt;=0," ",K46/$K$20)</f>
        <v xml:space="preserve"> </v>
      </c>
      <c r="M46" s="31">
        <f>'VZLA BFS'!M46/'VENEZUELA USD'!$AH$3</f>
        <v>4144.5529290853028</v>
      </c>
      <c r="N46" s="33">
        <f>+M46/$M$20</f>
        <v>0.35109798381918583</v>
      </c>
      <c r="O46" s="33" t="str">
        <f>IF(K46=0,"",(M46-K46)/ABS(K46)+1)</f>
        <v/>
      </c>
      <c r="P46" s="62">
        <f>+'VZLA BFS'!P46/'VENEZUELA USD'!$AH$4</f>
        <v>2262.2674167027262</v>
      </c>
      <c r="Q46" s="33">
        <f>IF($P$20&lt;=0," ",P46/$P$20)</f>
        <v>0.14896769329221393</v>
      </c>
      <c r="R46" s="33">
        <f>IF(M46=0,"",(M46-P46)/ABS(P46))</f>
        <v>0.8320349303028125</v>
      </c>
      <c r="AL46" s="104" t="s">
        <v>18</v>
      </c>
      <c r="AM46" s="105">
        <v>4.6900000000000004</v>
      </c>
      <c r="AN46" s="108">
        <f>1/AM46</f>
        <v>0.21321961620469082</v>
      </c>
      <c r="AO46" s="106" t="s">
        <v>120</v>
      </c>
      <c r="AP46" s="106">
        <v>11272</v>
      </c>
      <c r="AQ46" s="109">
        <f>+AP46*AN46</f>
        <v>2403.4115138592751</v>
      </c>
      <c r="AT46" s="104" t="s">
        <v>18</v>
      </c>
      <c r="AU46" s="105">
        <v>18.600000000000001</v>
      </c>
      <c r="AV46" s="108">
        <f>1/AU46</f>
        <v>5.3763440860215048E-2</v>
      </c>
      <c r="AW46" s="106" t="s">
        <v>120</v>
      </c>
      <c r="AX46" s="110">
        <v>11272</v>
      </c>
      <c r="AY46" s="109">
        <f>+AX46*AV46</f>
        <v>606.02150537634407</v>
      </c>
    </row>
    <row r="47" spans="2:51" ht="15" x14ac:dyDescent="0.25">
      <c r="E47" s="52"/>
      <c r="M47" s="52"/>
      <c r="P47" s="62">
        <f>+'VZLA BFS'!P47/'VENEZUELA USD'!$AH$4</f>
        <v>0</v>
      </c>
      <c r="AL47" s="106" t="s">
        <v>121</v>
      </c>
      <c r="AM47" s="111">
        <f>AVERAGE(AM35:AM46)</f>
        <v>2329383.6866666665</v>
      </c>
      <c r="AN47" s="108">
        <f>1/AM47</f>
        <v>4.2929810392507461E-7</v>
      </c>
      <c r="AO47" s="106" t="s">
        <v>122</v>
      </c>
      <c r="AP47" s="112">
        <v>11272</v>
      </c>
      <c r="AQ47" s="113">
        <f>+AP47*AN47</f>
        <v>4.8390482274434411E-3</v>
      </c>
      <c r="AT47" s="106" t="s">
        <v>121</v>
      </c>
      <c r="AU47" s="111">
        <f>AVERAGE(AU35:AU46)</f>
        <v>7.725833333333334</v>
      </c>
      <c r="AV47" s="108">
        <f>1/AU47</f>
        <v>0.12943587531010678</v>
      </c>
      <c r="AW47" s="106" t="s">
        <v>122</v>
      </c>
      <c r="AX47" s="112">
        <v>11272</v>
      </c>
      <c r="AY47" s="113">
        <f>+AX47*AV47</f>
        <v>1459.0011864955236</v>
      </c>
    </row>
    <row r="51" spans="38:43" x14ac:dyDescent="0.2">
      <c r="AL51" s="78" t="s">
        <v>123</v>
      </c>
    </row>
    <row r="52" spans="38:43" ht="15" x14ac:dyDescent="0.25">
      <c r="AL52" s="104" t="s">
        <v>6</v>
      </c>
      <c r="AM52" s="105">
        <v>23.11</v>
      </c>
      <c r="AN52" s="106"/>
      <c r="AO52" s="106"/>
      <c r="AP52" s="106"/>
      <c r="AQ52" s="106"/>
    </row>
    <row r="53" spans="38:43" ht="15" x14ac:dyDescent="0.25">
      <c r="AL53" s="104" t="s">
        <v>7</v>
      </c>
      <c r="AM53" s="105">
        <v>25.1</v>
      </c>
      <c r="AN53" s="106"/>
      <c r="AO53" s="106"/>
      <c r="AP53" s="106"/>
      <c r="AQ53" s="106"/>
    </row>
    <row r="54" spans="38:43" ht="15" x14ac:dyDescent="0.25">
      <c r="AL54" s="104" t="s">
        <v>9</v>
      </c>
      <c r="AM54" s="105">
        <v>24.95</v>
      </c>
      <c r="AN54" s="106"/>
      <c r="AO54" s="106"/>
      <c r="AP54" s="106"/>
      <c r="AQ54" s="106"/>
    </row>
    <row r="55" spans="38:43" ht="15" x14ac:dyDescent="0.25">
      <c r="AL55" s="104" t="s">
        <v>10</v>
      </c>
      <c r="AM55" s="105">
        <v>28.23</v>
      </c>
      <c r="AN55" s="106"/>
      <c r="AO55" s="106"/>
      <c r="AP55" s="106"/>
      <c r="AQ55" s="106"/>
    </row>
    <row r="56" spans="38:43" ht="15" x14ac:dyDescent="0.25">
      <c r="AL56" s="104" t="s">
        <v>11</v>
      </c>
      <c r="AM56" s="105">
        <v>28.23</v>
      </c>
      <c r="AN56" s="106"/>
      <c r="AO56" s="106"/>
      <c r="AP56" s="106"/>
      <c r="AQ56" s="106"/>
    </row>
    <row r="57" spans="38:43" ht="15" x14ac:dyDescent="0.25">
      <c r="AL57" s="104" t="s">
        <v>12</v>
      </c>
      <c r="AM57" s="105">
        <v>28.35</v>
      </c>
      <c r="AN57" s="106"/>
      <c r="AO57" s="106"/>
      <c r="AP57" s="106"/>
      <c r="AQ57" s="106"/>
    </row>
    <row r="58" spans="38:43" ht="15" x14ac:dyDescent="0.25">
      <c r="AL58" s="104" t="s">
        <v>13</v>
      </c>
      <c r="AM58" s="105">
        <v>33.93</v>
      </c>
      <c r="AN58" s="106"/>
      <c r="AO58" s="106"/>
      <c r="AP58" s="106"/>
      <c r="AQ58" s="106"/>
    </row>
    <row r="59" spans="38:43" ht="15" x14ac:dyDescent="0.25">
      <c r="AL59" s="104" t="s">
        <v>14</v>
      </c>
      <c r="AM59" s="105">
        <v>34.659999999999997</v>
      </c>
      <c r="AN59" s="106"/>
      <c r="AO59" s="106"/>
      <c r="AP59" s="106"/>
      <c r="AQ59" s="106"/>
    </row>
    <row r="60" spans="38:43" ht="15" x14ac:dyDescent="0.25">
      <c r="AL60" s="104" t="s">
        <v>15</v>
      </c>
      <c r="AM60" s="105">
        <v>35.74</v>
      </c>
      <c r="AN60" s="106"/>
      <c r="AO60" s="106"/>
      <c r="AP60" s="106"/>
      <c r="AQ60" s="106"/>
    </row>
    <row r="61" spans="38:43" ht="15" x14ac:dyDescent="0.25">
      <c r="AL61" s="104" t="s">
        <v>16</v>
      </c>
      <c r="AM61" s="105">
        <v>37.29</v>
      </c>
      <c r="AN61" s="106"/>
      <c r="AO61" s="106"/>
      <c r="AP61" s="106"/>
      <c r="AQ61" s="106"/>
    </row>
    <row r="62" spans="38:43" ht="23.25" x14ac:dyDescent="0.25">
      <c r="AL62" s="104" t="s">
        <v>17</v>
      </c>
      <c r="AM62" s="105">
        <v>37.950000000000003</v>
      </c>
      <c r="AN62" s="106"/>
      <c r="AO62" s="106"/>
      <c r="AP62" s="107" t="s">
        <v>118</v>
      </c>
      <c r="AQ62" s="106" t="s">
        <v>119</v>
      </c>
    </row>
    <row r="63" spans="38:43" ht="15" x14ac:dyDescent="0.25">
      <c r="AL63" s="104" t="s">
        <v>18</v>
      </c>
      <c r="AM63" s="105">
        <v>39.08</v>
      </c>
      <c r="AN63" s="108">
        <f>1/AM63</f>
        <v>2.5588536335721598E-2</v>
      </c>
      <c r="AO63" s="106" t="s">
        <v>120</v>
      </c>
      <c r="AP63" s="110">
        <v>394358</v>
      </c>
      <c r="AQ63" s="109">
        <f>+AP63*AN63</f>
        <v>10091.044012282498</v>
      </c>
    </row>
    <row r="64" spans="38:43" ht="15" x14ac:dyDescent="0.25">
      <c r="AL64" s="106" t="s">
        <v>121</v>
      </c>
      <c r="AM64" s="111">
        <f>AVERAGE(AM52:AM63)</f>
        <v>31.385000000000002</v>
      </c>
      <c r="AN64" s="108">
        <f>1/AM64</f>
        <v>3.186235462800701E-2</v>
      </c>
      <c r="AO64" s="106" t="s">
        <v>122</v>
      </c>
      <c r="AP64" s="110">
        <v>394358</v>
      </c>
      <c r="AQ64" s="113">
        <f>+AP64*AN64</f>
        <v>12565.174446391589</v>
      </c>
    </row>
    <row r="69" spans="38:43" x14ac:dyDescent="0.2">
      <c r="AL69" s="78" t="s">
        <v>124</v>
      </c>
    </row>
    <row r="70" spans="38:43" ht="15" x14ac:dyDescent="0.25">
      <c r="AL70" s="104" t="s">
        <v>6</v>
      </c>
      <c r="AM70" s="105">
        <v>38.53</v>
      </c>
      <c r="AN70" s="106"/>
      <c r="AO70" s="106"/>
      <c r="AP70" s="106"/>
      <c r="AQ70" s="106"/>
    </row>
    <row r="71" spans="38:43" ht="15" x14ac:dyDescent="0.25">
      <c r="AL71" s="104" t="s">
        <v>7</v>
      </c>
      <c r="AM71" s="105">
        <v>38.92</v>
      </c>
      <c r="AN71" s="106"/>
      <c r="AO71" s="106"/>
      <c r="AP71" s="106"/>
      <c r="AQ71" s="106"/>
    </row>
    <row r="72" spans="38:43" ht="15" x14ac:dyDescent="0.25">
      <c r="AL72" s="104" t="s">
        <v>9</v>
      </c>
      <c r="AM72" s="105"/>
      <c r="AN72" s="106"/>
      <c r="AO72" s="106"/>
      <c r="AP72" s="106"/>
      <c r="AQ72" s="106"/>
    </row>
    <row r="73" spans="38:43" ht="15" x14ac:dyDescent="0.25">
      <c r="AL73" s="104" t="s">
        <v>10</v>
      </c>
      <c r="AM73" s="105"/>
      <c r="AN73" s="106"/>
      <c r="AO73" s="106"/>
      <c r="AP73" s="106"/>
      <c r="AQ73" s="106"/>
    </row>
    <row r="74" spans="38:43" ht="15" x14ac:dyDescent="0.25">
      <c r="AL74" s="104" t="s">
        <v>11</v>
      </c>
      <c r="AM74" s="105"/>
      <c r="AN74" s="106"/>
      <c r="AO74" s="106"/>
      <c r="AP74" s="106"/>
      <c r="AQ74" s="106"/>
    </row>
    <row r="75" spans="38:43" ht="15" x14ac:dyDescent="0.25">
      <c r="AL75" s="104" t="s">
        <v>12</v>
      </c>
      <c r="AM75" s="105"/>
      <c r="AN75" s="106"/>
      <c r="AO75" s="106"/>
      <c r="AP75" s="106"/>
      <c r="AQ75" s="106"/>
    </row>
    <row r="76" spans="38:43" ht="15" x14ac:dyDescent="0.25">
      <c r="AL76" s="104" t="s">
        <v>13</v>
      </c>
      <c r="AM76" s="105"/>
      <c r="AN76" s="106"/>
      <c r="AO76" s="106"/>
      <c r="AP76" s="106"/>
      <c r="AQ76" s="106"/>
    </row>
    <row r="77" spans="38:43" ht="15" x14ac:dyDescent="0.25">
      <c r="AL77" s="104" t="s">
        <v>14</v>
      </c>
      <c r="AM77" s="105"/>
      <c r="AN77" s="106"/>
      <c r="AO77" s="106"/>
      <c r="AP77" s="106"/>
      <c r="AQ77" s="106"/>
    </row>
    <row r="78" spans="38:43" ht="15" x14ac:dyDescent="0.25">
      <c r="AL78" s="104" t="s">
        <v>15</v>
      </c>
      <c r="AM78" s="105"/>
      <c r="AN78" s="106"/>
      <c r="AO78" s="106"/>
      <c r="AP78" s="106"/>
      <c r="AQ78" s="106"/>
    </row>
    <row r="79" spans="38:43" ht="15" x14ac:dyDescent="0.25">
      <c r="AL79" s="104" t="s">
        <v>16</v>
      </c>
      <c r="AM79" s="105"/>
      <c r="AN79" s="106"/>
      <c r="AO79" s="106"/>
      <c r="AP79" s="106"/>
      <c r="AQ79" s="106"/>
    </row>
    <row r="80" spans="38:43" ht="23.25" x14ac:dyDescent="0.25">
      <c r="AL80" s="104" t="s">
        <v>17</v>
      </c>
      <c r="AM80" s="105"/>
      <c r="AN80" s="106"/>
      <c r="AO80" s="106"/>
      <c r="AP80" s="107" t="s">
        <v>118</v>
      </c>
      <c r="AQ80" s="106" t="s">
        <v>119</v>
      </c>
    </row>
    <row r="81" spans="38:43" ht="15" x14ac:dyDescent="0.25">
      <c r="AL81" s="104" t="s">
        <v>18</v>
      </c>
      <c r="AM81" s="105"/>
      <c r="AN81" s="108" t="e">
        <f>1/AM81</f>
        <v>#DIV/0!</v>
      </c>
      <c r="AO81" s="106" t="s">
        <v>120</v>
      </c>
      <c r="AP81" s="110"/>
      <c r="AQ81" s="109" t="e">
        <f>+AP81*AN81</f>
        <v>#DIV/0!</v>
      </c>
    </row>
    <row r="82" spans="38:43" ht="15" x14ac:dyDescent="0.25">
      <c r="AL82" s="106" t="s">
        <v>121</v>
      </c>
      <c r="AM82" s="111">
        <f>AVERAGE(AM70:AM81)</f>
        <v>38.725000000000001</v>
      </c>
      <c r="AN82" s="108">
        <f>1/AM82</f>
        <v>2.5823111684958037E-2</v>
      </c>
      <c r="AO82" s="106" t="s">
        <v>122</v>
      </c>
      <c r="AP82" s="110"/>
      <c r="AQ82" s="113">
        <f>+AP82*AN82</f>
        <v>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19B3E-E89B-4FC5-859A-32A57E6AFD23}">
  <sheetPr>
    <tabColor theme="2" tint="-0.249977111117893"/>
  </sheetPr>
  <dimension ref="A1:AH48"/>
  <sheetViews>
    <sheetView showGridLines="0" topLeftCell="AJ1" zoomScale="93" zoomScaleNormal="93" workbookViewId="0">
      <selection activeCell="AP1" sqref="AP1"/>
    </sheetView>
  </sheetViews>
  <sheetFormatPr baseColWidth="10" defaultRowHeight="14.25" customHeight="1" x14ac:dyDescent="0.2"/>
  <cols>
    <col min="1" max="1" width="5.85546875" style="2" customWidth="1"/>
    <col min="2" max="2" width="25.7109375" style="2" customWidth="1"/>
    <col min="3" max="3" width="11.140625" style="2" customWidth="1"/>
    <col min="4" max="4" width="7.5703125" style="2" customWidth="1"/>
    <col min="5" max="5" width="10.85546875" style="2" customWidth="1"/>
    <col min="6" max="7" width="5.85546875" style="2" customWidth="1"/>
    <col min="8" max="8" width="10" style="2" customWidth="1"/>
    <col min="9" max="9" width="7.85546875" style="2" customWidth="1"/>
    <col min="10" max="10" width="6.5703125" style="2" customWidth="1"/>
    <col min="11" max="11" width="10.42578125" style="2" customWidth="1"/>
    <col min="12" max="12" width="7.28515625" style="2" customWidth="1"/>
    <col min="13" max="13" width="9.28515625" style="2" customWidth="1"/>
    <col min="14" max="14" width="5.7109375" style="2" bestFit="1" customWidth="1"/>
    <col min="15" max="15" width="7.85546875" style="2" customWidth="1"/>
    <col min="16" max="16" width="9.42578125" style="2" customWidth="1"/>
    <col min="17" max="17" width="8.28515625" style="2" customWidth="1"/>
    <col min="18" max="18" width="6.85546875" style="2" customWidth="1"/>
    <col min="19" max="19" width="8.7109375" style="2" customWidth="1"/>
    <col min="20" max="20" width="28" style="2" customWidth="1"/>
    <col min="21" max="26" width="9.7109375" style="2" customWidth="1"/>
    <col min="27" max="27" width="6.5703125" style="2" customWidth="1"/>
    <col min="28" max="28" width="9.28515625" style="2" bestFit="1" customWidth="1"/>
    <col min="29" max="29" width="6.42578125" style="2" customWidth="1"/>
    <col min="30" max="16384" width="11.42578125" style="2"/>
  </cols>
  <sheetData>
    <row r="1" spans="1:34" s="53" customFormat="1" ht="14.25" customHeight="1" x14ac:dyDescent="0.2"/>
    <row r="3" spans="1:34" ht="14.25" customHeight="1" x14ac:dyDescent="0.25">
      <c r="B3" s="15" t="s">
        <v>125</v>
      </c>
      <c r="T3" s="17" t="s">
        <v>125</v>
      </c>
    </row>
    <row r="4" spans="1:34" ht="14.25" customHeight="1" x14ac:dyDescent="0.2">
      <c r="A4" s="77" t="str">
        <f>+Paramet!A3</f>
        <v>202301</v>
      </c>
      <c r="B4" s="2" t="s">
        <v>20</v>
      </c>
      <c r="K4" s="114"/>
      <c r="L4" s="114"/>
      <c r="M4" s="114"/>
      <c r="N4" s="114"/>
      <c r="O4" s="114"/>
      <c r="P4" s="114"/>
      <c r="Q4" s="114"/>
      <c r="R4" s="114"/>
      <c r="S4" s="114"/>
      <c r="T4" s="3" t="s">
        <v>21</v>
      </c>
    </row>
    <row r="5" spans="1:34" ht="14.25" customHeight="1" x14ac:dyDescent="0.2">
      <c r="A5" s="77" t="str">
        <f>+Paramet!A4</f>
        <v>202302</v>
      </c>
      <c r="B5" s="3" t="s">
        <v>126</v>
      </c>
      <c r="K5" s="12"/>
      <c r="L5" s="12"/>
      <c r="M5" s="22"/>
      <c r="N5" s="22"/>
      <c r="O5" s="9"/>
      <c r="P5" s="12"/>
      <c r="Q5" s="12"/>
      <c r="R5" s="9"/>
      <c r="S5" s="9"/>
      <c r="T5" s="3" t="s">
        <v>126</v>
      </c>
    </row>
    <row r="6" spans="1:34" ht="14.25" customHeight="1" thickBot="1" x14ac:dyDescent="0.25">
      <c r="A6" s="77" t="str">
        <f>+Paramet!B3</f>
        <v>202401</v>
      </c>
      <c r="B6" s="19" t="str">
        <f>+'COLOMB$ '!B6</f>
        <v>FEBRERO de 2024</v>
      </c>
      <c r="K6" s="20" t="s">
        <v>23</v>
      </c>
      <c r="L6" s="20"/>
      <c r="M6" s="20"/>
      <c r="N6" s="20"/>
      <c r="O6" s="20"/>
      <c r="P6" s="20"/>
      <c r="Q6" s="20"/>
      <c r="R6" s="20"/>
      <c r="S6" s="14"/>
      <c r="T6" s="19" t="str">
        <f>+B6</f>
        <v>FEBRERO de 2024</v>
      </c>
      <c r="X6" s="20" t="s">
        <v>23</v>
      </c>
      <c r="Y6" s="20"/>
      <c r="Z6" s="20"/>
      <c r="AA6" s="20"/>
      <c r="AB6" s="20"/>
      <c r="AC6" s="20"/>
    </row>
    <row r="7" spans="1:34" ht="14.25" customHeight="1" x14ac:dyDescent="0.2">
      <c r="A7" s="77" t="str">
        <f>+Paramet!B4</f>
        <v>202402</v>
      </c>
      <c r="B7" s="60"/>
      <c r="C7" s="60" t="str">
        <f>+'COLOMB$ '!D7:D7</f>
        <v>Ppto 2024</v>
      </c>
      <c r="D7" s="60"/>
      <c r="E7" s="60" t="str">
        <f>+'COLOMB$ '!F7:F7</f>
        <v>Real 2024</v>
      </c>
      <c r="F7" s="60"/>
      <c r="G7" s="60" t="s">
        <v>24</v>
      </c>
      <c r="H7" s="60" t="str">
        <f>+'COLOMB$ '!I7:I7</f>
        <v>Real 2023</v>
      </c>
      <c r="I7" s="60"/>
      <c r="J7" s="60" t="s">
        <v>25</v>
      </c>
      <c r="K7" s="60" t="str">
        <f>+C7</f>
        <v>Ppto 2024</v>
      </c>
      <c r="L7" s="60"/>
      <c r="M7" s="60" t="str">
        <f>+E7</f>
        <v>Real 2024</v>
      </c>
      <c r="N7" s="60"/>
      <c r="O7" s="60" t="s">
        <v>24</v>
      </c>
      <c r="P7" s="60" t="str">
        <f>+H7</f>
        <v>Real 2023</v>
      </c>
      <c r="Q7" s="60"/>
      <c r="R7" s="60" t="s">
        <v>25</v>
      </c>
      <c r="T7" s="53"/>
      <c r="U7" s="53" t="str">
        <f>+C7</f>
        <v>Ppto 2024</v>
      </c>
      <c r="V7" s="53" t="str">
        <f>+M7</f>
        <v>Real 2024</v>
      </c>
      <c r="W7" s="53" t="str">
        <f>+H7</f>
        <v>Real 2023</v>
      </c>
      <c r="X7" s="115" t="str">
        <f>+K7</f>
        <v>Ppto 2024</v>
      </c>
      <c r="Y7" s="53" t="str">
        <f>+V7</f>
        <v>Real 2024</v>
      </c>
      <c r="Z7" s="53" t="s">
        <v>26</v>
      </c>
      <c r="AA7" s="53" t="s">
        <v>24</v>
      </c>
      <c r="AB7" s="53" t="str">
        <f>+W7</f>
        <v>Real 2023</v>
      </c>
      <c r="AC7" s="53" t="s">
        <v>25</v>
      </c>
    </row>
    <row r="8" spans="1:34" ht="14.25" customHeight="1" thickBot="1" x14ac:dyDescent="0.25">
      <c r="B8" s="25" t="s">
        <v>27</v>
      </c>
      <c r="C8" s="26" t="s">
        <v>28</v>
      </c>
      <c r="D8" s="26" t="s">
        <v>29</v>
      </c>
      <c r="E8" s="26" t="s">
        <v>28</v>
      </c>
      <c r="F8" s="26" t="s">
        <v>29</v>
      </c>
      <c r="G8" s="26" t="s">
        <v>30</v>
      </c>
      <c r="H8" s="26" t="s">
        <v>28</v>
      </c>
      <c r="I8" s="26" t="s">
        <v>29</v>
      </c>
      <c r="J8" s="26" t="s">
        <v>30</v>
      </c>
      <c r="K8" s="26" t="s">
        <v>28</v>
      </c>
      <c r="L8" s="26" t="s">
        <v>29</v>
      </c>
      <c r="M8" s="26" t="s">
        <v>28</v>
      </c>
      <c r="N8" s="26" t="s">
        <v>29</v>
      </c>
      <c r="O8" s="26" t="s">
        <v>30</v>
      </c>
      <c r="P8" s="26" t="s">
        <v>28</v>
      </c>
      <c r="Q8" s="26" t="s">
        <v>29</v>
      </c>
      <c r="R8" s="26" t="s">
        <v>30</v>
      </c>
      <c r="T8" s="28"/>
      <c r="U8" s="29"/>
      <c r="V8" s="29"/>
      <c r="W8" s="29"/>
      <c r="X8" s="29"/>
      <c r="Y8" s="29"/>
      <c r="Z8" s="29"/>
      <c r="AA8" s="29" t="s">
        <v>30</v>
      </c>
      <c r="AB8" s="29"/>
      <c r="AC8" s="29" t="s">
        <v>30</v>
      </c>
    </row>
    <row r="9" spans="1:34" ht="14.25" customHeight="1" x14ac:dyDescent="0.2">
      <c r="T9" s="3"/>
    </row>
    <row r="10" spans="1:34" ht="14.25" customHeight="1" x14ac:dyDescent="0.2">
      <c r="B10" s="3" t="s">
        <v>65</v>
      </c>
      <c r="C10" s="31">
        <f>+E10</f>
        <v>0</v>
      </c>
      <c r="D10" s="33" t="str">
        <f>IF($C$20&lt;=0," ",C10/$C$20)</f>
        <v xml:space="preserve"> </v>
      </c>
      <c r="E10" s="31">
        <v>0</v>
      </c>
      <c r="F10" s="33" t="str">
        <f>IF($E$20&lt;=0," ",E10/$E$20)</f>
        <v xml:space="preserve"> </v>
      </c>
      <c r="G10" s="33" t="str">
        <f>IF(C10=0,"",(E10-C10)/ABS(C10)+1)</f>
        <v/>
      </c>
      <c r="H10" s="31">
        <v>0</v>
      </c>
      <c r="I10" s="33" t="str">
        <f>IF(E10=0,"",(G10-E10)/ABS(E10)+1)</f>
        <v/>
      </c>
      <c r="J10" s="33" t="str">
        <f>IF($H$20&lt;=0," ",I10/$H$20)</f>
        <v xml:space="preserve"> </v>
      </c>
      <c r="K10" s="31">
        <f t="shared" ref="K10:K15" si="0">+M10</f>
        <v>0</v>
      </c>
      <c r="L10" s="33" t="str">
        <f>IF($K$20&lt;=0," ",K10/$K$20)</f>
        <v xml:space="preserve"> </v>
      </c>
      <c r="M10" s="31">
        <v>0</v>
      </c>
      <c r="N10" s="33" t="str">
        <f>IF($M$20&lt;=0," ",M10/$M$20)</f>
        <v xml:space="preserve"> </v>
      </c>
      <c r="O10" s="33" t="str">
        <f t="shared" ref="O10:O15" si="1">IF(K10=0,"",(M10-K10)/ABS(K10)+1)</f>
        <v/>
      </c>
      <c r="P10" s="31">
        <v>0</v>
      </c>
      <c r="Q10" s="33" t="e">
        <f t="shared" ref="Q10:Q15" si="2">+P10/$P$20</f>
        <v>#DIV/0!</v>
      </c>
      <c r="R10" s="33" t="str">
        <f>IF(P10=0,"",(M10-P10)/ABS(P10))</f>
        <v/>
      </c>
      <c r="T10" s="3" t="s">
        <v>31</v>
      </c>
      <c r="U10" s="31">
        <f>+V10</f>
        <v>0</v>
      </c>
      <c r="V10" s="31">
        <v>0</v>
      </c>
      <c r="W10" s="31">
        <v>8811.7900000000009</v>
      </c>
      <c r="X10" s="31">
        <f>+Y10</f>
        <v>0</v>
      </c>
      <c r="Y10" s="31">
        <v>0</v>
      </c>
      <c r="Z10" s="62">
        <f>+Y10-X10</f>
        <v>0</v>
      </c>
      <c r="AA10" s="67" t="str">
        <f>IF(X10=0,"",(Y10-X10)/ABS(X10)+1)</f>
        <v/>
      </c>
      <c r="AB10" s="31">
        <v>9874.7900000000009</v>
      </c>
      <c r="AC10" s="67">
        <f>IF(W10=0,"",(Y10-AB10)/ABS(AB10))</f>
        <v>-1</v>
      </c>
      <c r="AE10" s="31"/>
      <c r="AF10" s="31"/>
    </row>
    <row r="11" spans="1:34" ht="14.25" customHeight="1" x14ac:dyDescent="0.2">
      <c r="B11" s="3" t="s">
        <v>67</v>
      </c>
      <c r="C11" s="31">
        <v>0</v>
      </c>
      <c r="D11" s="33" t="str">
        <f t="shared" ref="D11:D20" si="3">IF($C$20&lt;=0," ",C11/$C$20)</f>
        <v xml:space="preserve"> </v>
      </c>
      <c r="E11" s="31">
        <v>0</v>
      </c>
      <c r="F11" s="33" t="str">
        <f t="shared" ref="F11:F20" si="4">IF($E$20&lt;=0," ",E11/$E$20)</f>
        <v xml:space="preserve"> </v>
      </c>
      <c r="G11" s="33" t="str">
        <f t="shared" ref="G11:G46" si="5">IF(C11=0,"",(E11-C11)/ABS(C11)+1)</f>
        <v/>
      </c>
      <c r="H11" s="31">
        <v>0</v>
      </c>
      <c r="I11" s="33" t="str">
        <f t="shared" ref="I11:I46" si="6">IF(E11=0,"",(G11-E11)/ABS(E11)+1)</f>
        <v/>
      </c>
      <c r="J11" s="33" t="str">
        <f>IF(H11=0,"",(E11-H11)/ABS(H11))</f>
        <v/>
      </c>
      <c r="K11" s="31">
        <f t="shared" si="0"/>
        <v>0</v>
      </c>
      <c r="L11" s="33" t="str">
        <f t="shared" ref="L11:L20" si="7">IF($K$20&lt;=0," ",K11/$K$20)</f>
        <v xml:space="preserve"> </v>
      </c>
      <c r="M11" s="31">
        <v>0</v>
      </c>
      <c r="N11" s="33" t="str">
        <f t="shared" ref="N11:N24" si="8">IF($M$20&lt;=0," ",M11/$M$20)</f>
        <v xml:space="preserve"> </v>
      </c>
      <c r="O11" s="33" t="str">
        <f t="shared" si="1"/>
        <v/>
      </c>
      <c r="P11" s="31">
        <v>0</v>
      </c>
      <c r="Q11" s="33" t="e">
        <f t="shared" si="2"/>
        <v>#DIV/0!</v>
      </c>
      <c r="R11" s="33" t="str">
        <f t="shared" ref="R11:R46" si="9">IF(P11=0,"",(M11-P11)/ABS(P11))</f>
        <v/>
      </c>
      <c r="T11" s="3" t="s">
        <v>32</v>
      </c>
      <c r="U11" s="31">
        <f>+V11</f>
        <v>0</v>
      </c>
      <c r="V11" s="31">
        <v>0</v>
      </c>
      <c r="W11" s="31">
        <v>0</v>
      </c>
      <c r="X11" s="31">
        <f>+Y11</f>
        <v>0</v>
      </c>
      <c r="Y11" s="31">
        <v>0</v>
      </c>
      <c r="Z11" s="62">
        <f>+Y11-X11</f>
        <v>0</v>
      </c>
      <c r="AA11" s="67" t="str">
        <f>IF(X11=0,"",(Y11-X11)/ABS(X11)+1)</f>
        <v/>
      </c>
      <c r="AB11" s="31">
        <v>47375</v>
      </c>
      <c r="AC11" s="67">
        <f>IF(AB11=0,"",(Y11-AB11)/ABS(AB11))</f>
        <v>-1</v>
      </c>
      <c r="AD11" s="66"/>
      <c r="AE11" s="66"/>
      <c r="AF11" s="66"/>
      <c r="AH11" s="54"/>
    </row>
    <row r="12" spans="1:34" ht="14.25" customHeight="1" x14ac:dyDescent="0.2">
      <c r="B12" s="3" t="s">
        <v>69</v>
      </c>
      <c r="C12" s="31">
        <v>0</v>
      </c>
      <c r="D12" s="33" t="str">
        <f t="shared" si="3"/>
        <v xml:space="preserve"> </v>
      </c>
      <c r="E12" s="31">
        <v>0</v>
      </c>
      <c r="F12" s="33" t="str">
        <f t="shared" si="4"/>
        <v xml:space="preserve"> </v>
      </c>
      <c r="G12" s="33" t="str">
        <f t="shared" si="5"/>
        <v/>
      </c>
      <c r="H12" s="31">
        <v>0</v>
      </c>
      <c r="I12" s="33" t="str">
        <f t="shared" si="6"/>
        <v/>
      </c>
      <c r="J12" s="33" t="str">
        <f>IF(H12=0,"",(E12-H12)/ABS(H12))</f>
        <v/>
      </c>
      <c r="K12" s="31">
        <f t="shared" si="0"/>
        <v>0</v>
      </c>
      <c r="L12" s="33" t="str">
        <f t="shared" si="7"/>
        <v xml:space="preserve"> </v>
      </c>
      <c r="M12" s="31">
        <v>0</v>
      </c>
      <c r="N12" s="33" t="str">
        <f t="shared" si="8"/>
        <v xml:space="preserve"> </v>
      </c>
      <c r="O12" s="33" t="str">
        <f t="shared" si="1"/>
        <v/>
      </c>
      <c r="P12" s="31">
        <v>0</v>
      </c>
      <c r="Q12" s="33" t="e">
        <f t="shared" si="2"/>
        <v>#DIV/0!</v>
      </c>
      <c r="R12" s="33" t="str">
        <f t="shared" si="9"/>
        <v/>
      </c>
      <c r="AE12" s="66"/>
      <c r="AF12" s="66"/>
    </row>
    <row r="13" spans="1:34" ht="14.25" customHeight="1" x14ac:dyDescent="0.2">
      <c r="B13" s="3" t="s">
        <v>71</v>
      </c>
      <c r="C13" s="31">
        <v>0</v>
      </c>
      <c r="D13" s="33" t="str">
        <f t="shared" si="3"/>
        <v xml:space="preserve"> </v>
      </c>
      <c r="E13" s="31">
        <v>0</v>
      </c>
      <c r="F13" s="33" t="str">
        <f t="shared" si="4"/>
        <v xml:space="preserve"> </v>
      </c>
      <c r="G13" s="33" t="str">
        <f t="shared" si="5"/>
        <v/>
      </c>
      <c r="H13" s="31">
        <v>0</v>
      </c>
      <c r="I13" s="33" t="str">
        <f t="shared" si="6"/>
        <v/>
      </c>
      <c r="J13" s="33" t="str">
        <f>IF(H13=0,"",(E13-H13)/ABS(H13))</f>
        <v/>
      </c>
      <c r="K13" s="31">
        <f t="shared" si="0"/>
        <v>0</v>
      </c>
      <c r="L13" s="33" t="str">
        <f t="shared" si="7"/>
        <v xml:space="preserve"> </v>
      </c>
      <c r="M13" s="31">
        <v>0</v>
      </c>
      <c r="N13" s="33" t="str">
        <f t="shared" si="8"/>
        <v xml:space="preserve"> </v>
      </c>
      <c r="O13" s="33" t="str">
        <f t="shared" si="1"/>
        <v/>
      </c>
      <c r="P13" s="31"/>
      <c r="Q13" s="33" t="e">
        <f t="shared" si="2"/>
        <v>#DIV/0!</v>
      </c>
      <c r="R13" s="33" t="str">
        <f t="shared" si="9"/>
        <v/>
      </c>
      <c r="T13" s="3" t="s">
        <v>33</v>
      </c>
      <c r="U13" s="31">
        <v>0</v>
      </c>
      <c r="V13" s="31">
        <v>0</v>
      </c>
      <c r="W13" s="31">
        <v>0</v>
      </c>
      <c r="X13" s="31"/>
      <c r="Y13" s="31"/>
      <c r="Z13" s="62">
        <f>+X13-Y13</f>
        <v>0</v>
      </c>
      <c r="AA13" s="67" t="str">
        <f>IF(X13=0,"",(Y13-X13)/ABS(X13)+1)</f>
        <v/>
      </c>
      <c r="AB13" s="31"/>
      <c r="AC13" s="67" t="str">
        <f>IF(AB13=0,"",(Y13-AB13)/ABS(AB13))</f>
        <v/>
      </c>
      <c r="AE13" s="66"/>
      <c r="AF13" s="66"/>
    </row>
    <row r="14" spans="1:34" ht="14.25" customHeight="1" x14ac:dyDescent="0.2">
      <c r="B14" s="3" t="s">
        <v>72</v>
      </c>
      <c r="C14" s="31">
        <v>0</v>
      </c>
      <c r="D14" s="33" t="str">
        <f t="shared" si="3"/>
        <v xml:space="preserve"> </v>
      </c>
      <c r="E14" s="31">
        <v>0</v>
      </c>
      <c r="F14" s="33" t="str">
        <f t="shared" si="4"/>
        <v xml:space="preserve"> </v>
      </c>
      <c r="G14" s="33" t="str">
        <f t="shared" si="5"/>
        <v/>
      </c>
      <c r="H14" s="31">
        <v>0</v>
      </c>
      <c r="I14" s="33" t="str">
        <f t="shared" si="6"/>
        <v/>
      </c>
      <c r="J14" s="33" t="str">
        <f>IF(H14=0,"",(E14-H14)/ABS(H14))</f>
        <v/>
      </c>
      <c r="K14" s="31">
        <f t="shared" si="0"/>
        <v>0</v>
      </c>
      <c r="L14" s="33" t="str">
        <f t="shared" si="7"/>
        <v xml:space="preserve"> </v>
      </c>
      <c r="M14" s="31">
        <v>0</v>
      </c>
      <c r="N14" s="33" t="str">
        <f t="shared" si="8"/>
        <v xml:space="preserve"> </v>
      </c>
      <c r="O14" s="33" t="str">
        <f t="shared" si="1"/>
        <v/>
      </c>
      <c r="P14" s="31">
        <v>0</v>
      </c>
      <c r="Q14" s="33" t="e">
        <f t="shared" si="2"/>
        <v>#DIV/0!</v>
      </c>
      <c r="R14" s="33" t="str">
        <f t="shared" si="9"/>
        <v/>
      </c>
      <c r="T14" s="3" t="s">
        <v>34</v>
      </c>
      <c r="U14" s="31">
        <v>0</v>
      </c>
      <c r="V14" s="31">
        <v>0</v>
      </c>
      <c r="W14" s="31">
        <v>0</v>
      </c>
      <c r="X14" s="31"/>
      <c r="Y14" s="31"/>
      <c r="Z14" s="62">
        <f>+X14-Y14</f>
        <v>0</v>
      </c>
      <c r="AA14" s="67" t="str">
        <f>IF(X14=0,"",(Y14-X14)/ABS(X14)+1)</f>
        <v/>
      </c>
      <c r="AB14" s="31"/>
      <c r="AC14" s="67" t="str">
        <f>IF(AB14=0,"",(Y14-AB14)/ABS(AB14))</f>
        <v/>
      </c>
      <c r="AE14" s="66"/>
      <c r="AF14" s="66"/>
    </row>
    <row r="15" spans="1:34" ht="14.25" customHeight="1" x14ac:dyDescent="0.2">
      <c r="B15" s="3" t="s">
        <v>74</v>
      </c>
      <c r="C15" s="31">
        <v>0</v>
      </c>
      <c r="D15" s="33" t="str">
        <f t="shared" si="3"/>
        <v xml:space="preserve"> </v>
      </c>
      <c r="E15" s="31">
        <v>0</v>
      </c>
      <c r="F15" s="33" t="str">
        <f t="shared" si="4"/>
        <v xml:space="preserve"> </v>
      </c>
      <c r="G15" s="33" t="str">
        <f t="shared" si="5"/>
        <v/>
      </c>
      <c r="H15" s="31">
        <v>0</v>
      </c>
      <c r="I15" s="33" t="str">
        <f t="shared" si="6"/>
        <v/>
      </c>
      <c r="J15" s="33" t="str">
        <f>IF(H15=0,"",(E15-H15)/ABS(H15))</f>
        <v/>
      </c>
      <c r="K15" s="31">
        <f t="shared" si="0"/>
        <v>0</v>
      </c>
      <c r="L15" s="33" t="str">
        <f t="shared" si="7"/>
        <v xml:space="preserve"> </v>
      </c>
      <c r="M15" s="31">
        <v>0</v>
      </c>
      <c r="N15" s="33" t="str">
        <f t="shared" si="8"/>
        <v xml:space="preserve"> </v>
      </c>
      <c r="O15" s="33" t="str">
        <f t="shared" si="1"/>
        <v/>
      </c>
      <c r="P15" s="31">
        <v>0</v>
      </c>
      <c r="Q15" s="33" t="e">
        <f t="shared" si="2"/>
        <v>#DIV/0!</v>
      </c>
      <c r="R15" s="33" t="str">
        <f t="shared" si="9"/>
        <v/>
      </c>
      <c r="T15" s="3" t="s">
        <v>35</v>
      </c>
      <c r="U15" s="31"/>
      <c r="V15" s="31">
        <v>0</v>
      </c>
      <c r="W15" s="31">
        <v>0</v>
      </c>
      <c r="X15" s="31"/>
      <c r="Y15" s="31"/>
      <c r="Z15" s="62">
        <f>+X15-Y15</f>
        <v>0</v>
      </c>
      <c r="AA15" s="67" t="str">
        <f>IF(X15=0,"",(Y15-X15)/ABS(X15)+1)</f>
        <v/>
      </c>
      <c r="AB15" s="31"/>
      <c r="AC15" s="67" t="str">
        <f>IF(AB15=0,"",(Y15-AB15)/ABS(AB15))</f>
        <v/>
      </c>
      <c r="AE15" s="66"/>
      <c r="AF15" s="66"/>
    </row>
    <row r="16" spans="1:34" ht="14.25" customHeight="1" x14ac:dyDescent="0.2">
      <c r="B16" s="3" t="s">
        <v>75</v>
      </c>
      <c r="C16" s="31"/>
      <c r="D16" s="33" t="str">
        <f t="shared" si="3"/>
        <v xml:space="preserve"> </v>
      </c>
      <c r="E16" s="31"/>
      <c r="F16" s="33" t="str">
        <f t="shared" si="4"/>
        <v xml:space="preserve"> </v>
      </c>
      <c r="G16" s="33" t="str">
        <f t="shared" si="5"/>
        <v/>
      </c>
      <c r="H16" s="31"/>
      <c r="I16" s="33" t="str">
        <f t="shared" si="6"/>
        <v/>
      </c>
      <c r="J16" s="33"/>
      <c r="K16" s="31"/>
      <c r="L16" s="33" t="str">
        <f t="shared" si="7"/>
        <v xml:space="preserve"> </v>
      </c>
      <c r="M16" s="31"/>
      <c r="N16" s="33" t="str">
        <f t="shared" si="8"/>
        <v xml:space="preserve"> </v>
      </c>
      <c r="O16" s="33"/>
      <c r="P16" s="31"/>
      <c r="Q16" s="33"/>
      <c r="R16" s="33" t="str">
        <f t="shared" si="9"/>
        <v/>
      </c>
      <c r="T16" s="3" t="s">
        <v>36</v>
      </c>
      <c r="U16" s="31">
        <f>+V16</f>
        <v>0</v>
      </c>
      <c r="V16" s="31">
        <v>0</v>
      </c>
      <c r="W16" s="31">
        <v>1934</v>
      </c>
      <c r="X16" s="31">
        <f>+Y16</f>
        <v>0</v>
      </c>
      <c r="Y16" s="31">
        <v>0</v>
      </c>
      <c r="Z16" s="62">
        <f>+X16-Y16</f>
        <v>0</v>
      </c>
      <c r="AA16" s="67" t="str">
        <f>IF(X16=0,"",(Y16-X16)/ABS(X16)+1)</f>
        <v/>
      </c>
      <c r="AB16" s="31">
        <v>4372</v>
      </c>
      <c r="AC16" s="67">
        <f>IF(AB16=0,"",(Y16-AB16)/ABS(AB16))</f>
        <v>-1</v>
      </c>
      <c r="AE16" s="66"/>
      <c r="AF16" s="66"/>
    </row>
    <row r="17" spans="1:32" ht="14.25" customHeight="1" x14ac:dyDescent="0.2">
      <c r="B17" s="3" t="s">
        <v>76</v>
      </c>
      <c r="C17" s="31"/>
      <c r="D17" s="33" t="str">
        <f t="shared" si="3"/>
        <v xml:space="preserve"> </v>
      </c>
      <c r="E17" s="31"/>
      <c r="F17" s="33" t="str">
        <f t="shared" si="4"/>
        <v xml:space="preserve"> </v>
      </c>
      <c r="G17" s="33" t="str">
        <f t="shared" si="5"/>
        <v/>
      </c>
      <c r="H17" s="31"/>
      <c r="I17" s="33" t="str">
        <f t="shared" si="6"/>
        <v/>
      </c>
      <c r="J17" s="33"/>
      <c r="K17" s="31"/>
      <c r="L17" s="33" t="str">
        <f t="shared" si="7"/>
        <v xml:space="preserve"> </v>
      </c>
      <c r="M17" s="31"/>
      <c r="N17" s="33" t="str">
        <f t="shared" si="8"/>
        <v xml:space="preserve"> </v>
      </c>
      <c r="O17" s="33"/>
      <c r="P17" s="31"/>
      <c r="Q17" s="33"/>
      <c r="R17" s="33" t="str">
        <f t="shared" si="9"/>
        <v/>
      </c>
      <c r="T17" s="3" t="s">
        <v>37</v>
      </c>
      <c r="U17" s="31">
        <f>SUM(U16)</f>
        <v>0</v>
      </c>
      <c r="V17" s="31">
        <f>+V16</f>
        <v>0</v>
      </c>
      <c r="W17" s="31">
        <v>1934</v>
      </c>
      <c r="X17" s="31">
        <f>SUM(X16)</f>
        <v>0</v>
      </c>
      <c r="Y17" s="31">
        <f>+Y16</f>
        <v>0</v>
      </c>
      <c r="Z17" s="62">
        <f>+Y17-X17</f>
        <v>0</v>
      </c>
      <c r="AA17" s="67" t="str">
        <f>IF(X17=0,"",(Y17-X17)/ABS(X17)+1)</f>
        <v/>
      </c>
      <c r="AB17" s="31">
        <v>4372</v>
      </c>
      <c r="AC17" s="67">
        <f>IF(AB17=0,"",(Y17-AB17)/ABS(AB17))</f>
        <v>-1</v>
      </c>
    </row>
    <row r="18" spans="1:32" ht="14.25" customHeight="1" x14ac:dyDescent="0.2">
      <c r="B18" s="3" t="s">
        <v>78</v>
      </c>
      <c r="C18" s="31"/>
      <c r="D18" s="33" t="str">
        <f t="shared" si="3"/>
        <v xml:space="preserve"> </v>
      </c>
      <c r="E18" s="31"/>
      <c r="F18" s="33" t="str">
        <f t="shared" si="4"/>
        <v xml:space="preserve"> </v>
      </c>
      <c r="G18" s="33" t="str">
        <f t="shared" si="5"/>
        <v/>
      </c>
      <c r="H18" s="31"/>
      <c r="I18" s="33" t="str">
        <f t="shared" si="6"/>
        <v/>
      </c>
      <c r="J18" s="33"/>
      <c r="K18" s="31"/>
      <c r="L18" s="33" t="str">
        <f t="shared" si="7"/>
        <v xml:space="preserve"> </v>
      </c>
      <c r="M18" s="31"/>
      <c r="N18" s="33" t="str">
        <f t="shared" si="8"/>
        <v xml:space="preserve"> </v>
      </c>
      <c r="O18" s="33"/>
      <c r="P18" s="31"/>
      <c r="Q18" s="33"/>
      <c r="R18" s="33" t="str">
        <f t="shared" si="9"/>
        <v/>
      </c>
      <c r="AD18" s="66"/>
      <c r="AE18" s="66"/>
      <c r="AF18" s="66"/>
    </row>
    <row r="19" spans="1:32" ht="14.25" customHeight="1" x14ac:dyDescent="0.2">
      <c r="B19" s="3" t="s">
        <v>80</v>
      </c>
      <c r="C19" s="31">
        <f>+E19</f>
        <v>0</v>
      </c>
      <c r="D19" s="33" t="str">
        <f t="shared" si="3"/>
        <v xml:space="preserve"> </v>
      </c>
      <c r="E19" s="31">
        <v>0</v>
      </c>
      <c r="F19" s="33" t="str">
        <f t="shared" si="4"/>
        <v xml:space="preserve"> </v>
      </c>
      <c r="G19" s="33" t="str">
        <f t="shared" si="5"/>
        <v/>
      </c>
      <c r="H19" s="31">
        <v>0</v>
      </c>
      <c r="I19" s="33" t="str">
        <f t="shared" si="6"/>
        <v/>
      </c>
      <c r="J19" s="33"/>
      <c r="K19" s="31">
        <f>+M19</f>
        <v>0</v>
      </c>
      <c r="L19" s="33" t="str">
        <f t="shared" si="7"/>
        <v xml:space="preserve"> </v>
      </c>
      <c r="M19" s="31">
        <v>0</v>
      </c>
      <c r="N19" s="33" t="str">
        <f t="shared" si="8"/>
        <v xml:space="preserve"> </v>
      </c>
      <c r="O19" s="33"/>
      <c r="P19" s="31">
        <v>0</v>
      </c>
      <c r="Q19" s="31" t="e">
        <f>+P19/$P$20</f>
        <v>#DIV/0!</v>
      </c>
      <c r="R19" s="33" t="str">
        <f t="shared" si="9"/>
        <v/>
      </c>
      <c r="T19" s="3" t="s">
        <v>38</v>
      </c>
      <c r="U19" s="31">
        <f>+U11-U16</f>
        <v>0</v>
      </c>
      <c r="V19" s="31">
        <f>+V11-V16</f>
        <v>0</v>
      </c>
      <c r="W19" s="31">
        <v>-1934</v>
      </c>
      <c r="X19" s="31">
        <f>+X11-X16</f>
        <v>0</v>
      </c>
      <c r="Y19" s="31">
        <f>+Y11-Y16</f>
        <v>0</v>
      </c>
      <c r="Z19" s="62">
        <f>+Y19-X19</f>
        <v>0</v>
      </c>
      <c r="AA19" s="67" t="str">
        <f>IF(X19=0,"",(Y19-X19)/ABS(X19)+1)</f>
        <v/>
      </c>
      <c r="AB19" s="31">
        <v>43003</v>
      </c>
      <c r="AC19" s="67">
        <f>IF(AB19=0,"",(Y19-AB19)/ABS(AB19))</f>
        <v>-1</v>
      </c>
      <c r="AD19" s="66"/>
      <c r="AE19" s="66"/>
      <c r="AF19" s="66"/>
    </row>
    <row r="20" spans="1:32" ht="14.25" customHeight="1" x14ac:dyDescent="0.2">
      <c r="B20" s="19" t="s">
        <v>39</v>
      </c>
      <c r="C20" s="68">
        <f>SUM(C10:C16)</f>
        <v>0</v>
      </c>
      <c r="D20" s="44" t="str">
        <f t="shared" si="3"/>
        <v xml:space="preserve"> </v>
      </c>
      <c r="E20" s="68">
        <f>SUM(E10:E16)</f>
        <v>0</v>
      </c>
      <c r="F20" s="44" t="str">
        <f t="shared" si="4"/>
        <v xml:space="preserve"> </v>
      </c>
      <c r="G20" s="33" t="str">
        <f t="shared" si="5"/>
        <v/>
      </c>
      <c r="H20" s="68">
        <v>0</v>
      </c>
      <c r="I20" s="33" t="str">
        <f t="shared" si="6"/>
        <v/>
      </c>
      <c r="J20" s="44" t="str">
        <f>IF(H20=0,"",(E20-H20)/ABS(H20))</f>
        <v/>
      </c>
      <c r="K20" s="68">
        <f>SUM(K10:K16)</f>
        <v>0</v>
      </c>
      <c r="L20" s="44" t="str">
        <f t="shared" si="7"/>
        <v xml:space="preserve"> </v>
      </c>
      <c r="M20" s="68">
        <f>SUM(M10:M16)</f>
        <v>0</v>
      </c>
      <c r="N20" s="33" t="str">
        <f t="shared" si="8"/>
        <v xml:space="preserve"> </v>
      </c>
      <c r="O20" s="44" t="str">
        <f>IF(K20=0,"",(M20-K20)/ABS(K20)+1)</f>
        <v/>
      </c>
      <c r="P20" s="68">
        <f>+P10</f>
        <v>0</v>
      </c>
      <c r="Q20" s="44" t="e">
        <f>+P20/$P$20</f>
        <v>#DIV/0!</v>
      </c>
      <c r="R20" s="44" t="str">
        <f t="shared" si="9"/>
        <v/>
      </c>
      <c r="T20" s="3"/>
      <c r="U20" s="31"/>
      <c r="V20" s="31"/>
      <c r="W20" s="31"/>
      <c r="X20" s="31"/>
      <c r="Y20" s="31"/>
      <c r="Z20" s="62"/>
      <c r="AA20" s="67"/>
      <c r="AB20" s="31"/>
      <c r="AC20" s="67"/>
      <c r="AD20" s="66"/>
      <c r="AE20" s="66"/>
      <c r="AF20" s="66"/>
    </row>
    <row r="21" spans="1:32" ht="14.25" customHeight="1" x14ac:dyDescent="0.2">
      <c r="G21" s="33" t="str">
        <f t="shared" si="5"/>
        <v/>
      </c>
      <c r="I21" s="33" t="str">
        <f t="shared" si="6"/>
        <v/>
      </c>
      <c r="N21" s="33" t="str">
        <f t="shared" si="8"/>
        <v xml:space="preserve"> </v>
      </c>
      <c r="R21" s="33" t="str">
        <f t="shared" si="9"/>
        <v/>
      </c>
      <c r="T21" s="3" t="s">
        <v>40</v>
      </c>
      <c r="U21" s="31">
        <f>+U10+U19</f>
        <v>0</v>
      </c>
      <c r="V21" s="31">
        <f>+V10+V19</f>
        <v>0</v>
      </c>
      <c r="W21" s="31">
        <v>6877.7900000000009</v>
      </c>
      <c r="X21" s="31">
        <f>+X10+X19</f>
        <v>0</v>
      </c>
      <c r="Y21" s="31">
        <f>+Y10+Y19</f>
        <v>0</v>
      </c>
      <c r="Z21" s="62">
        <f>+Y21-X21</f>
        <v>0</v>
      </c>
      <c r="AA21" s="67" t="str">
        <f>IF(X21=0,"",(Y21-X21)/ABS(X21)+1)</f>
        <v/>
      </c>
      <c r="AB21" s="31">
        <v>52877.79</v>
      </c>
      <c r="AC21" s="67">
        <f>IF(AB21=0,"",(Y21-AB21)/ABS(AB21))</f>
        <v>-1</v>
      </c>
      <c r="AD21" s="66"/>
      <c r="AE21" s="66"/>
      <c r="AF21" s="66"/>
    </row>
    <row r="22" spans="1:32" ht="14.25" customHeight="1" x14ac:dyDescent="0.2">
      <c r="B22" s="3" t="s">
        <v>41</v>
      </c>
      <c r="C22" s="31">
        <v>0</v>
      </c>
      <c r="D22" s="33" t="str">
        <f>IF($C$20&lt;=0," ",C22/$C$20)</f>
        <v xml:space="preserve"> </v>
      </c>
      <c r="E22" s="31">
        <v>0</v>
      </c>
      <c r="F22" s="33" t="str">
        <f>IF($E$20&lt;=0," ",E22/$E$20)</f>
        <v xml:space="preserve"> </v>
      </c>
      <c r="G22" s="33" t="str">
        <f t="shared" si="5"/>
        <v/>
      </c>
      <c r="H22" s="31">
        <v>0</v>
      </c>
      <c r="I22" s="33" t="str">
        <f t="shared" si="6"/>
        <v/>
      </c>
      <c r="J22" s="33" t="str">
        <f>IF(H22=0,"",(E22-H22)/ABS(H22))</f>
        <v/>
      </c>
      <c r="K22" s="31">
        <v>0</v>
      </c>
      <c r="L22" s="33" t="str">
        <f>IF($K$20&lt;=0," ",K22/$K$20)</f>
        <v xml:space="preserve"> </v>
      </c>
      <c r="M22" s="31">
        <f>+M17</f>
        <v>0</v>
      </c>
      <c r="N22" s="33" t="str">
        <f t="shared" si="8"/>
        <v xml:space="preserve"> </v>
      </c>
      <c r="O22" s="33" t="str">
        <f>IF(K22=0,"",(M22-K22)/ABS(K22)+1)</f>
        <v/>
      </c>
      <c r="P22" s="31">
        <v>0</v>
      </c>
      <c r="Q22" s="33" t="e">
        <f>+P22/$P$20</f>
        <v>#DIV/0!</v>
      </c>
      <c r="R22" s="33" t="str">
        <f t="shared" si="9"/>
        <v/>
      </c>
      <c r="AD22" s="66"/>
      <c r="AE22" s="66"/>
      <c r="AF22" s="66"/>
    </row>
    <row r="23" spans="1:32" ht="14.25" customHeight="1" x14ac:dyDescent="0.2">
      <c r="G23" s="33" t="str">
        <f t="shared" si="5"/>
        <v/>
      </c>
      <c r="I23" s="33" t="str">
        <f t="shared" si="6"/>
        <v/>
      </c>
      <c r="N23" s="33" t="str">
        <f t="shared" si="8"/>
        <v xml:space="preserve"> </v>
      </c>
      <c r="R23" s="33" t="str">
        <f t="shared" si="9"/>
        <v/>
      </c>
      <c r="T23" s="3" t="s">
        <v>42</v>
      </c>
      <c r="U23" s="31"/>
      <c r="V23" s="31"/>
      <c r="W23" s="31"/>
      <c r="X23" s="31">
        <f>+AD21+U23</f>
        <v>0</v>
      </c>
      <c r="Y23" s="31">
        <f>+V23+AF21</f>
        <v>0</v>
      </c>
      <c r="Z23" s="62">
        <f>+Y23-X23</f>
        <v>0</v>
      </c>
      <c r="AA23" s="67" t="str">
        <f>IF(X23=0,"",(Y23-X23)/ABS(X23)+1)</f>
        <v/>
      </c>
      <c r="AB23" s="31">
        <v>0</v>
      </c>
      <c r="AC23" s="67" t="str">
        <f>IF(AB23=0,"",(Y23-AB23)/ABS(AB23))</f>
        <v/>
      </c>
      <c r="AD23" s="66"/>
      <c r="AE23" s="66"/>
      <c r="AF23" s="66"/>
    </row>
    <row r="24" spans="1:32" ht="14.25" customHeight="1" x14ac:dyDescent="0.2">
      <c r="B24" s="3" t="s">
        <v>43</v>
      </c>
      <c r="C24" s="31">
        <f>+C19</f>
        <v>0</v>
      </c>
      <c r="D24" s="33" t="str">
        <f>IF($C$20&lt;=0," ",C24/$C$20)</f>
        <v xml:space="preserve"> </v>
      </c>
      <c r="E24" s="31">
        <f>+E19</f>
        <v>0</v>
      </c>
      <c r="F24" s="33" t="str">
        <f>IF($E$20&lt;=0," ",E24/$E$20)</f>
        <v xml:space="preserve"> </v>
      </c>
      <c r="G24" s="33" t="str">
        <f t="shared" si="5"/>
        <v/>
      </c>
      <c r="H24" s="31">
        <f>+H19</f>
        <v>0</v>
      </c>
      <c r="I24" s="33" t="str">
        <f t="shared" si="6"/>
        <v/>
      </c>
      <c r="J24" s="33" t="str">
        <f>IF(H24=0,"",(E24-H24)/ABS(H24))</f>
        <v/>
      </c>
      <c r="K24" s="31">
        <f>+K19</f>
        <v>0</v>
      </c>
      <c r="L24" s="33" t="str">
        <f>IF($K$20&lt;=0," ",K24/$K$20)</f>
        <v xml:space="preserve"> </v>
      </c>
      <c r="M24" s="31">
        <f>+M19</f>
        <v>0</v>
      </c>
      <c r="N24" s="33" t="str">
        <f t="shared" si="8"/>
        <v xml:space="preserve"> </v>
      </c>
      <c r="O24" s="33" t="str">
        <f>IF(K24=0,"",(M24-K24)/ABS(K24)+1)</f>
        <v/>
      </c>
      <c r="P24" s="31">
        <f>+P19</f>
        <v>0</v>
      </c>
      <c r="Q24" s="33" t="e">
        <f>+P24/$P$20</f>
        <v>#DIV/0!</v>
      </c>
      <c r="R24" s="33" t="str">
        <f t="shared" si="9"/>
        <v/>
      </c>
      <c r="AD24" s="66"/>
      <c r="AE24" s="66"/>
      <c r="AF24" s="66"/>
    </row>
    <row r="25" spans="1:32" ht="14.25" customHeight="1" x14ac:dyDescent="0.2">
      <c r="G25" s="33" t="str">
        <f t="shared" si="5"/>
        <v/>
      </c>
      <c r="I25" s="33" t="str">
        <f t="shared" si="6"/>
        <v/>
      </c>
      <c r="R25" s="33" t="str">
        <f t="shared" si="9"/>
        <v/>
      </c>
      <c r="T25" s="3" t="s">
        <v>44</v>
      </c>
      <c r="U25" s="31"/>
      <c r="V25" s="31"/>
      <c r="W25" s="31"/>
      <c r="X25" s="31">
        <f>+AD22+U25</f>
        <v>0</v>
      </c>
      <c r="Y25" s="31">
        <f>+V25+AF22</f>
        <v>0</v>
      </c>
      <c r="Z25" s="62">
        <f>+Y25-X25</f>
        <v>0</v>
      </c>
      <c r="AA25" s="67" t="str">
        <f>IF(X25=0,"",(Y25-X25)/ABS(X25)+1)</f>
        <v/>
      </c>
      <c r="AB25" s="31">
        <v>0</v>
      </c>
      <c r="AC25" s="67" t="str">
        <f>IF(AB25=0,"",(Y25-AB25)/ABS(AB25))</f>
        <v/>
      </c>
      <c r="AD25" s="66"/>
      <c r="AE25" s="66"/>
      <c r="AF25" s="66"/>
    </row>
    <row r="26" spans="1:32" ht="14.25" customHeight="1" x14ac:dyDescent="0.2">
      <c r="B26" s="3" t="s">
        <v>45</v>
      </c>
      <c r="C26" s="31">
        <f>+E26</f>
        <v>0</v>
      </c>
      <c r="D26" s="33" t="str">
        <f>IF($C$20&lt;=0," ",C26/$C$20)</f>
        <v xml:space="preserve"> </v>
      </c>
      <c r="E26" s="31">
        <v>0</v>
      </c>
      <c r="F26" s="33" t="str">
        <f>IF($E$20&lt;=0," ",E26/$E$20)</f>
        <v xml:space="preserve"> </v>
      </c>
      <c r="G26" s="33" t="str">
        <f t="shared" si="5"/>
        <v/>
      </c>
      <c r="H26" s="31">
        <v>0</v>
      </c>
      <c r="I26" s="33" t="str">
        <f t="shared" si="6"/>
        <v/>
      </c>
      <c r="J26" s="33" t="str">
        <f>IF(H26=0,"",(E26-H26)/ABS(H26))</f>
        <v/>
      </c>
      <c r="K26" s="31">
        <f>+K20</f>
        <v>0</v>
      </c>
      <c r="L26" s="33" t="str">
        <f>IF($K$20&lt;=0," ",K26/$K$20)</f>
        <v xml:space="preserve"> </v>
      </c>
      <c r="M26" s="31"/>
      <c r="N26" s="33" t="str">
        <f>IF($M$20&lt;=0," ",M26/$M$20)</f>
        <v xml:space="preserve"> </v>
      </c>
      <c r="O26" s="33" t="str">
        <f>IF(K26=0,"",(M26-K26)/ABS(K26)+1)</f>
        <v/>
      </c>
      <c r="P26" s="31">
        <v>0</v>
      </c>
      <c r="Q26" s="33" t="e">
        <f>+P26/$P$20</f>
        <v>#DIV/0!</v>
      </c>
      <c r="R26" s="33" t="str">
        <f t="shared" si="9"/>
        <v/>
      </c>
    </row>
    <row r="27" spans="1:32" ht="14.25" customHeight="1" x14ac:dyDescent="0.2">
      <c r="A27" s="93"/>
      <c r="B27" s="3" t="s">
        <v>46</v>
      </c>
      <c r="C27" s="31">
        <f>+E27</f>
        <v>0</v>
      </c>
      <c r="D27" s="33" t="str">
        <f>IF($C$20&lt;=0," ",C27/$C$20)</f>
        <v xml:space="preserve"> </v>
      </c>
      <c r="E27" s="31">
        <v>0</v>
      </c>
      <c r="F27" s="33" t="str">
        <f>IF($E$20&lt;=0," ",E27/$E$20)</f>
        <v xml:space="preserve"> </v>
      </c>
      <c r="G27" s="33" t="str">
        <f t="shared" si="5"/>
        <v/>
      </c>
      <c r="H27" s="31">
        <v>0</v>
      </c>
      <c r="I27" s="33" t="str">
        <f t="shared" si="6"/>
        <v/>
      </c>
      <c r="J27" s="33" t="str">
        <f>IF(H27=0,"",(E27-H27)/ABS(H27))</f>
        <v/>
      </c>
      <c r="K27" s="31">
        <f>+K22</f>
        <v>0</v>
      </c>
      <c r="L27" s="33" t="str">
        <f>IF($K$20&lt;=0," ",K27/$K$20)</f>
        <v xml:space="preserve"> </v>
      </c>
      <c r="M27" s="31"/>
      <c r="N27" s="33" t="str">
        <f>IF($M$20&lt;=0," ",M27/$M$20)</f>
        <v xml:space="preserve"> </v>
      </c>
      <c r="O27" s="33" t="str">
        <f>IF(K27=0,"",(M27-K27)/ABS(K27)+1)</f>
        <v/>
      </c>
      <c r="P27" s="31">
        <v>0</v>
      </c>
      <c r="Q27" s="33" t="e">
        <f>+P27/$P$20</f>
        <v>#DIV/0!</v>
      </c>
      <c r="R27" s="33" t="str">
        <f t="shared" si="9"/>
        <v/>
      </c>
      <c r="T27" s="3" t="s">
        <v>47</v>
      </c>
      <c r="U27" s="31"/>
      <c r="V27" s="31"/>
      <c r="W27" s="31"/>
      <c r="X27" s="31">
        <f>+AD23+U27</f>
        <v>0</v>
      </c>
      <c r="Y27" s="31">
        <f>+AE23+V27</f>
        <v>0</v>
      </c>
      <c r="Z27" s="62">
        <f>+Y27-X27</f>
        <v>0</v>
      </c>
      <c r="AA27" s="67" t="str">
        <f>IF(X27=0,"",(Y27-X27)/ABS(X27)+1)</f>
        <v/>
      </c>
      <c r="AB27" s="31">
        <v>0</v>
      </c>
      <c r="AC27" s="67" t="str">
        <f>IF(AB27=0,"",(Y27-AB27)/ABS(AB27))</f>
        <v/>
      </c>
    </row>
    <row r="28" spans="1:32" ht="14.25" customHeight="1" x14ac:dyDescent="0.2">
      <c r="A28" s="93"/>
      <c r="B28" s="3" t="s">
        <v>48</v>
      </c>
      <c r="C28" s="31">
        <f>SUM(C26:C27)</f>
        <v>0</v>
      </c>
      <c r="D28" s="33" t="str">
        <f>IF($C$20&lt;=0," ",C28/$C$20)</f>
        <v xml:space="preserve"> </v>
      </c>
      <c r="E28" s="31">
        <f>SUM(E26:E27)</f>
        <v>0</v>
      </c>
      <c r="F28" s="33" t="str">
        <f>IF($E$20&lt;=0," ",E28/$E$20)</f>
        <v xml:space="preserve"> </v>
      </c>
      <c r="G28" s="33" t="str">
        <f t="shared" si="5"/>
        <v/>
      </c>
      <c r="H28" s="31">
        <f>SUM(H26:H27)</f>
        <v>0</v>
      </c>
      <c r="I28" s="33" t="str">
        <f t="shared" si="6"/>
        <v/>
      </c>
      <c r="J28" s="33" t="str">
        <f>IF(H28=0,"",(E28-H28)/ABS(H28))</f>
        <v/>
      </c>
      <c r="K28" s="31">
        <f>+K24</f>
        <v>0</v>
      </c>
      <c r="L28" s="33" t="str">
        <f>IF($K$20&lt;=0," ",K28/$K$20)</f>
        <v xml:space="preserve"> </v>
      </c>
      <c r="M28" s="31"/>
      <c r="N28" s="33" t="str">
        <f>IF($M$20&lt;=0," ",M28/$M$20)</f>
        <v xml:space="preserve"> </v>
      </c>
      <c r="O28" s="33" t="str">
        <f>IF(K28=0,"",(M28-K28)/ABS(K28)+1)</f>
        <v/>
      </c>
      <c r="P28" s="31">
        <f>+P27+P26</f>
        <v>0</v>
      </c>
      <c r="Q28" s="33" t="e">
        <f>+P28/$P$20</f>
        <v>#DIV/0!</v>
      </c>
      <c r="R28" s="33" t="str">
        <f t="shared" si="9"/>
        <v/>
      </c>
      <c r="T28" s="3" t="s">
        <v>127</v>
      </c>
      <c r="U28" s="31">
        <f>+V28</f>
        <v>0</v>
      </c>
      <c r="V28" s="31">
        <v>0</v>
      </c>
      <c r="W28" s="31">
        <v>0</v>
      </c>
      <c r="X28" s="31">
        <f>+Y28</f>
        <v>0</v>
      </c>
      <c r="Y28" s="31">
        <v>0</v>
      </c>
      <c r="Z28" s="62">
        <f>+Y28-X28</f>
        <v>0</v>
      </c>
      <c r="AA28" s="67" t="str">
        <f>IF(X28=0,"",(Y28-X28)/ABS(X28)+1)</f>
        <v/>
      </c>
      <c r="AB28" s="31">
        <v>46000</v>
      </c>
      <c r="AC28" s="67">
        <f>IF(AB28=0,"",(Y28-AB28)/ABS(AB28))</f>
        <v>-1</v>
      </c>
      <c r="AD28" s="54"/>
    </row>
    <row r="29" spans="1:32" ht="14.25" customHeight="1" x14ac:dyDescent="0.2">
      <c r="A29" s="93"/>
      <c r="G29" s="33" t="str">
        <f t="shared" si="5"/>
        <v/>
      </c>
      <c r="I29" s="33" t="str">
        <f t="shared" si="6"/>
        <v/>
      </c>
      <c r="R29" s="33" t="str">
        <f t="shared" si="9"/>
        <v/>
      </c>
    </row>
    <row r="30" spans="1:32" ht="14.25" customHeight="1" x14ac:dyDescent="0.2">
      <c r="A30" s="93"/>
      <c r="B30" s="3" t="s">
        <v>50</v>
      </c>
      <c r="C30" s="31">
        <f>+E30</f>
        <v>0</v>
      </c>
      <c r="D30" s="33" t="str">
        <f>IF($C$20&lt;=0," ",C30/$C$20)</f>
        <v xml:space="preserve"> </v>
      </c>
      <c r="E30" s="31"/>
      <c r="F30" s="33" t="str">
        <f>IF($E$20&lt;=0," ",E30/$E$20)</f>
        <v xml:space="preserve"> </v>
      </c>
      <c r="G30" s="33" t="str">
        <f t="shared" si="5"/>
        <v/>
      </c>
      <c r="H30" s="31"/>
      <c r="I30" s="33" t="str">
        <f t="shared" si="6"/>
        <v/>
      </c>
      <c r="J30" s="33" t="str">
        <f>IF(H30=0,"",(E30-H30)/ABS(H30))</f>
        <v/>
      </c>
      <c r="K30" s="31">
        <f>+K26</f>
        <v>0</v>
      </c>
      <c r="L30" s="33" t="str">
        <f>IF($K$20&lt;=0," ",K30/$K$20)</f>
        <v xml:space="preserve"> </v>
      </c>
      <c r="M30" s="31"/>
      <c r="N30" s="33" t="str">
        <f>IF($M$20&lt;=0," ",M30/$M$20)</f>
        <v xml:space="preserve"> </v>
      </c>
      <c r="O30" s="33" t="str">
        <f>IF(K30=0,"",(M30-K30)/ABS(K30)+1)</f>
        <v/>
      </c>
      <c r="P30" s="31"/>
      <c r="Q30" s="33" t="e">
        <f>+P30/$P$20</f>
        <v>#DIV/0!</v>
      </c>
      <c r="R30" s="33" t="str">
        <f t="shared" si="9"/>
        <v/>
      </c>
      <c r="T30" s="19" t="s">
        <v>51</v>
      </c>
      <c r="U30" s="68">
        <f>U21-U23-U25-U27-U28</f>
        <v>0</v>
      </c>
      <c r="V30" s="68">
        <f>V21-V23-V25-V27-V28</f>
        <v>0</v>
      </c>
      <c r="W30" s="68">
        <v>6877.7900000000009</v>
      </c>
      <c r="X30" s="68">
        <f>X21-X23-X25-X27-X28</f>
        <v>0</v>
      </c>
      <c r="Y30" s="68">
        <f>Y21-Y23-Y25-Y27-Y28</f>
        <v>0</v>
      </c>
      <c r="Z30" s="70">
        <f>V30-U30</f>
        <v>0</v>
      </c>
      <c r="AA30" s="71" t="str">
        <f>IF(U30=0,"",(V30-U30)/ABS(U30)+1)</f>
        <v/>
      </c>
      <c r="AB30" s="68">
        <v>6877.7900000000009</v>
      </c>
      <c r="AC30" s="71">
        <f>IF(W30=0,"",(V30-W30)/ABS(W30))</f>
        <v>-1</v>
      </c>
    </row>
    <row r="31" spans="1:32" ht="14.25" customHeight="1" x14ac:dyDescent="0.2">
      <c r="A31" s="93"/>
      <c r="B31" s="3" t="s">
        <v>128</v>
      </c>
      <c r="C31" s="31">
        <f>+E31</f>
        <v>0</v>
      </c>
      <c r="D31" s="33" t="str">
        <f>IF($C$20&lt;=0," ",C31/$C$20)</f>
        <v xml:space="preserve"> </v>
      </c>
      <c r="E31" s="31">
        <v>0</v>
      </c>
      <c r="F31" s="33" t="str">
        <f>IF($E$20&lt;=0," ",E31/$E$20)</f>
        <v xml:space="preserve"> </v>
      </c>
      <c r="G31" s="33" t="str">
        <f t="shared" si="5"/>
        <v/>
      </c>
      <c r="H31" s="31">
        <v>0</v>
      </c>
      <c r="I31" s="33" t="str">
        <f t="shared" si="6"/>
        <v/>
      </c>
      <c r="J31" s="33" t="str">
        <f>IF(H31=0,"",(E31-H31)/ABS(H31))</f>
        <v/>
      </c>
      <c r="K31" s="31">
        <f>+K27</f>
        <v>0</v>
      </c>
      <c r="L31" s="33" t="str">
        <f>IF($K$20&lt;=0," ",K31/$K$20)</f>
        <v xml:space="preserve"> </v>
      </c>
      <c r="M31" s="31">
        <v>0</v>
      </c>
      <c r="N31" s="33" t="str">
        <f>IF($M$20&lt;=0," ",M31/$M$20)</f>
        <v xml:space="preserve"> </v>
      </c>
      <c r="O31" s="33" t="str">
        <f>IF(K31=0,"",(M31-K31)/ABS(K31)+1)</f>
        <v/>
      </c>
      <c r="P31" s="31">
        <v>0</v>
      </c>
      <c r="Q31" s="33" t="e">
        <f>+P31/$P$20</f>
        <v>#DIV/0!</v>
      </c>
      <c r="R31" s="33" t="str">
        <f t="shared" si="9"/>
        <v/>
      </c>
    </row>
    <row r="32" spans="1:32" ht="14.25" customHeight="1" x14ac:dyDescent="0.2">
      <c r="A32" s="93"/>
      <c r="B32" s="3" t="s">
        <v>53</v>
      </c>
      <c r="C32" s="31">
        <f>SUM(C30:C31)</f>
        <v>0</v>
      </c>
      <c r="D32" s="33" t="str">
        <f>IF($C$20&lt;=0," ",C32/$C$20)</f>
        <v xml:space="preserve"> </v>
      </c>
      <c r="E32" s="31">
        <f>SUM(E30:E31)</f>
        <v>0</v>
      </c>
      <c r="F32" s="33" t="str">
        <f>IF($E$20&lt;=0," ",E32/$E$20)</f>
        <v xml:space="preserve"> </v>
      </c>
      <c r="G32" s="33" t="str">
        <f t="shared" si="5"/>
        <v/>
      </c>
      <c r="H32" s="31">
        <f>SUM(H30:H31)</f>
        <v>0</v>
      </c>
      <c r="I32" s="33" t="str">
        <f t="shared" si="6"/>
        <v/>
      </c>
      <c r="J32" s="33" t="str">
        <f>IF(H32=0,"",(E32-H32)/ABS(H32))</f>
        <v/>
      </c>
      <c r="K32" s="31">
        <f>+K28</f>
        <v>0</v>
      </c>
      <c r="L32" s="33" t="str">
        <f>IF($K$20&lt;=0," ",K32/$K$20)</f>
        <v xml:space="preserve"> </v>
      </c>
      <c r="M32" s="31">
        <f>SUM(M30:M31)</f>
        <v>0</v>
      </c>
      <c r="N32" s="33" t="str">
        <f>IF($M$20&lt;=0," ",M32/$M$20)</f>
        <v xml:space="preserve"> </v>
      </c>
      <c r="O32" s="33" t="str">
        <f>IF(K32=0,"",(M32-K32)/ABS(K32)+1)</f>
        <v/>
      </c>
      <c r="P32" s="31">
        <f>+P31</f>
        <v>0</v>
      </c>
      <c r="Q32" s="33" t="e">
        <f>+P32/$P$20</f>
        <v>#DIV/0!</v>
      </c>
      <c r="R32" s="33" t="str">
        <f t="shared" si="9"/>
        <v/>
      </c>
    </row>
    <row r="33" spans="1:20" ht="14.25" customHeight="1" x14ac:dyDescent="0.2">
      <c r="A33" s="93"/>
      <c r="G33" s="33" t="str">
        <f t="shared" si="5"/>
        <v/>
      </c>
      <c r="I33" s="33" t="str">
        <f t="shared" si="6"/>
        <v/>
      </c>
      <c r="R33" s="33" t="str">
        <f t="shared" si="9"/>
        <v/>
      </c>
    </row>
    <row r="34" spans="1:20" ht="14.25" customHeight="1" x14ac:dyDescent="0.2">
      <c r="A34" s="93"/>
      <c r="B34" s="3" t="s">
        <v>54</v>
      </c>
      <c r="C34" s="31">
        <f>C28+C32</f>
        <v>0</v>
      </c>
      <c r="D34" s="33" t="str">
        <f>IF($C$20&lt;=0," ",C34/$C$20)</f>
        <v xml:space="preserve"> </v>
      </c>
      <c r="E34" s="31">
        <f>E28+E32</f>
        <v>0</v>
      </c>
      <c r="F34" s="33" t="str">
        <f>IF($E$20&lt;=0," ",E34/$E$20)</f>
        <v xml:space="preserve"> </v>
      </c>
      <c r="G34" s="33" t="str">
        <f t="shared" si="5"/>
        <v/>
      </c>
      <c r="H34" s="31">
        <f>H28+H32</f>
        <v>0</v>
      </c>
      <c r="I34" s="33" t="str">
        <f t="shared" si="6"/>
        <v/>
      </c>
      <c r="J34" s="33" t="str">
        <f>IF(H34=0,"",(E34-H34)/ABS(H34))</f>
        <v/>
      </c>
      <c r="K34" s="31">
        <f>+K30</f>
        <v>0</v>
      </c>
      <c r="L34" s="33" t="str">
        <f>IF($K$20&lt;=0," ",K34/$K$20)</f>
        <v xml:space="preserve"> </v>
      </c>
      <c r="M34" s="31">
        <f>M28+M32</f>
        <v>0</v>
      </c>
      <c r="N34" s="33" t="str">
        <f>IF($M$20&lt;=0," ",M34/$M$20)</f>
        <v xml:space="preserve"> </v>
      </c>
      <c r="O34" s="33" t="str">
        <f>IF(K34=0,"",(M34-K34)/ABS(K34)+1)</f>
        <v/>
      </c>
      <c r="P34" s="31">
        <f>+P32</f>
        <v>0</v>
      </c>
      <c r="Q34" s="33" t="e">
        <f>+P34/$P$20</f>
        <v>#DIV/0!</v>
      </c>
      <c r="R34" s="33" t="str">
        <f t="shared" si="9"/>
        <v/>
      </c>
    </row>
    <row r="35" spans="1:20" ht="14.25" customHeight="1" x14ac:dyDescent="0.2">
      <c r="G35" s="33" t="str">
        <f t="shared" si="5"/>
        <v/>
      </c>
      <c r="I35" s="33" t="str">
        <f t="shared" si="6"/>
        <v/>
      </c>
      <c r="R35" s="33" t="str">
        <f t="shared" si="9"/>
        <v/>
      </c>
    </row>
    <row r="36" spans="1:20" ht="14.25" customHeight="1" x14ac:dyDescent="0.2">
      <c r="B36" s="19" t="s">
        <v>55</v>
      </c>
      <c r="C36" s="68">
        <f>+C24-C34</f>
        <v>0</v>
      </c>
      <c r="D36" s="44" t="str">
        <f>IF($C$20&lt;=0," ",C36/$C$20)</f>
        <v xml:space="preserve"> </v>
      </c>
      <c r="E36" s="68">
        <f>+E24-E34</f>
        <v>0</v>
      </c>
      <c r="F36" s="44" t="str">
        <f>IF($E$20&lt;=0," ",E36/$E$20)</f>
        <v xml:space="preserve"> </v>
      </c>
      <c r="G36" s="33" t="str">
        <f t="shared" si="5"/>
        <v/>
      </c>
      <c r="H36" s="68">
        <f>+H24-H34</f>
        <v>0</v>
      </c>
      <c r="I36" s="33" t="str">
        <f t="shared" si="6"/>
        <v/>
      </c>
      <c r="J36" s="44" t="str">
        <f>IF(H36=0,"",(E36-H36)/ABS(H36))</f>
        <v/>
      </c>
      <c r="K36" s="68">
        <f>+K31</f>
        <v>0</v>
      </c>
      <c r="L36" s="44" t="str">
        <f>IF($K$20&lt;=0," ",K36/$K$20)</f>
        <v xml:space="preserve"> </v>
      </c>
      <c r="M36" s="68">
        <f>+M24-M34</f>
        <v>0</v>
      </c>
      <c r="N36" s="44" t="str">
        <f>IF($M$20&lt;=0," ",M36/$M$20)</f>
        <v xml:space="preserve"> </v>
      </c>
      <c r="O36" s="44" t="str">
        <f>IF(K36=0,"",(M36-K36)/ABS(K36)+1)</f>
        <v/>
      </c>
      <c r="P36" s="68">
        <f>+P24-P34</f>
        <v>0</v>
      </c>
      <c r="Q36" s="44" t="e">
        <f>+P36/$P$20</f>
        <v>#DIV/0!</v>
      </c>
      <c r="R36" s="44" t="str">
        <f t="shared" si="9"/>
        <v/>
      </c>
    </row>
    <row r="37" spans="1:20" ht="14.25" customHeight="1" x14ac:dyDescent="0.2">
      <c r="G37" s="33" t="str">
        <f t="shared" si="5"/>
        <v/>
      </c>
      <c r="I37" s="33" t="str">
        <f t="shared" si="6"/>
        <v/>
      </c>
      <c r="R37" s="33" t="str">
        <f t="shared" si="9"/>
        <v/>
      </c>
      <c r="T37" s="54"/>
    </row>
    <row r="38" spans="1:20" ht="14.25" customHeight="1" x14ac:dyDescent="0.2">
      <c r="B38" s="3" t="s">
        <v>56</v>
      </c>
      <c r="C38" s="31">
        <f>+E38</f>
        <v>0</v>
      </c>
      <c r="D38" s="33" t="str">
        <f>IF($C$20&lt;=0," ",C38/$C$20)</f>
        <v xml:space="preserve"> </v>
      </c>
      <c r="E38" s="31">
        <v>0</v>
      </c>
      <c r="F38" s="33" t="str">
        <f>IF($E$20&lt;=0," ",E38/$E$20)</f>
        <v xml:space="preserve"> </v>
      </c>
      <c r="G38" s="33" t="str">
        <f t="shared" si="5"/>
        <v/>
      </c>
      <c r="H38" s="31">
        <v>0</v>
      </c>
      <c r="I38" s="33" t="str">
        <f t="shared" si="6"/>
        <v/>
      </c>
      <c r="J38" s="33" t="str">
        <f>IF(H38=0,"",(E38-H38)/ABS(H38))</f>
        <v/>
      </c>
      <c r="K38" s="31">
        <f>+K32</f>
        <v>0</v>
      </c>
      <c r="L38" s="33" t="str">
        <f>IF($K$20&lt;=0," ",K38/$K$20)</f>
        <v xml:space="preserve"> </v>
      </c>
      <c r="M38" s="31">
        <v>0</v>
      </c>
      <c r="N38" s="33" t="str">
        <f>IF($M$20&lt;=0," ",M38/$M$20)</f>
        <v xml:space="preserve"> </v>
      </c>
      <c r="O38" s="33" t="str">
        <f>IF(K38=0,"",(M38-K38)/ABS(K38)+1)</f>
        <v/>
      </c>
      <c r="P38" s="31">
        <v>0</v>
      </c>
      <c r="Q38" s="33" t="e">
        <f>+P38/$P$20</f>
        <v>#DIV/0!</v>
      </c>
      <c r="R38" s="33" t="str">
        <f t="shared" si="9"/>
        <v/>
      </c>
    </row>
    <row r="39" spans="1:20" ht="14.25" customHeight="1" x14ac:dyDescent="0.2">
      <c r="B39" s="3" t="s">
        <v>57</v>
      </c>
      <c r="C39" s="31">
        <f>+E39</f>
        <v>0</v>
      </c>
      <c r="D39" s="33" t="str">
        <f>IF($C$20&lt;=0," ",C39/$C$20)</f>
        <v xml:space="preserve"> </v>
      </c>
      <c r="E39" s="31">
        <v>0</v>
      </c>
      <c r="F39" s="33" t="str">
        <f>IF($E$20&lt;=0," ",E39/$E$20)</f>
        <v xml:space="preserve"> </v>
      </c>
      <c r="G39" s="33" t="str">
        <f t="shared" si="5"/>
        <v/>
      </c>
      <c r="H39" s="31">
        <v>0</v>
      </c>
      <c r="I39" s="33" t="str">
        <f t="shared" si="6"/>
        <v/>
      </c>
      <c r="J39" s="33" t="str">
        <f>IF(H39=0,"",(E39-H39)/ABS(H39))</f>
        <v/>
      </c>
      <c r="K39" s="31">
        <f>+K34</f>
        <v>0</v>
      </c>
      <c r="L39" s="33" t="str">
        <f>IF($K$20&lt;=0," ",K39/$K$20)</f>
        <v xml:space="preserve"> </v>
      </c>
      <c r="M39" s="31">
        <v>0</v>
      </c>
      <c r="N39" s="33" t="str">
        <f>IF($M$20&lt;=0," ",M39/$M$20)</f>
        <v xml:space="preserve"> </v>
      </c>
      <c r="O39" s="33" t="str">
        <f>IF(K39=0,"",(M39-K39)/ABS(K39)+1)</f>
        <v/>
      </c>
      <c r="P39" s="31">
        <v>0</v>
      </c>
      <c r="Q39" s="33" t="e">
        <f>+P39/$P$20</f>
        <v>#DIV/0!</v>
      </c>
      <c r="R39" s="33" t="str">
        <f t="shared" si="9"/>
        <v/>
      </c>
    </row>
    <row r="40" spans="1:20" ht="14.25" customHeight="1" x14ac:dyDescent="0.2">
      <c r="G40" s="33" t="str">
        <f t="shared" si="5"/>
        <v/>
      </c>
      <c r="I40" s="33" t="str">
        <f t="shared" si="6"/>
        <v/>
      </c>
      <c r="R40" s="33" t="str">
        <f t="shared" si="9"/>
        <v/>
      </c>
    </row>
    <row r="41" spans="1:20" ht="14.25" customHeight="1" x14ac:dyDescent="0.2">
      <c r="B41" s="3" t="s">
        <v>58</v>
      </c>
      <c r="C41" s="31">
        <f>C36+C38-C39</f>
        <v>0</v>
      </c>
      <c r="D41" s="33" t="str">
        <f>IF($C$20&lt;=0," ",C41/$C$20)</f>
        <v xml:space="preserve"> </v>
      </c>
      <c r="E41" s="31">
        <f>+E36-E39+E38</f>
        <v>0</v>
      </c>
      <c r="F41" s="33" t="str">
        <f>IF($E$20&lt;=0," ",E41/$E$20)</f>
        <v xml:space="preserve"> </v>
      </c>
      <c r="G41" s="33" t="str">
        <f t="shared" si="5"/>
        <v/>
      </c>
      <c r="H41" s="31">
        <f>+H36-H39+H38</f>
        <v>0</v>
      </c>
      <c r="I41" s="33" t="str">
        <f t="shared" si="6"/>
        <v/>
      </c>
      <c r="J41" s="33" t="str">
        <f>IF(H41=0,"",(E41-H41)/ABS(H41))</f>
        <v/>
      </c>
      <c r="K41" s="31">
        <f>+K36</f>
        <v>0</v>
      </c>
      <c r="L41" s="33" t="str">
        <f>IF($K$20&lt;=0," ",K41/$K$20)</f>
        <v xml:space="preserve"> </v>
      </c>
      <c r="M41" s="31">
        <f>+M36-M39+M38</f>
        <v>0</v>
      </c>
      <c r="N41" s="33" t="str">
        <f>IF($M$20&lt;=0," ",M41/$M$20)</f>
        <v xml:space="preserve"> </v>
      </c>
      <c r="O41" s="33" t="str">
        <f>IF(K41=0,"",(M41-K41)/ABS(K41)+1)</f>
        <v/>
      </c>
      <c r="P41" s="31">
        <f>P36+P38-P39</f>
        <v>0</v>
      </c>
      <c r="Q41" s="33" t="e">
        <f>+P41/$P$20</f>
        <v>#DIV/0!</v>
      </c>
      <c r="R41" s="33" t="str">
        <f t="shared" si="9"/>
        <v/>
      </c>
    </row>
    <row r="42" spans="1:20" ht="14.25" customHeight="1" x14ac:dyDescent="0.2">
      <c r="B42" s="3" t="s">
        <v>44</v>
      </c>
      <c r="C42" s="31"/>
      <c r="D42" s="33" t="str">
        <f>IF($C$20&lt;=0," ",C42/$C$20)</f>
        <v xml:space="preserve"> </v>
      </c>
      <c r="E42" s="31"/>
      <c r="F42" s="33" t="str">
        <f>IF($E$20&lt;=0," ",E42/$E$20)</f>
        <v xml:space="preserve"> </v>
      </c>
      <c r="G42" s="33" t="str">
        <f t="shared" si="5"/>
        <v/>
      </c>
      <c r="H42" s="31"/>
      <c r="I42" s="33" t="str">
        <f t="shared" si="6"/>
        <v/>
      </c>
      <c r="J42" s="33" t="str">
        <f>IF(H42=0,"",(E42-H42)/ABS(H42))</f>
        <v/>
      </c>
      <c r="K42" s="31">
        <f>+K38</f>
        <v>0</v>
      </c>
      <c r="L42" s="33" t="str">
        <f>IF($K$20&lt;=0," ",K42/$K$20)</f>
        <v xml:space="preserve"> </v>
      </c>
      <c r="M42" s="31"/>
      <c r="N42" s="33" t="str">
        <f>IF($M$20&lt;=0," ",M42/$M$20)</f>
        <v xml:space="preserve"> </v>
      </c>
      <c r="O42" s="33" t="str">
        <f>IF(K42=0,"",(M42-K42)/ABS(K42)+1)</f>
        <v/>
      </c>
      <c r="P42" s="31">
        <f>+H42</f>
        <v>0</v>
      </c>
      <c r="Q42" s="33" t="e">
        <f>+P42/$P$20</f>
        <v>#DIV/0!</v>
      </c>
      <c r="R42" s="33" t="str">
        <f t="shared" si="9"/>
        <v/>
      </c>
    </row>
    <row r="43" spans="1:20" ht="14.25" customHeight="1" x14ac:dyDescent="0.2">
      <c r="B43" s="19" t="s">
        <v>59</v>
      </c>
      <c r="C43" s="68">
        <f>+C41-C42</f>
        <v>0</v>
      </c>
      <c r="D43" s="44" t="str">
        <f>IF($C$20&lt;=0," ",C43/$C$20)</f>
        <v xml:space="preserve"> </v>
      </c>
      <c r="E43" s="68">
        <f>E41-E42</f>
        <v>0</v>
      </c>
      <c r="F43" s="44" t="str">
        <f>IF($E$20&lt;=0," ",E43/$E$20)</f>
        <v xml:space="preserve"> </v>
      </c>
      <c r="G43" s="33" t="str">
        <f t="shared" si="5"/>
        <v/>
      </c>
      <c r="H43" s="68">
        <f>H41-H42</f>
        <v>0</v>
      </c>
      <c r="I43" s="33" t="str">
        <f t="shared" si="6"/>
        <v/>
      </c>
      <c r="J43" s="44" t="str">
        <f>IF(H43=0,"",(E43-H43)/ABS(H43))</f>
        <v/>
      </c>
      <c r="K43" s="68">
        <f>+K39</f>
        <v>0</v>
      </c>
      <c r="L43" s="44" t="str">
        <f>IF($K$20&lt;=0," ",K43/$K$20)</f>
        <v xml:space="preserve"> </v>
      </c>
      <c r="M43" s="68">
        <f>M41-M42</f>
        <v>0</v>
      </c>
      <c r="N43" s="44" t="str">
        <f>IF($M$20&lt;=0," ",M43/$M$20)</f>
        <v xml:space="preserve"> </v>
      </c>
      <c r="O43" s="44" t="str">
        <f>IF(K43=0,"",(M43-K43)/ABS(K43)+1)</f>
        <v/>
      </c>
      <c r="P43" s="68">
        <f>P41-P42</f>
        <v>0</v>
      </c>
      <c r="Q43" s="44" t="e">
        <f>+P43/$P$20</f>
        <v>#DIV/0!</v>
      </c>
      <c r="R43" s="44" t="str">
        <f t="shared" si="9"/>
        <v/>
      </c>
    </row>
    <row r="44" spans="1:20" ht="14.25" customHeight="1" x14ac:dyDescent="0.2">
      <c r="G44" s="33" t="str">
        <f t="shared" si="5"/>
        <v/>
      </c>
      <c r="I44" s="33" t="str">
        <f t="shared" si="6"/>
        <v/>
      </c>
      <c r="R44" s="33" t="str">
        <f t="shared" si="9"/>
        <v/>
      </c>
    </row>
    <row r="45" spans="1:20" ht="14.25" customHeight="1" x14ac:dyDescent="0.2">
      <c r="B45" s="3" t="s">
        <v>60</v>
      </c>
      <c r="C45" s="31">
        <f>+C36</f>
        <v>0</v>
      </c>
      <c r="D45" s="33" t="str">
        <f>IF($C$20&lt;=0," ",C45/$C$20)</f>
        <v xml:space="preserve"> </v>
      </c>
      <c r="E45" s="31">
        <f>+E36</f>
        <v>0</v>
      </c>
      <c r="F45" s="33" t="str">
        <f>IF($E$20&lt;=0," ",E45/$E$20)</f>
        <v xml:space="preserve"> </v>
      </c>
      <c r="G45" s="33" t="str">
        <f t="shared" si="5"/>
        <v/>
      </c>
      <c r="H45" s="31">
        <f>+H36</f>
        <v>0</v>
      </c>
      <c r="I45" s="33" t="str">
        <f t="shared" si="6"/>
        <v/>
      </c>
      <c r="J45" s="33" t="str">
        <f>IF(H45=0,"",(E45-H45)/ABS(H45))</f>
        <v/>
      </c>
      <c r="K45" s="31">
        <f>+K41</f>
        <v>0</v>
      </c>
      <c r="L45" s="33" t="str">
        <f>IF($K$20&lt;=0," ",K45/$K$20)</f>
        <v xml:space="preserve"> </v>
      </c>
      <c r="M45" s="31">
        <f>+M36</f>
        <v>0</v>
      </c>
      <c r="N45" s="33" t="str">
        <f>IF($M$20&lt;=0," ",M45/$M$20)</f>
        <v xml:space="preserve"> </v>
      </c>
      <c r="O45" s="33" t="str">
        <f>IF(K45=0,"",(M45-K45)/ABS(K45)+1)</f>
        <v/>
      </c>
      <c r="P45" s="31">
        <f>+P36</f>
        <v>0</v>
      </c>
      <c r="Q45" s="33" t="e">
        <f>+P45/$P$20</f>
        <v>#DIV/0!</v>
      </c>
      <c r="R45" s="33" t="str">
        <f t="shared" si="9"/>
        <v/>
      </c>
    </row>
    <row r="46" spans="1:20" ht="14.25" customHeight="1" x14ac:dyDescent="0.2">
      <c r="B46" s="3" t="s">
        <v>35</v>
      </c>
      <c r="C46" s="31">
        <v>0</v>
      </c>
      <c r="D46" s="33" t="str">
        <f>IF($C$20&lt;=0," ",C46/$C$20)</f>
        <v xml:space="preserve"> </v>
      </c>
      <c r="E46" s="31">
        <v>0</v>
      </c>
      <c r="F46" s="33" t="str">
        <f>IF($E$20&lt;=0," ",E46/$E$20)</f>
        <v xml:space="preserve"> </v>
      </c>
      <c r="G46" s="33" t="str">
        <f t="shared" si="5"/>
        <v/>
      </c>
      <c r="H46" s="31">
        <v>0</v>
      </c>
      <c r="I46" s="33" t="str">
        <f t="shared" si="6"/>
        <v/>
      </c>
      <c r="J46" s="33" t="str">
        <f>IF(H46=0,"",(E46-H46)/ABS(H46))</f>
        <v/>
      </c>
      <c r="K46" s="31">
        <f>+K42</f>
        <v>0</v>
      </c>
      <c r="L46" s="33" t="str">
        <f>IF($K$20&lt;=0," ",K46/$K$20)</f>
        <v xml:space="preserve"> </v>
      </c>
      <c r="M46" s="31">
        <v>0</v>
      </c>
      <c r="N46" s="33" t="str">
        <f>IF($M$20&lt;=0," ",M46/$M$20)</f>
        <v xml:space="preserve"> </v>
      </c>
      <c r="O46" s="33" t="str">
        <f>IF(K46=0,"",(M46-K46)/ABS(K46)+1)</f>
        <v/>
      </c>
      <c r="P46" s="31">
        <v>0</v>
      </c>
      <c r="Q46" s="33" t="e">
        <f>+P46/$P$20</f>
        <v>#DIV/0!</v>
      </c>
      <c r="R46" s="33" t="str">
        <f t="shared" si="9"/>
        <v/>
      </c>
    </row>
    <row r="47" spans="1:20" ht="14.25" customHeight="1" x14ac:dyDescent="0.2">
      <c r="C47" s="66"/>
      <c r="D47" s="66"/>
      <c r="E47" s="66"/>
      <c r="F47" s="66"/>
      <c r="G47" s="66"/>
      <c r="H47" s="66"/>
      <c r="I47" s="66"/>
      <c r="J47" s="66"/>
      <c r="K47" s="66"/>
      <c r="L47" s="66"/>
      <c r="N47" s="66"/>
      <c r="O47" s="66"/>
    </row>
    <row r="48" spans="1:20" ht="14.25" customHeight="1" x14ac:dyDescent="0.2">
      <c r="M48" s="66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Paramet</vt:lpstr>
      <vt:lpstr>COL. CONS.$</vt:lpstr>
      <vt:lpstr>COLOMB$ </vt:lpstr>
      <vt:lpstr>PROY SAT$</vt:lpstr>
      <vt:lpstr>COLOMBIA USD</vt:lpstr>
      <vt:lpstr>EL SALVADOR USD</vt:lpstr>
      <vt:lpstr>VZLA BFS</vt:lpstr>
      <vt:lpstr>VENEZUELA USD</vt:lpstr>
      <vt:lpstr>PANAMA USD</vt:lpstr>
      <vt:lpstr>CONS USD</vt:lpstr>
      <vt:lpstr>ctas</vt:lpstr>
      <vt:lpstr>b2w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Gutierrez</dc:creator>
  <cp:lastModifiedBy>Robert Gutierrez</cp:lastModifiedBy>
  <dcterms:created xsi:type="dcterms:W3CDTF">2024-03-22T20:46:31Z</dcterms:created>
  <dcterms:modified xsi:type="dcterms:W3CDTF">2024-03-22T21:12:03Z</dcterms:modified>
</cp:coreProperties>
</file>