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3/Consolidados/"/>
    </mc:Choice>
  </mc:AlternateContent>
  <xr:revisionPtr revIDLastSave="2" documentId="8_{210B0C92-6452-4D07-A709-DF54F0292190}" xr6:coauthVersionLast="47" xr6:coauthVersionMax="47" xr10:uidLastSave="{5DDDAE7D-828E-462A-915E-7ED8182C33D7}"/>
  <bookViews>
    <workbookView xWindow="-28920" yWindow="-120" windowWidth="29040" windowHeight="15840" activeTab="1" xr2:uid="{0F95F0EB-7E9D-4EBB-99E9-01DB1DABB143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0" r:id="rId12"/>
    <pivotCache cacheId="1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H28" i="10"/>
  <c r="E28" i="10"/>
  <c r="AC27" i="10"/>
  <c r="Y27" i="10"/>
  <c r="X27" i="10"/>
  <c r="AA27" i="10" s="1"/>
  <c r="R27" i="10"/>
  <c r="K27" i="10"/>
  <c r="J27" i="10"/>
  <c r="I27" i="10"/>
  <c r="C27" i="10"/>
  <c r="G27" i="10" s="1"/>
  <c r="R26" i="10"/>
  <c r="J26" i="10"/>
  <c r="I26" i="10"/>
  <c r="C26" i="10"/>
  <c r="AC25" i="10"/>
  <c r="Y25" i="10"/>
  <c r="X25" i="10"/>
  <c r="AA25" i="10" s="1"/>
  <c r="R25" i="10"/>
  <c r="I25" i="10"/>
  <c r="G25" i="10"/>
  <c r="AC23" i="10"/>
  <c r="Y23" i="10"/>
  <c r="X23" i="10"/>
  <c r="AA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D14" i="9"/>
  <c r="D13" i="9"/>
  <c r="D12" i="9"/>
  <c r="D11" i="9"/>
  <c r="D10" i="9"/>
  <c r="G7" i="9"/>
  <c r="O7" i="9" s="1"/>
  <c r="AH4" i="9"/>
  <c r="AH3" i="9"/>
  <c r="R46" i="8"/>
  <c r="O46" i="8"/>
  <c r="I46" i="8"/>
  <c r="R45" i="8"/>
  <c r="Q45" i="8"/>
  <c r="J45" i="8"/>
  <c r="I45" i="8"/>
  <c r="G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I34" i="8"/>
  <c r="Q32" i="8"/>
  <c r="M32" i="8"/>
  <c r="M32" i="9" s="1"/>
  <c r="K32" i="8"/>
  <c r="I32" i="8"/>
  <c r="E32" i="8"/>
  <c r="E32" i="9" s="1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M28" i="9" s="1"/>
  <c r="K28" i="8"/>
  <c r="K32" i="9" s="1"/>
  <c r="O32" i="9" s="1"/>
  <c r="I28" i="8"/>
  <c r="E28" i="8"/>
  <c r="E28" i="9" s="1"/>
  <c r="C28" i="8"/>
  <c r="C32" i="9" s="1"/>
  <c r="G32" i="9" s="1"/>
  <c r="AC27" i="8"/>
  <c r="X27" i="8"/>
  <c r="X27" i="9" s="1"/>
  <c r="AA27" i="9" s="1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X25" i="9" s="1"/>
  <c r="AA25" i="9" s="1"/>
  <c r="Q24" i="8"/>
  <c r="I24" i="8"/>
  <c r="AC23" i="8"/>
  <c r="AA23" i="8"/>
  <c r="Z23" i="8"/>
  <c r="R22" i="8"/>
  <c r="Q22" i="8"/>
  <c r="K22" i="8"/>
  <c r="J22" i="8"/>
  <c r="I22" i="8"/>
  <c r="G22" i="8"/>
  <c r="AC20" i="8"/>
  <c r="Q20" i="8"/>
  <c r="M20" i="8"/>
  <c r="M20" i="9" s="1"/>
  <c r="K20" i="8"/>
  <c r="K20" i="9" s="1"/>
  <c r="I20" i="8"/>
  <c r="E20" i="8"/>
  <c r="E20" i="9" s="1"/>
  <c r="C20" i="8"/>
  <c r="C20" i="9" s="1"/>
  <c r="G20" i="9" s="1"/>
  <c r="L19" i="8"/>
  <c r="D19" i="8"/>
  <c r="B19" i="8"/>
  <c r="L18" i="8"/>
  <c r="D18" i="8"/>
  <c r="Y17" i="8"/>
  <c r="Y17" i="9" s="1"/>
  <c r="V17" i="8"/>
  <c r="U17" i="8"/>
  <c r="L17" i="8"/>
  <c r="D17" i="8"/>
  <c r="B17" i="8"/>
  <c r="AC16" i="8"/>
  <c r="X16" i="8"/>
  <c r="X16" i="9" s="1"/>
  <c r="L16" i="8"/>
  <c r="D16" i="8"/>
  <c r="B16" i="8"/>
  <c r="AC15" i="8"/>
  <c r="X15" i="8"/>
  <c r="X15" i="9" s="1"/>
  <c r="R15" i="8"/>
  <c r="Q15" i="8"/>
  <c r="N15" i="8"/>
  <c r="L15" i="8"/>
  <c r="J15" i="8"/>
  <c r="I15" i="8"/>
  <c r="G15" i="8"/>
  <c r="F15" i="8"/>
  <c r="D15" i="8"/>
  <c r="B15" i="8"/>
  <c r="AC14" i="8"/>
  <c r="X14" i="8"/>
  <c r="X14" i="9" s="1"/>
  <c r="R14" i="8"/>
  <c r="Q14" i="8"/>
  <c r="O14" i="8"/>
  <c r="N14" i="8"/>
  <c r="L14" i="8"/>
  <c r="J14" i="8"/>
  <c r="I14" i="8"/>
  <c r="G14" i="8"/>
  <c r="F14" i="8"/>
  <c r="D14" i="8"/>
  <c r="B14" i="8"/>
  <c r="AC13" i="8"/>
  <c r="X13" i="8"/>
  <c r="X13" i="9" s="1"/>
  <c r="R13" i="8"/>
  <c r="Q13" i="8"/>
  <c r="O13" i="8"/>
  <c r="N13" i="8"/>
  <c r="L13" i="8"/>
  <c r="J13" i="8"/>
  <c r="I13" i="8"/>
  <c r="G13" i="8"/>
  <c r="F13" i="8"/>
  <c r="D13" i="8"/>
  <c r="B13" i="8"/>
  <c r="R12" i="8"/>
  <c r="Q12" i="8"/>
  <c r="O12" i="8"/>
  <c r="N12" i="8"/>
  <c r="L12" i="8"/>
  <c r="J12" i="8"/>
  <c r="I12" i="8"/>
  <c r="G12" i="8"/>
  <c r="F12" i="8"/>
  <c r="D12" i="8"/>
  <c r="B12" i="8"/>
  <c r="AC11" i="8"/>
  <c r="X11" i="8"/>
  <c r="X11" i="9" s="1"/>
  <c r="AA11" i="9" s="1"/>
  <c r="R11" i="8"/>
  <c r="Q11" i="8"/>
  <c r="O11" i="8"/>
  <c r="N11" i="8"/>
  <c r="L11" i="8"/>
  <c r="J11" i="8"/>
  <c r="I11" i="8"/>
  <c r="G11" i="8"/>
  <c r="F11" i="8"/>
  <c r="D11" i="8"/>
  <c r="B11" i="8"/>
  <c r="AC10" i="8"/>
  <c r="AA10" i="8"/>
  <c r="Z10" i="8"/>
  <c r="R10" i="8"/>
  <c r="Q10" i="8"/>
  <c r="O10" i="8"/>
  <c r="N10" i="8"/>
  <c r="L10" i="8"/>
  <c r="J10" i="8"/>
  <c r="I10" i="8"/>
  <c r="G10" i="8"/>
  <c r="F10" i="8"/>
  <c r="D10" i="8"/>
  <c r="B10" i="8"/>
  <c r="Z28" i="7"/>
  <c r="Y28" i="7"/>
  <c r="AB28" i="7" s="1"/>
  <c r="AD27" i="7"/>
  <c r="Z27" i="7"/>
  <c r="Y27" i="7"/>
  <c r="AB27" i="7" s="1"/>
  <c r="Z25" i="7"/>
  <c r="Y25" i="7"/>
  <c r="AB25" i="7" s="1"/>
  <c r="Z23" i="7"/>
  <c r="Y23" i="7"/>
  <c r="AB23" i="7" s="1"/>
  <c r="B19" i="7"/>
  <c r="W17" i="7"/>
  <c r="W19" i="7" s="1"/>
  <c r="W21" i="7" s="1"/>
  <c r="W30" i="7" s="1"/>
  <c r="V17" i="7"/>
  <c r="V19" i="7" s="1"/>
  <c r="V21" i="7" s="1"/>
  <c r="V30" i="7" s="1"/>
  <c r="R17" i="7"/>
  <c r="K17" i="7"/>
  <c r="O17" i="7" s="1"/>
  <c r="J17" i="7"/>
  <c r="G17" i="7"/>
  <c r="B17" i="7"/>
  <c r="Z16" i="7"/>
  <c r="AD16" i="7" s="1"/>
  <c r="Y16" i="7"/>
  <c r="R16" i="7"/>
  <c r="K16" i="7"/>
  <c r="B16" i="7"/>
  <c r="Z15" i="7"/>
  <c r="AD15" i="7" s="1"/>
  <c r="Y15" i="7"/>
  <c r="B15" i="7"/>
  <c r="AD14" i="7"/>
  <c r="Z14" i="7"/>
  <c r="Y14" i="7"/>
  <c r="R14" i="7"/>
  <c r="B14" i="7"/>
  <c r="Z13" i="7"/>
  <c r="Y13" i="7"/>
  <c r="B13" i="7"/>
  <c r="B12" i="7"/>
  <c r="Z11" i="7"/>
  <c r="Y11" i="7"/>
  <c r="B11" i="7"/>
  <c r="AD10" i="7"/>
  <c r="AB10" i="7"/>
  <c r="AA10" i="7"/>
  <c r="B10" i="7"/>
  <c r="U3" i="7"/>
  <c r="Z27" i="6"/>
  <c r="Y27" i="6"/>
  <c r="AE20" i="6"/>
  <c r="B19" i="6"/>
  <c r="B17" i="6"/>
  <c r="H16" i="6"/>
  <c r="E16" i="6"/>
  <c r="B16" i="6"/>
  <c r="B15" i="6"/>
  <c r="P14" i="6"/>
  <c r="M14" i="6"/>
  <c r="B14" i="6"/>
  <c r="B13" i="6"/>
  <c r="B12" i="6"/>
  <c r="B11" i="6"/>
  <c r="AD10" i="6"/>
  <c r="Z10" i="6"/>
  <c r="Y10" i="6"/>
  <c r="X10" i="6"/>
  <c r="B10" i="6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O14" i="5"/>
  <c r="J14" i="5"/>
  <c r="G14" i="5"/>
  <c r="B14" i="5"/>
  <c r="B13" i="5"/>
  <c r="P12" i="5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C20" i="4"/>
  <c r="AC10" i="4"/>
  <c r="AA10" i="4"/>
  <c r="Z10" i="4"/>
  <c r="I7" i="4"/>
  <c r="F7" i="4"/>
  <c r="D7" i="4"/>
  <c r="B6" i="4"/>
  <c r="T3" i="4"/>
  <c r="X27" i="3"/>
  <c r="W27" i="3"/>
  <c r="AC20" i="3"/>
  <c r="B19" i="3"/>
  <c r="B18" i="3"/>
  <c r="B17" i="3"/>
  <c r="J16" i="3"/>
  <c r="B16" i="3"/>
  <c r="B15" i="3"/>
  <c r="R14" i="3"/>
  <c r="B14" i="3"/>
  <c r="B13" i="3"/>
  <c r="B12" i="3"/>
  <c r="V11" i="3"/>
  <c r="B11" i="3"/>
  <c r="AB10" i="3"/>
  <c r="Y10" i="3"/>
  <c r="AA10" i="6" s="1"/>
  <c r="X10" i="3"/>
  <c r="W10" i="3"/>
  <c r="AC10" i="3" s="1"/>
  <c r="V10" i="3"/>
  <c r="U10" i="3"/>
  <c r="B10" i="3"/>
  <c r="H7" i="3"/>
  <c r="H7" i="8" s="1"/>
  <c r="H7" i="9" s="1"/>
  <c r="E7" i="3"/>
  <c r="C7" i="3"/>
  <c r="C7" i="8" s="1"/>
  <c r="C7" i="9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4" i="2"/>
  <c r="D4" i="2"/>
  <c r="B4" i="2"/>
  <c r="A4" i="2"/>
  <c r="B3" i="2"/>
  <c r="A3" i="2"/>
  <c r="A4" i="10" l="1"/>
  <c r="A5" i="5"/>
  <c r="A6" i="10"/>
  <c r="X10" i="10" s="1"/>
  <c r="A7" i="5"/>
  <c r="A5" i="10"/>
  <c r="J15" i="7"/>
  <c r="J13" i="7"/>
  <c r="I20" i="5"/>
  <c r="A6" i="5"/>
  <c r="I20" i="4"/>
  <c r="P16" i="3"/>
  <c r="P16" i="6" s="1"/>
  <c r="P46" i="6"/>
  <c r="H46" i="6"/>
  <c r="P42" i="6"/>
  <c r="H42" i="6"/>
  <c r="P39" i="6"/>
  <c r="H39" i="6"/>
  <c r="P38" i="6"/>
  <c r="H38" i="6"/>
  <c r="P32" i="6"/>
  <c r="H32" i="6"/>
  <c r="P30" i="6"/>
  <c r="H30" i="6"/>
  <c r="P27" i="6"/>
  <c r="H27" i="6"/>
  <c r="P26" i="6"/>
  <c r="H26" i="6"/>
  <c r="P22" i="6"/>
  <c r="H19" i="6"/>
  <c r="P18" i="6"/>
  <c r="H18" i="6"/>
  <c r="P17" i="6"/>
  <c r="H17" i="6"/>
  <c r="P15" i="6"/>
  <c r="H15" i="6"/>
  <c r="H14" i="6"/>
  <c r="P13" i="6"/>
  <c r="H13" i="6"/>
  <c r="P12" i="6"/>
  <c r="H12" i="6"/>
  <c r="P11" i="6"/>
  <c r="H11" i="6"/>
  <c r="P10" i="6"/>
  <c r="H10" i="6"/>
  <c r="B5" i="2"/>
  <c r="C438" i="12"/>
  <c r="C59" i="12"/>
  <c r="A7" i="10"/>
  <c r="O15" i="7"/>
  <c r="E32" i="5"/>
  <c r="E28" i="5"/>
  <c r="E34" i="5" s="1"/>
  <c r="A8" i="5"/>
  <c r="G16" i="4"/>
  <c r="M46" i="6"/>
  <c r="K46" i="6"/>
  <c r="E46" i="6"/>
  <c r="C46" i="6"/>
  <c r="M42" i="6"/>
  <c r="K42" i="6"/>
  <c r="E42" i="6"/>
  <c r="C42" i="6"/>
  <c r="M39" i="6"/>
  <c r="K39" i="6"/>
  <c r="E39" i="6"/>
  <c r="C39" i="6"/>
  <c r="M38" i="6"/>
  <c r="K38" i="6"/>
  <c r="E38" i="6"/>
  <c r="C38" i="6"/>
  <c r="M32" i="6"/>
  <c r="K32" i="6"/>
  <c r="E32" i="6"/>
  <c r="C32" i="6"/>
  <c r="M30" i="6"/>
  <c r="K30" i="6"/>
  <c r="E30" i="6"/>
  <c r="C30" i="6"/>
  <c r="M27" i="6"/>
  <c r="K27" i="6"/>
  <c r="E27" i="6"/>
  <c r="C27" i="6"/>
  <c r="M26" i="6"/>
  <c r="K26" i="6"/>
  <c r="E26" i="6"/>
  <c r="C26" i="6"/>
  <c r="M22" i="6"/>
  <c r="K22" i="6"/>
  <c r="E22" i="6"/>
  <c r="C22" i="6"/>
  <c r="M18" i="6"/>
  <c r="K18" i="6"/>
  <c r="E18" i="6"/>
  <c r="C18" i="6"/>
  <c r="M17" i="6"/>
  <c r="K17" i="6"/>
  <c r="E17" i="6"/>
  <c r="C17" i="6"/>
  <c r="K16" i="6"/>
  <c r="C16" i="6"/>
  <c r="M15" i="6"/>
  <c r="K15" i="6"/>
  <c r="E15" i="6"/>
  <c r="C15" i="6"/>
  <c r="K14" i="6"/>
  <c r="E14" i="6"/>
  <c r="C14" i="6"/>
  <c r="M13" i="6"/>
  <c r="K13" i="6"/>
  <c r="E13" i="6"/>
  <c r="C13" i="6"/>
  <c r="M12" i="6"/>
  <c r="K12" i="6"/>
  <c r="E12" i="6"/>
  <c r="C12" i="6"/>
  <c r="M11" i="6"/>
  <c r="K11" i="6"/>
  <c r="E11" i="6"/>
  <c r="C11" i="6"/>
  <c r="M10" i="6"/>
  <c r="K10" i="6"/>
  <c r="E10" i="6"/>
  <c r="C10" i="6"/>
  <c r="T6" i="3"/>
  <c r="B6" i="11"/>
  <c r="B6" i="8"/>
  <c r="B6" i="7"/>
  <c r="U6" i="7" s="1"/>
  <c r="M7" i="3"/>
  <c r="V7" i="3" s="1"/>
  <c r="Y7" i="3" s="1"/>
  <c r="E7" i="8"/>
  <c r="W10" i="6"/>
  <c r="AK8" i="11"/>
  <c r="AB8" i="11"/>
  <c r="B18" i="7"/>
  <c r="B18" i="6"/>
  <c r="T6" i="4"/>
  <c r="B6" i="10"/>
  <c r="T6" i="10" s="1"/>
  <c r="B6" i="6"/>
  <c r="V6" i="6" s="1"/>
  <c r="B6" i="5"/>
  <c r="C7" i="10"/>
  <c r="C7" i="7"/>
  <c r="C7" i="6"/>
  <c r="C7" i="5"/>
  <c r="K7" i="5" s="1"/>
  <c r="N7" i="4"/>
  <c r="V7" i="4" s="1"/>
  <c r="Y7" i="4" s="1"/>
  <c r="E7" i="10"/>
  <c r="M7" i="10" s="1"/>
  <c r="V7" i="10" s="1"/>
  <c r="Y7" i="10" s="1"/>
  <c r="E7" i="7"/>
  <c r="M7" i="7" s="1"/>
  <c r="W7" i="7" s="1"/>
  <c r="Z7" i="7" s="1"/>
  <c r="E7" i="6"/>
  <c r="M7" i="6" s="1"/>
  <c r="X7" i="6" s="1"/>
  <c r="AA7" i="6" s="1"/>
  <c r="E7" i="5"/>
  <c r="M7" i="5" s="1"/>
  <c r="H7" i="10"/>
  <c r="H7" i="7"/>
  <c r="H7" i="6"/>
  <c r="H7" i="5"/>
  <c r="P7" i="5" s="1"/>
  <c r="X11" i="6"/>
  <c r="AE10" i="6"/>
  <c r="AG8" i="11"/>
  <c r="X8" i="11"/>
  <c r="AC10" i="6"/>
  <c r="AI8" i="11"/>
  <c r="Z8" i="11"/>
  <c r="AJ8" i="11"/>
  <c r="AA8" i="11"/>
  <c r="AG21" i="11"/>
  <c r="X21" i="11"/>
  <c r="Z21" i="11"/>
  <c r="U19" i="8"/>
  <c r="U17" i="9"/>
  <c r="V19" i="8"/>
  <c r="V21" i="8" s="1"/>
  <c r="V30" i="8" s="1"/>
  <c r="V17" i="9"/>
  <c r="O22" i="8"/>
  <c r="K24" i="9"/>
  <c r="O24" i="9" s="1"/>
  <c r="G32" i="8"/>
  <c r="C39" i="9"/>
  <c r="O32" i="8"/>
  <c r="K39" i="9"/>
  <c r="M46" i="9"/>
  <c r="K46" i="9"/>
  <c r="O46" i="9" s="1"/>
  <c r="E46" i="9"/>
  <c r="C46" i="9"/>
  <c r="G46" i="9" s="1"/>
  <c r="M45" i="9"/>
  <c r="E45" i="9"/>
  <c r="M44" i="9"/>
  <c r="E44" i="9"/>
  <c r="K43" i="9"/>
  <c r="O43" i="9" s="1"/>
  <c r="C43" i="9"/>
  <c r="M42" i="9"/>
  <c r="E42" i="9"/>
  <c r="K41" i="9"/>
  <c r="O41" i="9" s="1"/>
  <c r="C41" i="9"/>
  <c r="G41" i="9" s="1"/>
  <c r="M40" i="9"/>
  <c r="E40" i="9"/>
  <c r="M39" i="9"/>
  <c r="E39" i="9"/>
  <c r="M38" i="9"/>
  <c r="K38" i="9"/>
  <c r="O38" i="9" s="1"/>
  <c r="E38" i="9"/>
  <c r="C38" i="9"/>
  <c r="G38" i="9" s="1"/>
  <c r="M37" i="9"/>
  <c r="E37" i="9"/>
  <c r="K36" i="9"/>
  <c r="C36" i="9"/>
  <c r="M35" i="9"/>
  <c r="E35" i="9"/>
  <c r="K34" i="9"/>
  <c r="O34" i="9" s="1"/>
  <c r="C34" i="9"/>
  <c r="G34" i="9" s="1"/>
  <c r="M33" i="9"/>
  <c r="E33" i="9"/>
  <c r="M31" i="9"/>
  <c r="K31" i="9"/>
  <c r="O31" i="9" s="1"/>
  <c r="E31" i="9"/>
  <c r="C31" i="9"/>
  <c r="G31" i="9" s="1"/>
  <c r="M30" i="9"/>
  <c r="K30" i="9"/>
  <c r="O30" i="9" s="1"/>
  <c r="E30" i="9"/>
  <c r="C30" i="9"/>
  <c r="G30" i="9" s="1"/>
  <c r="U29" i="9"/>
  <c r="M29" i="9"/>
  <c r="E29" i="9"/>
  <c r="AB28" i="9"/>
  <c r="AC28" i="9" s="1"/>
  <c r="Y28" i="9"/>
  <c r="Z28" i="9" s="1"/>
  <c r="U28" i="9"/>
  <c r="K28" i="9"/>
  <c r="O28" i="9" s="1"/>
  <c r="C28" i="9"/>
  <c r="G28" i="9" s="1"/>
  <c r="AB27" i="9"/>
  <c r="Y27" i="9"/>
  <c r="U27" i="9"/>
  <c r="M27" i="9"/>
  <c r="E27" i="9"/>
  <c r="U26" i="9"/>
  <c r="M26" i="9"/>
  <c r="K26" i="9"/>
  <c r="O26" i="9" s="1"/>
  <c r="E26" i="9"/>
  <c r="C26" i="9"/>
  <c r="G26" i="9" s="1"/>
  <c r="AB25" i="9"/>
  <c r="AK24" i="11" s="1"/>
  <c r="Y25" i="9"/>
  <c r="W25" i="9"/>
  <c r="U25" i="9"/>
  <c r="M25" i="9"/>
  <c r="E25" i="9"/>
  <c r="U24" i="9"/>
  <c r="C24" i="9"/>
  <c r="G24" i="9" s="1"/>
  <c r="U23" i="9"/>
  <c r="M23" i="9"/>
  <c r="E23" i="9"/>
  <c r="U22" i="9"/>
  <c r="M22" i="9"/>
  <c r="K22" i="9"/>
  <c r="O22" i="9" s="1"/>
  <c r="E22" i="9"/>
  <c r="C22" i="9"/>
  <c r="G22" i="9" s="1"/>
  <c r="AB21" i="9"/>
  <c r="W21" i="9"/>
  <c r="W30" i="9" s="1"/>
  <c r="M21" i="9"/>
  <c r="R21" i="9" s="1"/>
  <c r="E21" i="9"/>
  <c r="U20" i="9"/>
  <c r="AB19" i="9"/>
  <c r="W19" i="9"/>
  <c r="M19" i="9"/>
  <c r="K19" i="9"/>
  <c r="E19" i="9"/>
  <c r="C19" i="9"/>
  <c r="U18" i="9"/>
  <c r="M18" i="9"/>
  <c r="R18" i="9" s="1"/>
  <c r="K18" i="9"/>
  <c r="E18" i="9"/>
  <c r="C18" i="9"/>
  <c r="G18" i="9" s="1"/>
  <c r="AB17" i="9"/>
  <c r="W17" i="9"/>
  <c r="M17" i="9"/>
  <c r="R17" i="9" s="1"/>
  <c r="K17" i="9"/>
  <c r="E17" i="9"/>
  <c r="C17" i="9"/>
  <c r="G17" i="9" s="1"/>
  <c r="AB16" i="9"/>
  <c r="Y16" i="9"/>
  <c r="W16" i="9"/>
  <c r="V16" i="9"/>
  <c r="U16" i="9"/>
  <c r="M16" i="9"/>
  <c r="R16" i="9" s="1"/>
  <c r="K16" i="9"/>
  <c r="E16" i="9"/>
  <c r="E16" i="11" s="1"/>
  <c r="C16" i="9"/>
  <c r="G16" i="9" s="1"/>
  <c r="AB15" i="9"/>
  <c r="Y15" i="9"/>
  <c r="W15" i="9"/>
  <c r="V15" i="9"/>
  <c r="U15" i="9"/>
  <c r="M15" i="9"/>
  <c r="K15" i="9"/>
  <c r="E15" i="9"/>
  <c r="C15" i="9"/>
  <c r="G15" i="9" s="1"/>
  <c r="AB14" i="9"/>
  <c r="AC14" i="9" s="1"/>
  <c r="Y14" i="9"/>
  <c r="W14" i="9"/>
  <c r="V14" i="9"/>
  <c r="U14" i="9"/>
  <c r="M14" i="9"/>
  <c r="M14" i="11" s="1"/>
  <c r="K14" i="9"/>
  <c r="E14" i="9"/>
  <c r="C14" i="9"/>
  <c r="G14" i="9" s="1"/>
  <c r="AB13" i="9"/>
  <c r="Y13" i="9"/>
  <c r="W13" i="9"/>
  <c r="V13" i="9"/>
  <c r="U13" i="9"/>
  <c r="M13" i="9"/>
  <c r="K13" i="9"/>
  <c r="E13" i="9"/>
  <c r="C13" i="9"/>
  <c r="G13" i="9" s="1"/>
  <c r="U12" i="9"/>
  <c r="M12" i="9"/>
  <c r="K12" i="9"/>
  <c r="E12" i="9"/>
  <c r="C12" i="9"/>
  <c r="G12" i="9" s="1"/>
  <c r="AB11" i="9"/>
  <c r="Y11" i="9"/>
  <c r="W11" i="9"/>
  <c r="V11" i="9"/>
  <c r="V19" i="9" s="1"/>
  <c r="U11" i="9"/>
  <c r="M11" i="9"/>
  <c r="K11" i="9"/>
  <c r="E11" i="9"/>
  <c r="C11" i="9"/>
  <c r="G11" i="9" s="1"/>
  <c r="AB10" i="9"/>
  <c r="Y10" i="9"/>
  <c r="X10" i="9"/>
  <c r="AA10" i="9" s="1"/>
  <c r="W10" i="9"/>
  <c r="AC10" i="9" s="1"/>
  <c r="V10" i="9"/>
  <c r="V21" i="9" s="1"/>
  <c r="V30" i="9" s="1"/>
  <c r="U10" i="9"/>
  <c r="M10" i="9"/>
  <c r="K10" i="9"/>
  <c r="E10" i="9"/>
  <c r="C10" i="9"/>
  <c r="G10" i="9" s="1"/>
  <c r="P47" i="9"/>
  <c r="P46" i="9"/>
  <c r="H46" i="9"/>
  <c r="P45" i="9"/>
  <c r="H45" i="9"/>
  <c r="P44" i="9"/>
  <c r="H44" i="9"/>
  <c r="P43" i="9"/>
  <c r="H43" i="9"/>
  <c r="P42" i="9"/>
  <c r="H42" i="9"/>
  <c r="P41" i="9"/>
  <c r="H41" i="9"/>
  <c r="P40" i="9"/>
  <c r="H40" i="9"/>
  <c r="P39" i="9"/>
  <c r="H39" i="9"/>
  <c r="P38" i="9"/>
  <c r="H38" i="9"/>
  <c r="P37" i="9"/>
  <c r="H37" i="9"/>
  <c r="P36" i="9"/>
  <c r="H36" i="9"/>
  <c r="P35" i="9"/>
  <c r="H35" i="9"/>
  <c r="P34" i="9"/>
  <c r="H34" i="9"/>
  <c r="P33" i="9"/>
  <c r="H33" i="9"/>
  <c r="P32" i="9"/>
  <c r="H32" i="9"/>
  <c r="P31" i="9"/>
  <c r="H31" i="9"/>
  <c r="P30" i="9"/>
  <c r="H30" i="9"/>
  <c r="P29" i="9"/>
  <c r="H29" i="9"/>
  <c r="P28" i="9"/>
  <c r="H28" i="9"/>
  <c r="P27" i="9"/>
  <c r="H27" i="9"/>
  <c r="P26" i="9"/>
  <c r="H26" i="9"/>
  <c r="P25" i="9"/>
  <c r="H25" i="9"/>
  <c r="P24" i="9"/>
  <c r="H24" i="9"/>
  <c r="P23" i="9"/>
  <c r="H23" i="9"/>
  <c r="P22" i="9"/>
  <c r="H22" i="9"/>
  <c r="P21" i="9"/>
  <c r="H21" i="9"/>
  <c r="P20" i="9"/>
  <c r="H20" i="9"/>
  <c r="P19" i="9"/>
  <c r="H19" i="9"/>
  <c r="I19" i="9" s="1"/>
  <c r="P18" i="9"/>
  <c r="Q18" i="9" s="1"/>
  <c r="H18" i="9"/>
  <c r="I18" i="9" s="1"/>
  <c r="P17" i="9"/>
  <c r="Q17" i="9" s="1"/>
  <c r="H17" i="9"/>
  <c r="I17" i="9" s="1"/>
  <c r="P16" i="9"/>
  <c r="Q16" i="9" s="1"/>
  <c r="H16" i="9"/>
  <c r="P15" i="9"/>
  <c r="Q15" i="9" s="1"/>
  <c r="H15" i="9"/>
  <c r="I15" i="9" s="1"/>
  <c r="P14" i="9"/>
  <c r="H14" i="9"/>
  <c r="I14" i="9" s="1"/>
  <c r="P13" i="9"/>
  <c r="Q13" i="9" s="1"/>
  <c r="H13" i="9"/>
  <c r="I13" i="9" s="1"/>
  <c r="P12" i="9"/>
  <c r="Q12" i="9" s="1"/>
  <c r="H12" i="9"/>
  <c r="I12" i="9" s="1"/>
  <c r="P11" i="9"/>
  <c r="Q11" i="9" s="1"/>
  <c r="H11" i="9"/>
  <c r="I11" i="9" s="1"/>
  <c r="P10" i="9"/>
  <c r="Q10" i="9" s="1"/>
  <c r="H10" i="9"/>
  <c r="I10" i="9" s="1"/>
  <c r="AD8" i="11"/>
  <c r="AC8" i="11"/>
  <c r="U7" i="10"/>
  <c r="K7" i="10"/>
  <c r="X7" i="10" s="1"/>
  <c r="W7" i="10"/>
  <c r="AB7" i="10" s="1"/>
  <c r="P7" i="10"/>
  <c r="AA10" i="10"/>
  <c r="AC10" i="10"/>
  <c r="Z10" i="10"/>
  <c r="Z23" i="10"/>
  <c r="Z25" i="10"/>
  <c r="C28" i="10"/>
  <c r="G26" i="10"/>
  <c r="K31" i="10"/>
  <c r="O27" i="10"/>
  <c r="Z27" i="10"/>
  <c r="I28" i="10"/>
  <c r="J28" i="10"/>
  <c r="R28" i="10"/>
  <c r="G30" i="10"/>
  <c r="R42" i="10"/>
  <c r="AH9" i="9"/>
  <c r="AI7" i="9"/>
  <c r="AI8" i="9" s="1"/>
  <c r="U7" i="9"/>
  <c r="X7" i="9" s="1"/>
  <c r="K7" i="9"/>
  <c r="W7" i="9"/>
  <c r="AB7" i="9" s="1"/>
  <c r="P7" i="9"/>
  <c r="J10" i="9"/>
  <c r="F10" i="9"/>
  <c r="O10" i="9"/>
  <c r="L10" i="9"/>
  <c r="R10" i="9"/>
  <c r="N10" i="9"/>
  <c r="Z10" i="9"/>
  <c r="J11" i="9"/>
  <c r="F11" i="9"/>
  <c r="O11" i="9"/>
  <c r="L11" i="9"/>
  <c r="R11" i="9"/>
  <c r="N11" i="9"/>
  <c r="Y19" i="9"/>
  <c r="Z11" i="9"/>
  <c r="AC11" i="9"/>
  <c r="J12" i="9"/>
  <c r="F12" i="9"/>
  <c r="O12" i="9"/>
  <c r="L12" i="9"/>
  <c r="R12" i="9"/>
  <c r="N12" i="9"/>
  <c r="J13" i="9"/>
  <c r="F13" i="9"/>
  <c r="O13" i="9"/>
  <c r="L13" i="9"/>
  <c r="R13" i="9"/>
  <c r="N13" i="9"/>
  <c r="AA13" i="9"/>
  <c r="Z13" i="9"/>
  <c r="AC13" i="9"/>
  <c r="J14" i="9"/>
  <c r="F14" i="9"/>
  <c r="O14" i="9"/>
  <c r="L14" i="9"/>
  <c r="R14" i="9"/>
  <c r="N14" i="9"/>
  <c r="AA14" i="9"/>
  <c r="Z14" i="9"/>
  <c r="J15" i="9"/>
  <c r="F15" i="9"/>
  <c r="O15" i="9"/>
  <c r="L15" i="9"/>
  <c r="R15" i="9"/>
  <c r="N15" i="9"/>
  <c r="AA15" i="9"/>
  <c r="Z15" i="9"/>
  <c r="AC15" i="9"/>
  <c r="J16" i="9"/>
  <c r="F16" i="9"/>
  <c r="O16" i="9"/>
  <c r="L16" i="9"/>
  <c r="AA16" i="9"/>
  <c r="Z16" i="9"/>
  <c r="AC16" i="9"/>
  <c r="J17" i="9"/>
  <c r="F17" i="9"/>
  <c r="O17" i="9"/>
  <c r="L17" i="9"/>
  <c r="AC17" i="9"/>
  <c r="J18" i="9"/>
  <c r="F18" i="9"/>
  <c r="O18" i="9"/>
  <c r="L18" i="9"/>
  <c r="J19" i="9"/>
  <c r="F19" i="9"/>
  <c r="O19" i="9"/>
  <c r="L19" i="9"/>
  <c r="AC19" i="9"/>
  <c r="J20" i="9"/>
  <c r="F20" i="9"/>
  <c r="I46" i="9"/>
  <c r="I45" i="9"/>
  <c r="I43" i="9"/>
  <c r="I42" i="9"/>
  <c r="I41" i="9"/>
  <c r="I39" i="9"/>
  <c r="I38" i="9"/>
  <c r="I36" i="9"/>
  <c r="I34" i="9"/>
  <c r="I32" i="9"/>
  <c r="I31" i="9"/>
  <c r="I30" i="9"/>
  <c r="I28" i="9"/>
  <c r="I27" i="9"/>
  <c r="I26" i="9"/>
  <c r="I24" i="9"/>
  <c r="I22" i="9"/>
  <c r="I20" i="9"/>
  <c r="L46" i="9"/>
  <c r="L43" i="9"/>
  <c r="L41" i="9"/>
  <c r="L39" i="9"/>
  <c r="L38" i="9"/>
  <c r="L36" i="9"/>
  <c r="L34" i="9"/>
  <c r="L32" i="9"/>
  <c r="L31" i="9"/>
  <c r="L30" i="9"/>
  <c r="L28" i="9"/>
  <c r="L26" i="9"/>
  <c r="L24" i="9"/>
  <c r="L22" i="9"/>
  <c r="L21" i="9"/>
  <c r="O20" i="9"/>
  <c r="L20" i="9"/>
  <c r="R20" i="9"/>
  <c r="N20" i="9"/>
  <c r="Q46" i="9"/>
  <c r="Q45" i="9"/>
  <c r="Q43" i="9"/>
  <c r="Q42" i="9"/>
  <c r="Q41" i="9"/>
  <c r="Q39" i="9"/>
  <c r="Q38" i="9"/>
  <c r="Q36" i="9"/>
  <c r="Q34" i="9"/>
  <c r="Q32" i="9"/>
  <c r="Q31" i="9"/>
  <c r="Q30" i="9"/>
  <c r="Q28" i="9"/>
  <c r="Q27" i="9"/>
  <c r="Q26" i="9"/>
  <c r="Q24" i="9"/>
  <c r="Q22" i="9"/>
  <c r="Q21" i="9"/>
  <c r="Q20" i="9"/>
  <c r="AB30" i="9"/>
  <c r="J22" i="9"/>
  <c r="F22" i="9"/>
  <c r="R22" i="9"/>
  <c r="N22" i="9"/>
  <c r="Z25" i="9"/>
  <c r="AC25" i="9"/>
  <c r="J26" i="9"/>
  <c r="F26" i="9"/>
  <c r="R26" i="9"/>
  <c r="N26" i="9"/>
  <c r="J27" i="9"/>
  <c r="F27" i="9"/>
  <c r="R27" i="9"/>
  <c r="N27" i="9"/>
  <c r="Z27" i="9"/>
  <c r="J28" i="9"/>
  <c r="F28" i="9"/>
  <c r="R28" i="9"/>
  <c r="N28" i="9"/>
  <c r="J30" i="9"/>
  <c r="F30" i="9"/>
  <c r="R30" i="9"/>
  <c r="N30" i="9"/>
  <c r="J31" i="9"/>
  <c r="F31" i="9"/>
  <c r="R31" i="9"/>
  <c r="N31" i="9"/>
  <c r="J32" i="9"/>
  <c r="F32" i="9"/>
  <c r="R32" i="9"/>
  <c r="N32" i="9"/>
  <c r="J38" i="9"/>
  <c r="F38" i="9"/>
  <c r="R38" i="9"/>
  <c r="N38" i="9"/>
  <c r="J39" i="9"/>
  <c r="F39" i="9"/>
  <c r="R39" i="9"/>
  <c r="N39" i="9"/>
  <c r="J42" i="9"/>
  <c r="F42" i="9"/>
  <c r="R42" i="9"/>
  <c r="N42" i="9"/>
  <c r="J45" i="9"/>
  <c r="F45" i="9"/>
  <c r="R45" i="9"/>
  <c r="N45" i="9"/>
  <c r="J46" i="9"/>
  <c r="F46" i="9"/>
  <c r="R46" i="9"/>
  <c r="N46" i="9"/>
  <c r="U7" i="8"/>
  <c r="X7" i="8" s="1"/>
  <c r="K7" i="8"/>
  <c r="W7" i="8"/>
  <c r="AB7" i="8" s="1"/>
  <c r="P7" i="8"/>
  <c r="AA11" i="8"/>
  <c r="Z11" i="8"/>
  <c r="X17" i="8"/>
  <c r="X17" i="9" s="1"/>
  <c r="AA13" i="8"/>
  <c r="Z13" i="8"/>
  <c r="AA14" i="8"/>
  <c r="Z14" i="8"/>
  <c r="AA15" i="8"/>
  <c r="Z15" i="8"/>
  <c r="AA16" i="8"/>
  <c r="Z16" i="8"/>
  <c r="Y19" i="8"/>
  <c r="AC17" i="8"/>
  <c r="Z17" i="8"/>
  <c r="D45" i="8"/>
  <c r="D42" i="8"/>
  <c r="D39" i="8"/>
  <c r="D38" i="8"/>
  <c r="D32" i="8"/>
  <c r="D31" i="8"/>
  <c r="D30" i="8"/>
  <c r="D28" i="8"/>
  <c r="D27" i="8"/>
  <c r="D26" i="8"/>
  <c r="C24" i="8"/>
  <c r="C27" i="9" s="1"/>
  <c r="G27" i="9" s="1"/>
  <c r="D22" i="8"/>
  <c r="G20" i="8"/>
  <c r="D20" i="8"/>
  <c r="F46" i="8"/>
  <c r="F45" i="8"/>
  <c r="F42" i="8"/>
  <c r="F39" i="8"/>
  <c r="F38" i="8"/>
  <c r="F31" i="8"/>
  <c r="F30" i="8"/>
  <c r="F27" i="8"/>
  <c r="F26" i="8"/>
  <c r="E24" i="8"/>
  <c r="E24" i="9" s="1"/>
  <c r="F22" i="8"/>
  <c r="J20" i="8"/>
  <c r="F20" i="8"/>
  <c r="L42" i="8"/>
  <c r="L39" i="8"/>
  <c r="L38" i="8"/>
  <c r="L32" i="8"/>
  <c r="L31" i="8"/>
  <c r="L30" i="8"/>
  <c r="L28" i="8"/>
  <c r="L27" i="8"/>
  <c r="L26" i="8"/>
  <c r="K24" i="8"/>
  <c r="K27" i="9" s="1"/>
  <c r="L22" i="8"/>
  <c r="O20" i="8"/>
  <c r="L20" i="8"/>
  <c r="N46" i="8"/>
  <c r="N45" i="8"/>
  <c r="N42" i="8"/>
  <c r="N39" i="8"/>
  <c r="N38" i="8"/>
  <c r="N31" i="8"/>
  <c r="N30" i="8"/>
  <c r="N27" i="8"/>
  <c r="N26" i="8"/>
  <c r="M24" i="8"/>
  <c r="M24" i="9" s="1"/>
  <c r="N22" i="8"/>
  <c r="R20" i="8"/>
  <c r="N20" i="8"/>
  <c r="AA25" i="8"/>
  <c r="Z25" i="8"/>
  <c r="AA27" i="8"/>
  <c r="Z27" i="8"/>
  <c r="C34" i="8"/>
  <c r="C42" i="9" s="1"/>
  <c r="G42" i="9" s="1"/>
  <c r="G28" i="8"/>
  <c r="E34" i="8"/>
  <c r="E34" i="9" s="1"/>
  <c r="J28" i="8"/>
  <c r="F28" i="8"/>
  <c r="K34" i="8"/>
  <c r="K42" i="9" s="1"/>
  <c r="O28" i="8"/>
  <c r="M34" i="8"/>
  <c r="M34" i="9" s="1"/>
  <c r="R28" i="8"/>
  <c r="N28" i="8"/>
  <c r="J32" i="8"/>
  <c r="F32" i="8"/>
  <c r="R32" i="8"/>
  <c r="N32" i="8"/>
  <c r="V7" i="7"/>
  <c r="Y7" i="7" s="1"/>
  <c r="K7" i="7"/>
  <c r="X7" i="7"/>
  <c r="AC7" i="7" s="1"/>
  <c r="P7" i="7"/>
  <c r="C20" i="7"/>
  <c r="G10" i="7"/>
  <c r="D10" i="7"/>
  <c r="E20" i="7"/>
  <c r="F10" i="7"/>
  <c r="H20" i="7"/>
  <c r="J10" i="7"/>
  <c r="I10" i="7"/>
  <c r="K20" i="7"/>
  <c r="O10" i="7"/>
  <c r="L10" i="7"/>
  <c r="M20" i="7"/>
  <c r="N10" i="7"/>
  <c r="P20" i="7"/>
  <c r="R10" i="7"/>
  <c r="Q10" i="7"/>
  <c r="G11" i="7"/>
  <c r="D11" i="7"/>
  <c r="F11" i="7"/>
  <c r="J11" i="7"/>
  <c r="I11" i="7"/>
  <c r="O11" i="7"/>
  <c r="L11" i="7"/>
  <c r="N11" i="7"/>
  <c r="R11" i="7"/>
  <c r="Q11" i="7"/>
  <c r="AB11" i="7"/>
  <c r="AD11" i="7"/>
  <c r="AA11" i="7"/>
  <c r="G12" i="7"/>
  <c r="D12" i="7"/>
  <c r="F12" i="7"/>
  <c r="J12" i="7"/>
  <c r="I12" i="7"/>
  <c r="O12" i="7"/>
  <c r="L12" i="7"/>
  <c r="N12" i="7"/>
  <c r="R12" i="7"/>
  <c r="Q12" i="7"/>
  <c r="G13" i="7"/>
  <c r="D13" i="7"/>
  <c r="O13" i="7"/>
  <c r="L13" i="7"/>
  <c r="N13" i="7"/>
  <c r="R13" i="7"/>
  <c r="Y17" i="7"/>
  <c r="AB13" i="7"/>
  <c r="AA13" i="7"/>
  <c r="Z17" i="7"/>
  <c r="AD13" i="7"/>
  <c r="AB14" i="7"/>
  <c r="AA14" i="7"/>
  <c r="G15" i="7"/>
  <c r="D15" i="7"/>
  <c r="R15" i="7"/>
  <c r="AB15" i="7"/>
  <c r="AA15" i="7"/>
  <c r="AB16" i="7"/>
  <c r="AA16" i="7"/>
  <c r="AB30" i="7"/>
  <c r="G22" i="7"/>
  <c r="D22" i="7"/>
  <c r="F22" i="7"/>
  <c r="J22" i="7"/>
  <c r="I22" i="7"/>
  <c r="O22" i="7"/>
  <c r="L22" i="7"/>
  <c r="N22" i="7"/>
  <c r="R22" i="7"/>
  <c r="Q22" i="7"/>
  <c r="AD23" i="7"/>
  <c r="AA23" i="7"/>
  <c r="AD25" i="7"/>
  <c r="AA25" i="7"/>
  <c r="C28" i="7"/>
  <c r="G26" i="7"/>
  <c r="D26" i="7"/>
  <c r="E28" i="7"/>
  <c r="F26" i="7"/>
  <c r="H28" i="7"/>
  <c r="J26" i="7"/>
  <c r="I26" i="7"/>
  <c r="K28" i="7"/>
  <c r="O26" i="7"/>
  <c r="L26" i="7"/>
  <c r="M28" i="7"/>
  <c r="N26" i="7"/>
  <c r="P28" i="7"/>
  <c r="R26" i="7"/>
  <c r="Q26" i="7"/>
  <c r="G27" i="7"/>
  <c r="D27" i="7"/>
  <c r="F27" i="7"/>
  <c r="J27" i="7"/>
  <c r="I27" i="7"/>
  <c r="O27" i="7"/>
  <c r="L27" i="7"/>
  <c r="N27" i="7"/>
  <c r="R27" i="7"/>
  <c r="Q27" i="7"/>
  <c r="AA27" i="7"/>
  <c r="AD28" i="7"/>
  <c r="AA28" i="7"/>
  <c r="C32" i="7"/>
  <c r="G30" i="7"/>
  <c r="D30" i="7"/>
  <c r="E32" i="7"/>
  <c r="F32" i="7" s="1"/>
  <c r="F30" i="7"/>
  <c r="H32" i="7"/>
  <c r="J30" i="7"/>
  <c r="I30" i="7"/>
  <c r="K32" i="7"/>
  <c r="O30" i="7"/>
  <c r="L30" i="7"/>
  <c r="M32" i="7"/>
  <c r="N32" i="7" s="1"/>
  <c r="N30" i="7"/>
  <c r="P32" i="7"/>
  <c r="R30" i="7"/>
  <c r="Q30" i="7"/>
  <c r="G31" i="7"/>
  <c r="D31" i="7"/>
  <c r="F31" i="7"/>
  <c r="J31" i="7"/>
  <c r="I31" i="7"/>
  <c r="O31" i="7"/>
  <c r="L31" i="7"/>
  <c r="N31" i="7"/>
  <c r="R31" i="7"/>
  <c r="Q31" i="7"/>
  <c r="G38" i="7"/>
  <c r="D38" i="7"/>
  <c r="F38" i="7"/>
  <c r="J38" i="7"/>
  <c r="I38" i="7"/>
  <c r="O38" i="7"/>
  <c r="L38" i="7"/>
  <c r="N38" i="7"/>
  <c r="R38" i="7"/>
  <c r="Q38" i="7"/>
  <c r="G39" i="7"/>
  <c r="D39" i="7"/>
  <c r="F39" i="7"/>
  <c r="J39" i="7"/>
  <c r="I39" i="7"/>
  <c r="O39" i="7"/>
  <c r="L39" i="7"/>
  <c r="N39" i="7"/>
  <c r="R39" i="7"/>
  <c r="Q39" i="7"/>
  <c r="G42" i="7"/>
  <c r="D42" i="7"/>
  <c r="F42" i="7"/>
  <c r="J42" i="7"/>
  <c r="I42" i="7"/>
  <c r="O42" i="7"/>
  <c r="L42" i="7"/>
  <c r="N42" i="7"/>
  <c r="R42" i="7"/>
  <c r="Q42" i="7"/>
  <c r="G46" i="7"/>
  <c r="D46" i="7"/>
  <c r="F46" i="7"/>
  <c r="J46" i="7"/>
  <c r="I46" i="7"/>
  <c r="O46" i="7"/>
  <c r="L46" i="7"/>
  <c r="N46" i="7"/>
  <c r="R46" i="7"/>
  <c r="Q46" i="7"/>
  <c r="W7" i="6"/>
  <c r="Z7" i="6" s="1"/>
  <c r="K7" i="6"/>
  <c r="Y7" i="6"/>
  <c r="AD7" i="6" s="1"/>
  <c r="P7" i="6"/>
  <c r="C20" i="6"/>
  <c r="G10" i="6"/>
  <c r="D10" i="6"/>
  <c r="E20" i="6"/>
  <c r="F10" i="6"/>
  <c r="J10" i="6"/>
  <c r="K20" i="6"/>
  <c r="O10" i="6"/>
  <c r="L10" i="6"/>
  <c r="P20" i="6"/>
  <c r="R10" i="6"/>
  <c r="Q10" i="6"/>
  <c r="AB10" i="6"/>
  <c r="G11" i="6"/>
  <c r="D11" i="6"/>
  <c r="F11" i="6"/>
  <c r="J11" i="6"/>
  <c r="O11" i="6"/>
  <c r="L11" i="6"/>
  <c r="R11" i="6"/>
  <c r="Q11" i="6"/>
  <c r="G12" i="6"/>
  <c r="D12" i="6"/>
  <c r="F12" i="6"/>
  <c r="J12" i="6"/>
  <c r="O12" i="6"/>
  <c r="L12" i="6"/>
  <c r="R12" i="6"/>
  <c r="Q12" i="6"/>
  <c r="G13" i="6"/>
  <c r="D13" i="6"/>
  <c r="F13" i="6"/>
  <c r="J13" i="6"/>
  <c r="O13" i="6"/>
  <c r="L13" i="6"/>
  <c r="R13" i="6"/>
  <c r="Q13" i="6"/>
  <c r="G14" i="6"/>
  <c r="D14" i="6"/>
  <c r="F14" i="6"/>
  <c r="J14" i="6"/>
  <c r="O14" i="6"/>
  <c r="L14" i="6"/>
  <c r="R14" i="6"/>
  <c r="Q14" i="6"/>
  <c r="G15" i="6"/>
  <c r="D15" i="6"/>
  <c r="F15" i="6"/>
  <c r="J15" i="6"/>
  <c r="O15" i="6"/>
  <c r="L15" i="6"/>
  <c r="R15" i="6"/>
  <c r="Q15" i="6"/>
  <c r="F16" i="6"/>
  <c r="J16" i="6"/>
  <c r="O16" i="6"/>
  <c r="L16" i="6"/>
  <c r="R16" i="6"/>
  <c r="Q16" i="6"/>
  <c r="F17" i="6"/>
  <c r="J17" i="6"/>
  <c r="O17" i="6"/>
  <c r="L17" i="6"/>
  <c r="R17" i="6"/>
  <c r="Q17" i="6"/>
  <c r="F18" i="6"/>
  <c r="J18" i="6"/>
  <c r="O18" i="6"/>
  <c r="L18" i="6"/>
  <c r="R18" i="6"/>
  <c r="Q18" i="6"/>
  <c r="G22" i="6"/>
  <c r="D22" i="6"/>
  <c r="F22" i="6"/>
  <c r="O22" i="6"/>
  <c r="L22" i="6"/>
  <c r="R22" i="6"/>
  <c r="Q22" i="6"/>
  <c r="C28" i="6"/>
  <c r="G26" i="6"/>
  <c r="D26" i="6"/>
  <c r="E28" i="6"/>
  <c r="F26" i="6"/>
  <c r="J26" i="6"/>
  <c r="K28" i="6"/>
  <c r="O26" i="6"/>
  <c r="L26" i="6"/>
  <c r="M28" i="6"/>
  <c r="P28" i="6"/>
  <c r="R26" i="6"/>
  <c r="Q26" i="6"/>
  <c r="G27" i="6"/>
  <c r="D27" i="6"/>
  <c r="F27" i="6"/>
  <c r="J27" i="6"/>
  <c r="O27" i="6"/>
  <c r="L27" i="6"/>
  <c r="R27" i="6"/>
  <c r="Q27" i="6"/>
  <c r="C33" i="6"/>
  <c r="G30" i="6"/>
  <c r="D30" i="6"/>
  <c r="E33" i="6"/>
  <c r="F30" i="6"/>
  <c r="H33" i="6"/>
  <c r="J30" i="6"/>
  <c r="K33" i="6"/>
  <c r="O30" i="6"/>
  <c r="L30" i="6"/>
  <c r="M33" i="6"/>
  <c r="P33" i="6"/>
  <c r="R30" i="6"/>
  <c r="Q30" i="6"/>
  <c r="G32" i="6"/>
  <c r="D32" i="6"/>
  <c r="F32" i="6"/>
  <c r="J32" i="6"/>
  <c r="O32" i="6"/>
  <c r="L32" i="6"/>
  <c r="R32" i="6"/>
  <c r="Q32" i="6"/>
  <c r="G38" i="6"/>
  <c r="D38" i="6"/>
  <c r="F38" i="6"/>
  <c r="J38" i="6"/>
  <c r="O38" i="6"/>
  <c r="L38" i="6"/>
  <c r="R38" i="6"/>
  <c r="Q38" i="6"/>
  <c r="G39" i="6"/>
  <c r="D39" i="6"/>
  <c r="F39" i="6"/>
  <c r="J39" i="6"/>
  <c r="O39" i="6"/>
  <c r="L39" i="6"/>
  <c r="R39" i="6"/>
  <c r="Q39" i="6"/>
  <c r="G42" i="6"/>
  <c r="D42" i="6"/>
  <c r="F42" i="6"/>
  <c r="J42" i="6"/>
  <c r="O42" i="6"/>
  <c r="L42" i="6"/>
  <c r="R42" i="6"/>
  <c r="Q42" i="6"/>
  <c r="G46" i="6"/>
  <c r="D46" i="6"/>
  <c r="F46" i="6"/>
  <c r="J46" i="6"/>
  <c r="O46" i="6"/>
  <c r="L46" i="6"/>
  <c r="R46" i="6"/>
  <c r="Q46" i="6"/>
  <c r="C20" i="5"/>
  <c r="G10" i="5"/>
  <c r="D10" i="5"/>
  <c r="R12" i="5"/>
  <c r="D13" i="5"/>
  <c r="H20" i="5"/>
  <c r="I13" i="5"/>
  <c r="K20" i="5"/>
  <c r="L13" i="5"/>
  <c r="R14" i="5"/>
  <c r="D18" i="5"/>
  <c r="L18" i="5"/>
  <c r="D22" i="5"/>
  <c r="I22" i="5"/>
  <c r="L22" i="5"/>
  <c r="G32" i="5"/>
  <c r="D32" i="5"/>
  <c r="O32" i="5"/>
  <c r="L32" i="5"/>
  <c r="O42" i="5"/>
  <c r="L42" i="5"/>
  <c r="U7" i="4"/>
  <c r="X7" i="4" s="1"/>
  <c r="L7" i="4"/>
  <c r="W7" i="4"/>
  <c r="AB7" i="4" s="1"/>
  <c r="P7" i="4"/>
  <c r="C20" i="4"/>
  <c r="G10" i="4"/>
  <c r="D10" i="4"/>
  <c r="E20" i="4"/>
  <c r="F10" i="4"/>
  <c r="H20" i="4"/>
  <c r="J10" i="4"/>
  <c r="I10" i="4"/>
  <c r="K20" i="4"/>
  <c r="O10" i="4"/>
  <c r="L10" i="4"/>
  <c r="M20" i="4"/>
  <c r="N10" i="4"/>
  <c r="P20" i="4"/>
  <c r="R10" i="4"/>
  <c r="Q10" i="4"/>
  <c r="G11" i="4"/>
  <c r="D11" i="4"/>
  <c r="F11" i="4"/>
  <c r="J11" i="4"/>
  <c r="I11" i="4"/>
  <c r="O11" i="4"/>
  <c r="L11" i="4"/>
  <c r="N11" i="4"/>
  <c r="R11" i="4"/>
  <c r="Q11" i="4"/>
  <c r="AA11" i="4"/>
  <c r="Z11" i="4"/>
  <c r="AC11" i="4"/>
  <c r="G12" i="4"/>
  <c r="D12" i="4"/>
  <c r="F12" i="4"/>
  <c r="J12" i="4"/>
  <c r="I12" i="4"/>
  <c r="O12" i="4"/>
  <c r="L12" i="4"/>
  <c r="N12" i="4"/>
  <c r="R12" i="4"/>
  <c r="Q12" i="4"/>
  <c r="G13" i="4"/>
  <c r="D13" i="4"/>
  <c r="F13" i="4"/>
  <c r="J13" i="4"/>
  <c r="I13" i="4"/>
  <c r="O13" i="4"/>
  <c r="L13" i="4"/>
  <c r="N13" i="4"/>
  <c r="R13" i="4"/>
  <c r="Q13" i="4"/>
  <c r="X17" i="4"/>
  <c r="Z17" i="6" s="1"/>
  <c r="AA13" i="4"/>
  <c r="Z13" i="4"/>
  <c r="AB17" i="4"/>
  <c r="AC13" i="4"/>
  <c r="G14" i="4"/>
  <c r="D14" i="4"/>
  <c r="F14" i="4"/>
  <c r="J14" i="4"/>
  <c r="I14" i="4"/>
  <c r="O14" i="4"/>
  <c r="L14" i="4"/>
  <c r="N14" i="4"/>
  <c r="R14" i="4"/>
  <c r="Q14" i="4"/>
  <c r="AA14" i="4"/>
  <c r="Z14" i="4"/>
  <c r="AC14" i="4"/>
  <c r="G15" i="4"/>
  <c r="D15" i="4"/>
  <c r="F15" i="4"/>
  <c r="J15" i="4"/>
  <c r="I15" i="4"/>
  <c r="O15" i="4"/>
  <c r="L15" i="4"/>
  <c r="N15" i="4"/>
  <c r="R15" i="4"/>
  <c r="Q15" i="4"/>
  <c r="AA15" i="4"/>
  <c r="Z15" i="4"/>
  <c r="AC15" i="4"/>
  <c r="F16" i="4"/>
  <c r="J16" i="4"/>
  <c r="I16" i="4"/>
  <c r="O16" i="4"/>
  <c r="L16" i="4"/>
  <c r="N16" i="4"/>
  <c r="R16" i="4"/>
  <c r="Q16" i="4"/>
  <c r="AA16" i="4"/>
  <c r="Z16" i="4"/>
  <c r="AC16" i="4"/>
  <c r="G17" i="4"/>
  <c r="D17" i="4"/>
  <c r="F17" i="4"/>
  <c r="J17" i="4"/>
  <c r="I17" i="4"/>
  <c r="O17" i="4"/>
  <c r="L17" i="4"/>
  <c r="N17" i="4"/>
  <c r="R17" i="4"/>
  <c r="Q17" i="4"/>
  <c r="G18" i="4"/>
  <c r="D18" i="4"/>
  <c r="F18" i="4"/>
  <c r="J18" i="4"/>
  <c r="I18" i="4"/>
  <c r="O18" i="4"/>
  <c r="L18" i="4"/>
  <c r="N18" i="4"/>
  <c r="R18" i="4"/>
  <c r="Q18" i="4"/>
  <c r="G19" i="4"/>
  <c r="D19" i="4"/>
  <c r="F19" i="4"/>
  <c r="J19" i="4"/>
  <c r="O19" i="4"/>
  <c r="L19" i="4"/>
  <c r="N19" i="4"/>
  <c r="Q19" i="4"/>
  <c r="G22" i="4"/>
  <c r="D22" i="4"/>
  <c r="F22" i="4"/>
  <c r="J22" i="4"/>
  <c r="I22" i="4"/>
  <c r="O22" i="4"/>
  <c r="L22" i="4"/>
  <c r="N22" i="4"/>
  <c r="R22" i="4"/>
  <c r="Q22" i="4"/>
  <c r="Z23" i="4"/>
  <c r="AC23" i="4"/>
  <c r="Z25" i="4"/>
  <c r="AC25" i="4"/>
  <c r="C28" i="4"/>
  <c r="G26" i="4"/>
  <c r="D26" i="4"/>
  <c r="E28" i="4"/>
  <c r="F26" i="4"/>
  <c r="H28" i="4"/>
  <c r="J26" i="4"/>
  <c r="I26" i="4"/>
  <c r="K28" i="4"/>
  <c r="O26" i="4"/>
  <c r="L26" i="4"/>
  <c r="M28" i="4"/>
  <c r="N26" i="4"/>
  <c r="P28" i="4"/>
  <c r="R26" i="4"/>
  <c r="Q26" i="4"/>
  <c r="G27" i="4"/>
  <c r="D27" i="4"/>
  <c r="F27" i="4"/>
  <c r="J27" i="4"/>
  <c r="I27" i="4"/>
  <c r="O27" i="4"/>
  <c r="L27" i="4"/>
  <c r="N27" i="4"/>
  <c r="R27" i="4"/>
  <c r="Q27" i="4"/>
  <c r="AA27" i="4"/>
  <c r="Z27" i="4"/>
  <c r="AC27" i="4"/>
  <c r="Z28" i="4"/>
  <c r="AC28" i="4"/>
  <c r="C32" i="4"/>
  <c r="G30" i="4"/>
  <c r="D30" i="4"/>
  <c r="E32" i="4"/>
  <c r="F32" i="4" s="1"/>
  <c r="F30" i="4"/>
  <c r="H32" i="4"/>
  <c r="J30" i="4"/>
  <c r="I30" i="4"/>
  <c r="K32" i="4"/>
  <c r="O30" i="4"/>
  <c r="L30" i="4"/>
  <c r="M32" i="4"/>
  <c r="N32" i="4" s="1"/>
  <c r="N30" i="4"/>
  <c r="P32" i="4"/>
  <c r="R30" i="4"/>
  <c r="Q30" i="4"/>
  <c r="G31" i="4"/>
  <c r="D31" i="4"/>
  <c r="F31" i="4"/>
  <c r="J31" i="4"/>
  <c r="I31" i="4"/>
  <c r="O31" i="4"/>
  <c r="L31" i="4"/>
  <c r="N31" i="4"/>
  <c r="R31" i="4"/>
  <c r="Q31" i="4"/>
  <c r="G38" i="4"/>
  <c r="D38" i="4"/>
  <c r="F38" i="4"/>
  <c r="J38" i="4"/>
  <c r="I38" i="4"/>
  <c r="O38" i="4"/>
  <c r="L38" i="4"/>
  <c r="N38" i="4"/>
  <c r="R38" i="4"/>
  <c r="Q38" i="4"/>
  <c r="G39" i="4"/>
  <c r="D39" i="4"/>
  <c r="F39" i="4"/>
  <c r="J39" i="4"/>
  <c r="I39" i="4"/>
  <c r="O39" i="4"/>
  <c r="L39" i="4"/>
  <c r="N39" i="4"/>
  <c r="R39" i="4"/>
  <c r="Q39" i="4"/>
  <c r="G42" i="4"/>
  <c r="D42" i="4"/>
  <c r="F42" i="4"/>
  <c r="J42" i="4"/>
  <c r="I42" i="4"/>
  <c r="O42" i="4"/>
  <c r="L42" i="4"/>
  <c r="N42" i="4"/>
  <c r="R42" i="4"/>
  <c r="Q42" i="4"/>
  <c r="G46" i="4"/>
  <c r="D46" i="4"/>
  <c r="F46" i="4"/>
  <c r="J46" i="4"/>
  <c r="I46" i="4"/>
  <c r="O46" i="4"/>
  <c r="L46" i="4"/>
  <c r="N46" i="4"/>
  <c r="R46" i="4"/>
  <c r="Q46" i="4"/>
  <c r="U7" i="3"/>
  <c r="X7" i="3" s="1"/>
  <c r="K7" i="3"/>
  <c r="W7" i="3"/>
  <c r="AB7" i="3" s="1"/>
  <c r="P7" i="3"/>
  <c r="C20" i="3"/>
  <c r="G10" i="3"/>
  <c r="D10" i="3"/>
  <c r="E20" i="3"/>
  <c r="F10" i="3"/>
  <c r="H20" i="3"/>
  <c r="H20" i="6" s="1"/>
  <c r="J10" i="3"/>
  <c r="I10" i="3"/>
  <c r="K20" i="3"/>
  <c r="O10" i="3"/>
  <c r="L10" i="3"/>
  <c r="P20" i="3"/>
  <c r="R10" i="3"/>
  <c r="Q10" i="3"/>
  <c r="AA10" i="3"/>
  <c r="Z10" i="3"/>
  <c r="G11" i="3"/>
  <c r="D11" i="3"/>
  <c r="F11" i="3"/>
  <c r="J11" i="3"/>
  <c r="I11" i="3"/>
  <c r="O11" i="3"/>
  <c r="L11" i="3"/>
  <c r="R11" i="3"/>
  <c r="Q11" i="3"/>
  <c r="G12" i="3"/>
  <c r="D12" i="3"/>
  <c r="F12" i="3"/>
  <c r="J12" i="3"/>
  <c r="I12" i="3"/>
  <c r="O12" i="3"/>
  <c r="L12" i="3"/>
  <c r="R12" i="3"/>
  <c r="Q12" i="3"/>
  <c r="G13" i="3"/>
  <c r="D13" i="3"/>
  <c r="F13" i="3"/>
  <c r="J13" i="3"/>
  <c r="I13" i="3"/>
  <c r="O13" i="3"/>
  <c r="L13" i="3"/>
  <c r="R13" i="3"/>
  <c r="Q13" i="3"/>
  <c r="G14" i="3"/>
  <c r="D14" i="3"/>
  <c r="F14" i="3"/>
  <c r="J14" i="3"/>
  <c r="I14" i="3"/>
  <c r="O14" i="3"/>
  <c r="L14" i="3"/>
  <c r="G15" i="3"/>
  <c r="D15" i="3"/>
  <c r="F15" i="3"/>
  <c r="J15" i="3"/>
  <c r="I15" i="3"/>
  <c r="O15" i="3"/>
  <c r="L15" i="3"/>
  <c r="R15" i="3"/>
  <c r="Q15" i="3"/>
  <c r="G16" i="3"/>
  <c r="D16" i="3"/>
  <c r="L16" i="3"/>
  <c r="R16" i="3"/>
  <c r="Q16" i="3"/>
  <c r="G17" i="3"/>
  <c r="D17" i="3"/>
  <c r="F17" i="3"/>
  <c r="J17" i="3"/>
  <c r="I17" i="3"/>
  <c r="O17" i="3"/>
  <c r="L17" i="3"/>
  <c r="R17" i="3"/>
  <c r="Q17" i="3"/>
  <c r="G18" i="3"/>
  <c r="D18" i="3"/>
  <c r="F18" i="3"/>
  <c r="J18" i="3"/>
  <c r="I18" i="3"/>
  <c r="O18" i="3"/>
  <c r="L18" i="3"/>
  <c r="R18" i="3"/>
  <c r="Q18" i="3"/>
  <c r="G19" i="3"/>
  <c r="D19" i="3"/>
  <c r="F19" i="3"/>
  <c r="J19" i="3"/>
  <c r="I19" i="3"/>
  <c r="O19" i="3"/>
  <c r="L19" i="3"/>
  <c r="R19" i="3"/>
  <c r="Q19" i="3"/>
  <c r="G22" i="3"/>
  <c r="D22" i="3"/>
  <c r="F22" i="3"/>
  <c r="J22" i="3"/>
  <c r="I22" i="3"/>
  <c r="O22" i="3"/>
  <c r="L22" i="3"/>
  <c r="R22" i="3"/>
  <c r="Q22" i="3"/>
  <c r="C28" i="3"/>
  <c r="G26" i="3"/>
  <c r="D26" i="3"/>
  <c r="E28" i="3"/>
  <c r="F26" i="3"/>
  <c r="H28" i="3"/>
  <c r="H28" i="6" s="1"/>
  <c r="J26" i="3"/>
  <c r="I26" i="3"/>
  <c r="K28" i="3"/>
  <c r="O26" i="3"/>
  <c r="L26" i="3"/>
  <c r="M28" i="3"/>
  <c r="P28" i="3"/>
  <c r="R26" i="3"/>
  <c r="Q26" i="3"/>
  <c r="G27" i="3"/>
  <c r="D27" i="3"/>
  <c r="F27" i="3"/>
  <c r="J27" i="3"/>
  <c r="I27" i="3"/>
  <c r="O27" i="3"/>
  <c r="L27" i="3"/>
  <c r="R27" i="3"/>
  <c r="Q27" i="3"/>
  <c r="C32" i="3"/>
  <c r="G30" i="3"/>
  <c r="D30" i="3"/>
  <c r="E32" i="3"/>
  <c r="F32" i="3" s="1"/>
  <c r="F30" i="3"/>
  <c r="H32" i="3"/>
  <c r="J30" i="3"/>
  <c r="I30" i="3"/>
  <c r="K32" i="3"/>
  <c r="O30" i="3"/>
  <c r="L30" i="3"/>
  <c r="M32" i="3"/>
  <c r="P32" i="3"/>
  <c r="R30" i="3"/>
  <c r="Q30" i="3"/>
  <c r="G31" i="3"/>
  <c r="D31" i="3"/>
  <c r="F31" i="3"/>
  <c r="J31" i="3"/>
  <c r="I31" i="3"/>
  <c r="O31" i="3"/>
  <c r="L31" i="3"/>
  <c r="R31" i="3"/>
  <c r="Q31" i="3"/>
  <c r="G38" i="3"/>
  <c r="D38" i="3"/>
  <c r="F38" i="3"/>
  <c r="J38" i="3"/>
  <c r="I38" i="3"/>
  <c r="O38" i="3"/>
  <c r="L38" i="3"/>
  <c r="R38" i="3"/>
  <c r="Q38" i="3"/>
  <c r="G39" i="3"/>
  <c r="D39" i="3"/>
  <c r="F39" i="3"/>
  <c r="J39" i="3"/>
  <c r="I39" i="3"/>
  <c r="O39" i="3"/>
  <c r="L39" i="3"/>
  <c r="R39" i="3"/>
  <c r="Q39" i="3"/>
  <c r="G42" i="3"/>
  <c r="D42" i="3"/>
  <c r="F42" i="3"/>
  <c r="J42" i="3"/>
  <c r="I42" i="3"/>
  <c r="O42" i="3"/>
  <c r="L42" i="3"/>
  <c r="R42" i="3"/>
  <c r="Q42" i="3"/>
  <c r="G46" i="3"/>
  <c r="D46" i="3"/>
  <c r="F46" i="3"/>
  <c r="J46" i="3"/>
  <c r="I46" i="3"/>
  <c r="O46" i="3"/>
  <c r="L46" i="3"/>
  <c r="R46" i="3"/>
  <c r="Q46" i="3"/>
  <c r="J28" i="6" l="1"/>
  <c r="I28" i="6"/>
  <c r="I10" i="6"/>
  <c r="I11" i="6"/>
  <c r="I12" i="6"/>
  <c r="I13" i="6"/>
  <c r="I14" i="6"/>
  <c r="I15" i="6"/>
  <c r="I16" i="6"/>
  <c r="I17" i="6"/>
  <c r="I18" i="6"/>
  <c r="J20" i="6"/>
  <c r="I20" i="6"/>
  <c r="I26" i="6"/>
  <c r="I27" i="6"/>
  <c r="I30" i="6"/>
  <c r="I32" i="6"/>
  <c r="I38" i="6"/>
  <c r="I39" i="6"/>
  <c r="I42" i="6"/>
  <c r="I46" i="6"/>
  <c r="AD17" i="6"/>
  <c r="AB17" i="3"/>
  <c r="R34" i="9"/>
  <c r="N34" i="9"/>
  <c r="O42" i="9"/>
  <c r="L42" i="9"/>
  <c r="J34" i="9"/>
  <c r="F34" i="9"/>
  <c r="R24" i="9"/>
  <c r="N24" i="9"/>
  <c r="O27" i="9"/>
  <c r="L27" i="9"/>
  <c r="J24" i="9"/>
  <c r="F24" i="9"/>
  <c r="AA17" i="9"/>
  <c r="Z17" i="9"/>
  <c r="Q14" i="9"/>
  <c r="P14" i="11"/>
  <c r="I16" i="9"/>
  <c r="H16" i="11"/>
  <c r="Q19" i="9"/>
  <c r="G19" i="9"/>
  <c r="R19" i="9"/>
  <c r="AC27" i="9"/>
  <c r="AK26" i="11"/>
  <c r="C58" i="7"/>
  <c r="G43" i="9"/>
  <c r="C64" i="7"/>
  <c r="O39" i="9"/>
  <c r="G39" i="9"/>
  <c r="U21" i="8"/>
  <c r="U19" i="9"/>
  <c r="AE8" i="11"/>
  <c r="M7" i="8"/>
  <c r="V7" i="8" s="1"/>
  <c r="Y7" i="8" s="1"/>
  <c r="E7" i="9"/>
  <c r="M7" i="9" s="1"/>
  <c r="V7" i="9" s="1"/>
  <c r="Y7" i="9" s="1"/>
  <c r="T6" i="8"/>
  <c r="B6" i="9"/>
  <c r="C11" i="11"/>
  <c r="E11" i="11"/>
  <c r="K11" i="11"/>
  <c r="M11" i="11"/>
  <c r="C12" i="11"/>
  <c r="E12" i="11"/>
  <c r="K12" i="11"/>
  <c r="M12" i="11"/>
  <c r="C13" i="11"/>
  <c r="E13" i="11"/>
  <c r="K13" i="11"/>
  <c r="M13" i="11"/>
  <c r="C14" i="11"/>
  <c r="E14" i="11"/>
  <c r="K14" i="11"/>
  <c r="C15" i="11"/>
  <c r="E15" i="11"/>
  <c r="K15" i="11"/>
  <c r="M15" i="11"/>
  <c r="G16" i="6"/>
  <c r="C16" i="11"/>
  <c r="G16" i="11" s="1"/>
  <c r="K16" i="11"/>
  <c r="G17" i="6"/>
  <c r="C17" i="11"/>
  <c r="E17" i="11"/>
  <c r="K17" i="11"/>
  <c r="M17" i="11"/>
  <c r="G18" i="6"/>
  <c r="C18" i="11"/>
  <c r="E18" i="11"/>
  <c r="K18" i="11"/>
  <c r="M18" i="11"/>
  <c r="C22" i="11"/>
  <c r="E22" i="11"/>
  <c r="T11" i="6"/>
  <c r="K22" i="11"/>
  <c r="M22" i="11"/>
  <c r="C26" i="11"/>
  <c r="E26" i="11"/>
  <c r="T13" i="6"/>
  <c r="M26" i="11"/>
  <c r="C27" i="11"/>
  <c r="E27" i="11"/>
  <c r="T19" i="6"/>
  <c r="K27" i="11"/>
  <c r="M27" i="11"/>
  <c r="C30" i="11"/>
  <c r="E30" i="11"/>
  <c r="T21" i="6"/>
  <c r="M30" i="11"/>
  <c r="T22" i="6"/>
  <c r="C38" i="11"/>
  <c r="E38" i="11"/>
  <c r="T26" i="6"/>
  <c r="T27" i="6"/>
  <c r="C42" i="11"/>
  <c r="E42" i="11"/>
  <c r="T29" i="6"/>
  <c r="M42" i="11"/>
  <c r="C46" i="11"/>
  <c r="E46" i="11"/>
  <c r="T32" i="6"/>
  <c r="M46" i="11"/>
  <c r="W11" i="6"/>
  <c r="U11" i="3"/>
  <c r="Z11" i="6"/>
  <c r="X11" i="3"/>
  <c r="AA11" i="6"/>
  <c r="Y11" i="3"/>
  <c r="U17" i="4"/>
  <c r="W13" i="6"/>
  <c r="W10" i="11" s="1"/>
  <c r="U13" i="3"/>
  <c r="V17" i="4"/>
  <c r="X13" i="6"/>
  <c r="V13" i="3"/>
  <c r="Z13" i="6"/>
  <c r="X13" i="3"/>
  <c r="Y17" i="4"/>
  <c r="AA13" i="6"/>
  <c r="Y13" i="3"/>
  <c r="W14" i="6"/>
  <c r="W11" i="11" s="1"/>
  <c r="U14" i="3"/>
  <c r="X14" i="6"/>
  <c r="V14" i="3"/>
  <c r="Z14" i="6"/>
  <c r="X14" i="3"/>
  <c r="AA14" i="6"/>
  <c r="Y14" i="3"/>
  <c r="W15" i="6"/>
  <c r="W12" i="11" s="1"/>
  <c r="U15" i="3"/>
  <c r="X15" i="6"/>
  <c r="V15" i="3"/>
  <c r="Z15" i="6"/>
  <c r="X15" i="3"/>
  <c r="AA15" i="6"/>
  <c r="Y15" i="3"/>
  <c r="W16" i="6"/>
  <c r="U16" i="3"/>
  <c r="X16" i="6"/>
  <c r="V16" i="3"/>
  <c r="Z16" i="6"/>
  <c r="X16" i="3"/>
  <c r="AA16" i="6"/>
  <c r="Y16" i="3"/>
  <c r="W23" i="6"/>
  <c r="W19" i="11" s="1"/>
  <c r="U23" i="3"/>
  <c r="X23" i="6"/>
  <c r="V23" i="3"/>
  <c r="AA23" i="4"/>
  <c r="Z23" i="6"/>
  <c r="X23" i="3"/>
  <c r="AA23" i="6"/>
  <c r="Y23" i="3"/>
  <c r="Z23" i="3" s="1"/>
  <c r="W25" i="6"/>
  <c r="W20" i="11" s="1"/>
  <c r="U25" i="3"/>
  <c r="X25" i="6"/>
  <c r="V25" i="3"/>
  <c r="AA25" i="4"/>
  <c r="Z25" i="6"/>
  <c r="X25" i="3"/>
  <c r="AA25" i="6"/>
  <c r="Y25" i="3"/>
  <c r="Z25" i="3" s="1"/>
  <c r="W27" i="6"/>
  <c r="W21" i="11" s="1"/>
  <c r="U27" i="3"/>
  <c r="X27" i="6"/>
  <c r="V27" i="3"/>
  <c r="AA27" i="6"/>
  <c r="Y27" i="3"/>
  <c r="W28" i="6"/>
  <c r="U28" i="3"/>
  <c r="X28" i="6"/>
  <c r="V28" i="3"/>
  <c r="AA28" i="4"/>
  <c r="Z28" i="6"/>
  <c r="X28" i="3"/>
  <c r="AA28" i="6"/>
  <c r="Y28" i="3"/>
  <c r="Z28" i="3" s="1"/>
  <c r="M32" i="5"/>
  <c r="M28" i="5"/>
  <c r="M34" i="5" s="1"/>
  <c r="O22" i="5"/>
  <c r="M16" i="3"/>
  <c r="O13" i="5"/>
  <c r="M20" i="5"/>
  <c r="K31" i="11"/>
  <c r="M39" i="11"/>
  <c r="M38" i="11"/>
  <c r="U28" i="10"/>
  <c r="H11" i="11"/>
  <c r="P11" i="11"/>
  <c r="H12" i="11"/>
  <c r="P12" i="11"/>
  <c r="H13" i="11"/>
  <c r="P13" i="11"/>
  <c r="H14" i="11"/>
  <c r="H15" i="11"/>
  <c r="P15" i="11"/>
  <c r="H17" i="11"/>
  <c r="P17" i="11"/>
  <c r="H18" i="11"/>
  <c r="P18" i="11"/>
  <c r="H22" i="6"/>
  <c r="I20" i="3"/>
  <c r="P22" i="11"/>
  <c r="H26" i="11"/>
  <c r="P26" i="11"/>
  <c r="H27" i="11"/>
  <c r="P27" i="11"/>
  <c r="H30" i="11"/>
  <c r="P30" i="11"/>
  <c r="H42" i="11"/>
  <c r="P42" i="11"/>
  <c r="H46" i="11"/>
  <c r="P46" i="11"/>
  <c r="Y11" i="6"/>
  <c r="W11" i="3"/>
  <c r="AD11" i="6"/>
  <c r="AB11" i="3"/>
  <c r="W17" i="4"/>
  <c r="Y13" i="6"/>
  <c r="W13" i="3"/>
  <c r="AD13" i="6"/>
  <c r="AB13" i="3"/>
  <c r="AC13" i="3" s="1"/>
  <c r="Y14" i="6"/>
  <c r="W14" i="3"/>
  <c r="AD14" i="6"/>
  <c r="AB14" i="3"/>
  <c r="AC14" i="3" s="1"/>
  <c r="Y15" i="6"/>
  <c r="W15" i="3"/>
  <c r="AD15" i="6"/>
  <c r="AB15" i="3"/>
  <c r="AC15" i="3" s="1"/>
  <c r="P16" i="11"/>
  <c r="Y16" i="6"/>
  <c r="W16" i="3"/>
  <c r="AD16" i="6"/>
  <c r="AB16" i="3"/>
  <c r="AC16" i="3" s="1"/>
  <c r="Y23" i="6"/>
  <c r="W23" i="3"/>
  <c r="AD23" i="6"/>
  <c r="AB23" i="3"/>
  <c r="AC23" i="3" s="1"/>
  <c r="Y25" i="6"/>
  <c r="W25" i="3"/>
  <c r="AD25" i="6"/>
  <c r="AB25" i="3"/>
  <c r="AC25" i="3" s="1"/>
  <c r="AD27" i="6"/>
  <c r="AB27" i="3"/>
  <c r="AC27" i="3" s="1"/>
  <c r="Y28" i="6"/>
  <c r="W28" i="3"/>
  <c r="AD28" i="6"/>
  <c r="AB28" i="3"/>
  <c r="AC28" i="3" s="1"/>
  <c r="J39" i="5"/>
  <c r="R31" i="5"/>
  <c r="J31" i="5"/>
  <c r="R22" i="5"/>
  <c r="H10" i="11"/>
  <c r="K36" i="10"/>
  <c r="O31" i="10"/>
  <c r="G28" i="10"/>
  <c r="Y21" i="9"/>
  <c r="R34" i="8"/>
  <c r="N34" i="8"/>
  <c r="O34" i="8"/>
  <c r="L34" i="8"/>
  <c r="J34" i="8"/>
  <c r="F34" i="8"/>
  <c r="G34" i="8"/>
  <c r="D34" i="8"/>
  <c r="M36" i="8"/>
  <c r="M36" i="9" s="1"/>
  <c r="R24" i="8"/>
  <c r="N24" i="8"/>
  <c r="K36" i="8"/>
  <c r="K45" i="9" s="1"/>
  <c r="O24" i="8"/>
  <c r="L24" i="8"/>
  <c r="E36" i="8"/>
  <c r="E36" i="9" s="1"/>
  <c r="J24" i="8"/>
  <c r="F24" i="8"/>
  <c r="C36" i="8"/>
  <c r="C45" i="9" s="1"/>
  <c r="G45" i="9" s="1"/>
  <c r="G24" i="8"/>
  <c r="D24" i="8"/>
  <c r="Y21" i="8"/>
  <c r="AC19" i="8"/>
  <c r="AA17" i="8"/>
  <c r="X19" i="8"/>
  <c r="X19" i="9" s="1"/>
  <c r="R32" i="7"/>
  <c r="Q32" i="7"/>
  <c r="O32" i="7"/>
  <c r="L32" i="7"/>
  <c r="J32" i="7"/>
  <c r="I32" i="7"/>
  <c r="G32" i="7"/>
  <c r="D32" i="7"/>
  <c r="P34" i="7"/>
  <c r="R28" i="7"/>
  <c r="Q28" i="7"/>
  <c r="M34" i="7"/>
  <c r="N34" i="7" s="1"/>
  <c r="N28" i="7"/>
  <c r="K34" i="7"/>
  <c r="O28" i="7"/>
  <c r="L28" i="7"/>
  <c r="H34" i="7"/>
  <c r="J28" i="7"/>
  <c r="I28" i="7"/>
  <c r="E34" i="7"/>
  <c r="F34" i="7" s="1"/>
  <c r="F28" i="7"/>
  <c r="C34" i="7"/>
  <c r="G28" i="7"/>
  <c r="D28" i="7"/>
  <c r="AD17" i="7"/>
  <c r="AA17" i="7"/>
  <c r="Z19" i="7"/>
  <c r="AB17" i="7"/>
  <c r="Y19" i="7"/>
  <c r="P24" i="7"/>
  <c r="R20" i="7"/>
  <c r="Q20" i="7"/>
  <c r="M24" i="7"/>
  <c r="N20" i="7"/>
  <c r="K24" i="7"/>
  <c r="O20" i="7"/>
  <c r="L20" i="7"/>
  <c r="H24" i="7"/>
  <c r="J20" i="7"/>
  <c r="I20" i="7"/>
  <c r="E24" i="7"/>
  <c r="F20" i="7"/>
  <c r="C24" i="7"/>
  <c r="G20" i="7"/>
  <c r="D20" i="7"/>
  <c r="R33" i="6"/>
  <c r="Q33" i="6"/>
  <c r="O33" i="6"/>
  <c r="L33" i="6"/>
  <c r="J33" i="6"/>
  <c r="I33" i="6"/>
  <c r="H34" i="6"/>
  <c r="F33" i="6"/>
  <c r="T23" i="6"/>
  <c r="G33" i="6"/>
  <c r="D33" i="6"/>
  <c r="P34" i="6"/>
  <c r="R28" i="6"/>
  <c r="Q28" i="6"/>
  <c r="M34" i="6"/>
  <c r="K34" i="6"/>
  <c r="O28" i="6"/>
  <c r="L28" i="6"/>
  <c r="E34" i="6"/>
  <c r="F28" i="6"/>
  <c r="T20" i="6"/>
  <c r="C34" i="6"/>
  <c r="G28" i="6"/>
  <c r="D28" i="6"/>
  <c r="P24" i="6"/>
  <c r="Q20" i="6"/>
  <c r="K24" i="6"/>
  <c r="L20" i="6"/>
  <c r="E24" i="6"/>
  <c r="F20" i="6"/>
  <c r="C24" i="6"/>
  <c r="G20" i="6"/>
  <c r="D20" i="6"/>
  <c r="L39" i="5"/>
  <c r="L38" i="5"/>
  <c r="L31" i="5"/>
  <c r="L30" i="5"/>
  <c r="K24" i="5"/>
  <c r="O20" i="5"/>
  <c r="L20" i="5"/>
  <c r="L19" i="5"/>
  <c r="L17" i="5"/>
  <c r="L16" i="5"/>
  <c r="L15" i="5"/>
  <c r="L14" i="5"/>
  <c r="L12" i="5"/>
  <c r="L11" i="5"/>
  <c r="L10" i="5"/>
  <c r="I46" i="5"/>
  <c r="H24" i="5"/>
  <c r="I16" i="5"/>
  <c r="I15" i="5"/>
  <c r="I14" i="5"/>
  <c r="I12" i="5"/>
  <c r="I11" i="5"/>
  <c r="I10" i="5"/>
  <c r="D38" i="5"/>
  <c r="D30" i="5"/>
  <c r="C24" i="5"/>
  <c r="D20" i="5"/>
  <c r="D17" i="5"/>
  <c r="D16" i="5"/>
  <c r="D15" i="5"/>
  <c r="D14" i="5"/>
  <c r="D12" i="5"/>
  <c r="D11" i="5"/>
  <c r="R32" i="4"/>
  <c r="Q32" i="4"/>
  <c r="O32" i="4"/>
  <c r="L32" i="4"/>
  <c r="J32" i="4"/>
  <c r="I32" i="4"/>
  <c r="G32" i="4"/>
  <c r="D32" i="4"/>
  <c r="P34" i="4"/>
  <c r="R28" i="4"/>
  <c r="Q28" i="4"/>
  <c r="M34" i="4"/>
  <c r="N34" i="4" s="1"/>
  <c r="N28" i="4"/>
  <c r="K34" i="4"/>
  <c r="O28" i="4"/>
  <c r="L28" i="4"/>
  <c r="H34" i="4"/>
  <c r="J28" i="4"/>
  <c r="I28" i="4"/>
  <c r="E34" i="4"/>
  <c r="F34" i="4" s="1"/>
  <c r="F28" i="4"/>
  <c r="C34" i="4"/>
  <c r="G28" i="4"/>
  <c r="D28" i="4"/>
  <c r="AC17" i="4"/>
  <c r="AB19" i="4"/>
  <c r="AA17" i="4"/>
  <c r="X19" i="4"/>
  <c r="P24" i="4"/>
  <c r="R20" i="4"/>
  <c r="Q20" i="4"/>
  <c r="M24" i="4"/>
  <c r="N20" i="4"/>
  <c r="K24" i="4"/>
  <c r="O20" i="4"/>
  <c r="L20" i="4"/>
  <c r="H24" i="4"/>
  <c r="J20" i="4"/>
  <c r="E24" i="4"/>
  <c r="F20" i="4"/>
  <c r="C24" i="4"/>
  <c r="G20" i="4"/>
  <c r="D20" i="4"/>
  <c r="R32" i="3"/>
  <c r="Q32" i="3"/>
  <c r="O32" i="3"/>
  <c r="L32" i="3"/>
  <c r="J32" i="3"/>
  <c r="I32" i="3"/>
  <c r="G32" i="3"/>
  <c r="D32" i="3"/>
  <c r="P34" i="3"/>
  <c r="R28" i="3"/>
  <c r="Q28" i="3"/>
  <c r="M34" i="3"/>
  <c r="K34" i="3"/>
  <c r="O28" i="3"/>
  <c r="L28" i="3"/>
  <c r="H34" i="3"/>
  <c r="J28" i="3"/>
  <c r="I28" i="3"/>
  <c r="E34" i="3"/>
  <c r="F34" i="3" s="1"/>
  <c r="F28" i="3"/>
  <c r="C34" i="3"/>
  <c r="G28" i="3"/>
  <c r="D28" i="3"/>
  <c r="P24" i="3"/>
  <c r="Q20" i="3"/>
  <c r="Q14" i="3"/>
  <c r="K24" i="3"/>
  <c r="L20" i="3"/>
  <c r="H24" i="3"/>
  <c r="H24" i="6" s="1"/>
  <c r="I24" i="6" s="1"/>
  <c r="J20" i="3"/>
  <c r="I16" i="3"/>
  <c r="E24" i="3"/>
  <c r="F20" i="3"/>
  <c r="F16" i="3"/>
  <c r="C24" i="3"/>
  <c r="G20" i="3"/>
  <c r="D20" i="3"/>
  <c r="AA19" i="9" l="1"/>
  <c r="Z19" i="9"/>
  <c r="E58" i="7"/>
  <c r="J36" i="9"/>
  <c r="F36" i="9"/>
  <c r="G36" i="9"/>
  <c r="O45" i="9"/>
  <c r="L45" i="9"/>
  <c r="R36" i="9"/>
  <c r="N36" i="9"/>
  <c r="O36" i="9"/>
  <c r="P20" i="10"/>
  <c r="R10" i="10"/>
  <c r="Q10" i="10"/>
  <c r="P10" i="11"/>
  <c r="H24" i="10"/>
  <c r="J24" i="10" s="1"/>
  <c r="H19" i="11"/>
  <c r="P24" i="10"/>
  <c r="R19" i="10"/>
  <c r="Q19" i="10"/>
  <c r="P19" i="11"/>
  <c r="H32" i="10"/>
  <c r="J31" i="10"/>
  <c r="H31" i="11"/>
  <c r="P32" i="10"/>
  <c r="R31" i="10"/>
  <c r="Q31" i="10"/>
  <c r="P31" i="11"/>
  <c r="J38" i="10"/>
  <c r="H38" i="11"/>
  <c r="R38" i="10"/>
  <c r="Q38" i="10"/>
  <c r="P38" i="11"/>
  <c r="J39" i="10"/>
  <c r="H39" i="11"/>
  <c r="R39" i="10"/>
  <c r="Q39" i="10"/>
  <c r="P39" i="11"/>
  <c r="P20" i="5"/>
  <c r="R13" i="5"/>
  <c r="Q13" i="5"/>
  <c r="H28" i="5"/>
  <c r="J26" i="5"/>
  <c r="I26" i="5"/>
  <c r="P28" i="5"/>
  <c r="R26" i="5"/>
  <c r="Q26" i="5"/>
  <c r="J27" i="5"/>
  <c r="I27" i="5"/>
  <c r="R27" i="5"/>
  <c r="Q27" i="5"/>
  <c r="H32" i="5"/>
  <c r="J30" i="5"/>
  <c r="P32" i="5"/>
  <c r="R30" i="5"/>
  <c r="Q30" i="5"/>
  <c r="J38" i="5"/>
  <c r="I38" i="5"/>
  <c r="R38" i="5"/>
  <c r="Q38" i="5"/>
  <c r="R39" i="5"/>
  <c r="Q39" i="5"/>
  <c r="AA22" i="11"/>
  <c r="AE22" i="11" s="1"/>
  <c r="AE28" i="6"/>
  <c r="AG22" i="11"/>
  <c r="X22" i="11"/>
  <c r="AA21" i="11"/>
  <c r="AE27" i="6"/>
  <c r="AE25" i="6"/>
  <c r="AA19" i="11"/>
  <c r="AE23" i="6"/>
  <c r="AG19" i="11"/>
  <c r="X19" i="11"/>
  <c r="AA13" i="11"/>
  <c r="AE13" i="11" s="1"/>
  <c r="AE16" i="6"/>
  <c r="AG13" i="11"/>
  <c r="X13" i="11"/>
  <c r="R16" i="11"/>
  <c r="AA12" i="11"/>
  <c r="AE12" i="11" s="1"/>
  <c r="AE15" i="6"/>
  <c r="AG12" i="11"/>
  <c r="X12" i="11"/>
  <c r="AA11" i="11"/>
  <c r="AE14" i="6"/>
  <c r="AG11" i="11"/>
  <c r="X11" i="11"/>
  <c r="AA10" i="11"/>
  <c r="AE10" i="11" s="1"/>
  <c r="AE13" i="6"/>
  <c r="W17" i="3"/>
  <c r="AG10" i="11"/>
  <c r="X10" i="11"/>
  <c r="X14" i="11" s="1"/>
  <c r="Y17" i="6"/>
  <c r="AG14" i="11" s="1"/>
  <c r="W19" i="4"/>
  <c r="W21" i="4" s="1"/>
  <c r="AB19" i="3"/>
  <c r="AC11" i="3"/>
  <c r="AA9" i="11"/>
  <c r="AD19" i="6"/>
  <c r="AE11" i="6"/>
  <c r="W19" i="3"/>
  <c r="Y19" i="6"/>
  <c r="AG15" i="11" s="1"/>
  <c r="AG9" i="11"/>
  <c r="X9" i="11"/>
  <c r="X15" i="11" s="1"/>
  <c r="R46" i="11"/>
  <c r="J46" i="11"/>
  <c r="R42" i="11"/>
  <c r="J42" i="11"/>
  <c r="P32" i="11"/>
  <c r="R30" i="11"/>
  <c r="H32" i="11"/>
  <c r="J30" i="11"/>
  <c r="R27" i="11"/>
  <c r="J27" i="11"/>
  <c r="P28" i="11"/>
  <c r="R26" i="11"/>
  <c r="H28" i="11"/>
  <c r="J26" i="11"/>
  <c r="R22" i="11"/>
  <c r="H22" i="11"/>
  <c r="J22" i="6"/>
  <c r="I22" i="6"/>
  <c r="R18" i="11"/>
  <c r="J18" i="11"/>
  <c r="R17" i="11"/>
  <c r="J17" i="11"/>
  <c r="R15" i="11"/>
  <c r="J15" i="11"/>
  <c r="J14" i="11"/>
  <c r="R13" i="11"/>
  <c r="J13" i="11"/>
  <c r="R12" i="11"/>
  <c r="J12" i="11"/>
  <c r="R11" i="11"/>
  <c r="J11" i="11"/>
  <c r="C10" i="10"/>
  <c r="E20" i="10"/>
  <c r="I10" i="10"/>
  <c r="E10" i="11"/>
  <c r="M20" i="10"/>
  <c r="K10" i="10"/>
  <c r="M10" i="11"/>
  <c r="U10" i="10"/>
  <c r="AH8" i="11"/>
  <c r="Y8" i="11"/>
  <c r="V19" i="10"/>
  <c r="V21" i="10" s="1"/>
  <c r="V30" i="10" s="1"/>
  <c r="U11" i="10"/>
  <c r="AH9" i="11"/>
  <c r="Y9" i="11"/>
  <c r="X11" i="10"/>
  <c r="Y19" i="10"/>
  <c r="AC11" i="10"/>
  <c r="Z11" i="10"/>
  <c r="V17" i="10"/>
  <c r="U16" i="10"/>
  <c r="U17" i="10" s="1"/>
  <c r="X16" i="10"/>
  <c r="Y17" i="10"/>
  <c r="AC16" i="10"/>
  <c r="C19" i="10"/>
  <c r="E24" i="10"/>
  <c r="I19" i="10"/>
  <c r="E19" i="11"/>
  <c r="M24" i="10"/>
  <c r="K19" i="10"/>
  <c r="M19" i="11"/>
  <c r="X28" i="10"/>
  <c r="AA28" i="10" s="1"/>
  <c r="AC28" i="10"/>
  <c r="Z28" i="10"/>
  <c r="C31" i="10"/>
  <c r="E32" i="10"/>
  <c r="I31" i="10"/>
  <c r="E31" i="11"/>
  <c r="M32" i="10"/>
  <c r="M34" i="10" s="1"/>
  <c r="M31" i="11"/>
  <c r="I39" i="10"/>
  <c r="C39" i="10"/>
  <c r="E39" i="11"/>
  <c r="O31" i="11"/>
  <c r="N46" i="5"/>
  <c r="N42" i="5"/>
  <c r="N39" i="5"/>
  <c r="N38" i="5"/>
  <c r="N34" i="5"/>
  <c r="N32" i="5"/>
  <c r="N31" i="5"/>
  <c r="N30" i="5"/>
  <c r="N28" i="5"/>
  <c r="N27" i="5"/>
  <c r="N26" i="5"/>
  <c r="M24" i="5"/>
  <c r="N22" i="5"/>
  <c r="N20" i="5"/>
  <c r="N19" i="5"/>
  <c r="N18" i="5"/>
  <c r="N17" i="5"/>
  <c r="N16" i="5"/>
  <c r="N15" i="5"/>
  <c r="N14" i="5"/>
  <c r="N13" i="5"/>
  <c r="N12" i="5"/>
  <c r="N11" i="5"/>
  <c r="N10" i="5"/>
  <c r="E20" i="5"/>
  <c r="G13" i="5"/>
  <c r="J13" i="5"/>
  <c r="M16" i="6"/>
  <c r="M20" i="3"/>
  <c r="O16" i="3"/>
  <c r="N16" i="3"/>
  <c r="G22" i="5"/>
  <c r="J22" i="5"/>
  <c r="C28" i="5"/>
  <c r="G26" i="5"/>
  <c r="D26" i="5"/>
  <c r="K28" i="5"/>
  <c r="O26" i="5"/>
  <c r="L26" i="5"/>
  <c r="G27" i="5"/>
  <c r="D27" i="5"/>
  <c r="O27" i="5"/>
  <c r="L27" i="5"/>
  <c r="G42" i="5"/>
  <c r="D42" i="5"/>
  <c r="G46" i="5"/>
  <c r="D46" i="5"/>
  <c r="O46" i="5"/>
  <c r="L46" i="5"/>
  <c r="AK22" i="11"/>
  <c r="AB22" i="11"/>
  <c r="AB28" i="6"/>
  <c r="AI22" i="11" s="1"/>
  <c r="AA28" i="3"/>
  <c r="AC28" i="6"/>
  <c r="Z22" i="11"/>
  <c r="AD22" i="11" s="1"/>
  <c r="AH22" i="11"/>
  <c r="Y22" i="11"/>
  <c r="W22" i="11"/>
  <c r="AA27" i="3"/>
  <c r="Z27" i="3"/>
  <c r="AK21" i="11"/>
  <c r="AB21" i="11"/>
  <c r="AC27" i="6"/>
  <c r="AB27" i="6"/>
  <c r="AI21" i="11" s="1"/>
  <c r="AH21" i="11"/>
  <c r="Y21" i="11"/>
  <c r="AK20" i="11"/>
  <c r="AB20" i="11"/>
  <c r="AB25" i="6"/>
  <c r="AA25" i="3"/>
  <c r="AC25" i="6"/>
  <c r="AH20" i="11"/>
  <c r="Y20" i="11"/>
  <c r="AK19" i="11"/>
  <c r="AB19" i="11"/>
  <c r="AB23" i="6"/>
  <c r="AI19" i="11" s="1"/>
  <c r="AA23" i="3"/>
  <c r="AC23" i="6"/>
  <c r="Z19" i="11"/>
  <c r="AD19" i="11" s="1"/>
  <c r="AH19" i="11"/>
  <c r="Y19" i="11"/>
  <c r="AK13" i="11"/>
  <c r="AB13" i="11"/>
  <c r="AA16" i="3"/>
  <c r="Z16" i="3"/>
  <c r="Z13" i="11"/>
  <c r="AC16" i="6"/>
  <c r="AB16" i="6"/>
  <c r="AH13" i="11"/>
  <c r="Y13" i="11"/>
  <c r="W13" i="11"/>
  <c r="AK12" i="11"/>
  <c r="AB12" i="11"/>
  <c r="AA15" i="3"/>
  <c r="Z15" i="3"/>
  <c r="Z12" i="11"/>
  <c r="AC15" i="6"/>
  <c r="AB15" i="6"/>
  <c r="AI12" i="11" s="1"/>
  <c r="AH12" i="11"/>
  <c r="Y12" i="11"/>
  <c r="AK11" i="11"/>
  <c r="AB11" i="11"/>
  <c r="AA14" i="3"/>
  <c r="Z14" i="3"/>
  <c r="Z11" i="11"/>
  <c r="AC14" i="6"/>
  <c r="AB14" i="6"/>
  <c r="AI11" i="11" s="1"/>
  <c r="AH11" i="11"/>
  <c r="Y11" i="11"/>
  <c r="Y17" i="3"/>
  <c r="AK10" i="11"/>
  <c r="AB10" i="11"/>
  <c r="AA17" i="6"/>
  <c r="Y19" i="4"/>
  <c r="Z17" i="4"/>
  <c r="X17" i="3"/>
  <c r="AA13" i="3"/>
  <c r="Z13" i="3"/>
  <c r="Z10" i="11"/>
  <c r="AC13" i="6"/>
  <c r="AB13" i="6"/>
  <c r="AI10" i="11" s="1"/>
  <c r="V17" i="3"/>
  <c r="V19" i="3" s="1"/>
  <c r="V21" i="3" s="1"/>
  <c r="V30" i="3" s="1"/>
  <c r="AH10" i="11"/>
  <c r="Y10" i="11"/>
  <c r="Y14" i="11" s="1"/>
  <c r="X17" i="6"/>
  <c r="V19" i="4"/>
  <c r="V21" i="4" s="1"/>
  <c r="V30" i="4" s="1"/>
  <c r="U17" i="3"/>
  <c r="W14" i="11"/>
  <c r="W17" i="6"/>
  <c r="U19" i="4"/>
  <c r="U21" i="4" s="1"/>
  <c r="U30" i="4" s="1"/>
  <c r="AA30" i="4" s="1"/>
  <c r="Y19" i="3"/>
  <c r="Z11" i="3"/>
  <c r="AK9" i="11"/>
  <c r="AB9" i="11"/>
  <c r="AA19" i="6"/>
  <c r="AB11" i="6"/>
  <c r="AI9" i="11" s="1"/>
  <c r="AA11" i="3"/>
  <c r="Z9" i="11"/>
  <c r="Z19" i="6"/>
  <c r="AC19" i="6" s="1"/>
  <c r="AC11" i="6"/>
  <c r="U19" i="3"/>
  <c r="U21" i="3" s="1"/>
  <c r="W19" i="6"/>
  <c r="W9" i="11"/>
  <c r="W15" i="11" s="1"/>
  <c r="G46" i="11"/>
  <c r="G42" i="11"/>
  <c r="G38" i="11"/>
  <c r="M32" i="11"/>
  <c r="E32" i="11"/>
  <c r="G30" i="11"/>
  <c r="O27" i="11"/>
  <c r="G27" i="11"/>
  <c r="M28" i="11"/>
  <c r="E28" i="11"/>
  <c r="C28" i="11"/>
  <c r="G26" i="11"/>
  <c r="O22" i="11"/>
  <c r="G22" i="11"/>
  <c r="O18" i="11"/>
  <c r="G18" i="11"/>
  <c r="O17" i="11"/>
  <c r="G17" i="11"/>
  <c r="O16" i="11"/>
  <c r="O15" i="11"/>
  <c r="G15" i="11"/>
  <c r="O14" i="11"/>
  <c r="G14" i="11"/>
  <c r="O13" i="11"/>
  <c r="G13" i="11"/>
  <c r="O12" i="11"/>
  <c r="G12" i="11"/>
  <c r="O11" i="11"/>
  <c r="G11" i="11"/>
  <c r="T6" i="9"/>
  <c r="AF3" i="9"/>
  <c r="U30" i="8"/>
  <c r="U21" i="9"/>
  <c r="J16" i="11"/>
  <c r="R14" i="11"/>
  <c r="AC17" i="3"/>
  <c r="AA14" i="11"/>
  <c r="AE14" i="11" s="1"/>
  <c r="AE17" i="6"/>
  <c r="K41" i="10"/>
  <c r="O36" i="10"/>
  <c r="Y30" i="9"/>
  <c r="AC21" i="9"/>
  <c r="X21" i="8"/>
  <c r="X21" i="9" s="1"/>
  <c r="AA19" i="8"/>
  <c r="Z19" i="8"/>
  <c r="Y30" i="8"/>
  <c r="AC21" i="8"/>
  <c r="Z21" i="8"/>
  <c r="C41" i="8"/>
  <c r="G36" i="8"/>
  <c r="D36" i="8"/>
  <c r="E41" i="8"/>
  <c r="E41" i="9" s="1"/>
  <c r="J36" i="8"/>
  <c r="F36" i="8"/>
  <c r="K41" i="8"/>
  <c r="O36" i="8"/>
  <c r="L36" i="8"/>
  <c r="M41" i="8"/>
  <c r="M41" i="9" s="1"/>
  <c r="R36" i="8"/>
  <c r="N36" i="8"/>
  <c r="C36" i="7"/>
  <c r="G24" i="7"/>
  <c r="D24" i="7"/>
  <c r="E36" i="7"/>
  <c r="F24" i="7"/>
  <c r="H36" i="7"/>
  <c r="J24" i="7"/>
  <c r="I24" i="7"/>
  <c r="K36" i="7"/>
  <c r="O24" i="7"/>
  <c r="L24" i="7"/>
  <c r="M36" i="7"/>
  <c r="N24" i="7"/>
  <c r="P36" i="7"/>
  <c r="R24" i="7"/>
  <c r="Q24" i="7"/>
  <c r="Y21" i="7"/>
  <c r="AB19" i="7"/>
  <c r="Z21" i="7"/>
  <c r="AD19" i="7"/>
  <c r="AA19" i="7"/>
  <c r="G34" i="7"/>
  <c r="D34" i="7"/>
  <c r="J34" i="7"/>
  <c r="I34" i="7"/>
  <c r="O34" i="7"/>
  <c r="L34" i="7"/>
  <c r="R34" i="7"/>
  <c r="Q34" i="7"/>
  <c r="C36" i="6"/>
  <c r="G24" i="6"/>
  <c r="D24" i="6"/>
  <c r="E36" i="6"/>
  <c r="F24" i="6"/>
  <c r="T12" i="6"/>
  <c r="J24" i="6"/>
  <c r="K36" i="6"/>
  <c r="L24" i="6"/>
  <c r="P36" i="6"/>
  <c r="Q24" i="6"/>
  <c r="G34" i="6"/>
  <c r="D34" i="6"/>
  <c r="F34" i="6"/>
  <c r="T24" i="6"/>
  <c r="O34" i="6"/>
  <c r="L34" i="6"/>
  <c r="R34" i="6"/>
  <c r="Q34" i="6"/>
  <c r="J34" i="6"/>
  <c r="I34" i="6"/>
  <c r="H36" i="6"/>
  <c r="D24" i="5"/>
  <c r="J24" i="5"/>
  <c r="I24" i="5"/>
  <c r="O24" i="5"/>
  <c r="L24" i="5"/>
  <c r="C36" i="4"/>
  <c r="G24" i="4"/>
  <c r="D24" i="4"/>
  <c r="E36" i="4"/>
  <c r="F24" i="4"/>
  <c r="H36" i="4"/>
  <c r="J24" i="4"/>
  <c r="I24" i="4"/>
  <c r="K36" i="4"/>
  <c r="O24" i="4"/>
  <c r="L24" i="4"/>
  <c r="M36" i="4"/>
  <c r="N24" i="4"/>
  <c r="P36" i="4"/>
  <c r="R24" i="4"/>
  <c r="Q24" i="4"/>
  <c r="X21" i="4"/>
  <c r="Z21" i="6" s="1"/>
  <c r="AA19" i="4"/>
  <c r="AB21" i="4"/>
  <c r="AC19" i="4"/>
  <c r="G34" i="4"/>
  <c r="D34" i="4"/>
  <c r="J34" i="4"/>
  <c r="I34" i="4"/>
  <c r="O34" i="4"/>
  <c r="L34" i="4"/>
  <c r="R34" i="4"/>
  <c r="Q34" i="4"/>
  <c r="C36" i="3"/>
  <c r="G24" i="3"/>
  <c r="D24" i="3"/>
  <c r="E36" i="3"/>
  <c r="F24" i="3"/>
  <c r="H36" i="3"/>
  <c r="J24" i="3"/>
  <c r="I24" i="3"/>
  <c r="K36" i="3"/>
  <c r="L24" i="3"/>
  <c r="P36" i="3"/>
  <c r="Q24" i="3"/>
  <c r="G34" i="3"/>
  <c r="D34" i="3"/>
  <c r="J34" i="3"/>
  <c r="I34" i="3"/>
  <c r="O34" i="3"/>
  <c r="L34" i="3"/>
  <c r="R34" i="3"/>
  <c r="Q34" i="3"/>
  <c r="AD21" i="6" l="1"/>
  <c r="AB21" i="3"/>
  <c r="R41" i="9"/>
  <c r="N41" i="9"/>
  <c r="J41" i="9"/>
  <c r="F41" i="9"/>
  <c r="X30" i="9"/>
  <c r="AG20" i="11"/>
  <c r="X20" i="11"/>
  <c r="Z21" i="9"/>
  <c r="Z20" i="11" s="1"/>
  <c r="AD20" i="11" s="1"/>
  <c r="AA21" i="9"/>
  <c r="AA20" i="11" s="1"/>
  <c r="AE20" i="11" s="1"/>
  <c r="AA30" i="8"/>
  <c r="U30" i="9"/>
  <c r="AA30" i="9" s="1"/>
  <c r="G28" i="11"/>
  <c r="E34" i="11"/>
  <c r="M34" i="11"/>
  <c r="U30" i="3"/>
  <c r="AA30" i="3" s="1"/>
  <c r="W21" i="6"/>
  <c r="W30" i="6" s="1"/>
  <c r="AD9" i="11"/>
  <c r="AB19" i="6"/>
  <c r="AK15" i="11"/>
  <c r="AC9" i="11"/>
  <c r="Y21" i="3"/>
  <c r="AH14" i="11"/>
  <c r="X19" i="6"/>
  <c r="AD10" i="11"/>
  <c r="AC10" i="11"/>
  <c r="AA17" i="3"/>
  <c r="X19" i="3"/>
  <c r="Y21" i="4"/>
  <c r="Y30" i="4" s="1"/>
  <c r="Z19" i="4"/>
  <c r="AK14" i="11"/>
  <c r="AB14" i="11"/>
  <c r="AB17" i="6"/>
  <c r="AC17" i="6"/>
  <c r="Z17" i="3"/>
  <c r="AD11" i="11"/>
  <c r="AC11" i="11"/>
  <c r="AD12" i="11"/>
  <c r="AC12" i="11"/>
  <c r="AD13" i="11"/>
  <c r="AC13" i="11"/>
  <c r="AC19" i="11"/>
  <c r="AI20" i="11"/>
  <c r="AC20" i="11"/>
  <c r="AC21" i="11"/>
  <c r="AD21" i="11"/>
  <c r="AC22" i="11"/>
  <c r="K34" i="5"/>
  <c r="O28" i="5"/>
  <c r="L28" i="5"/>
  <c r="C34" i="5"/>
  <c r="G28" i="5"/>
  <c r="D28" i="5"/>
  <c r="N10" i="3"/>
  <c r="N11" i="3"/>
  <c r="N12" i="3"/>
  <c r="N13" i="3"/>
  <c r="N15" i="3"/>
  <c r="N17" i="3"/>
  <c r="N18" i="3"/>
  <c r="N19" i="3"/>
  <c r="N22" i="3"/>
  <c r="N26" i="3"/>
  <c r="N27" i="3"/>
  <c r="N30" i="3"/>
  <c r="N31" i="3"/>
  <c r="N38" i="3"/>
  <c r="N39" i="3"/>
  <c r="N42" i="3"/>
  <c r="N46" i="3"/>
  <c r="N32" i="3"/>
  <c r="N28" i="3"/>
  <c r="R20" i="3"/>
  <c r="M24" i="3"/>
  <c r="N20" i="3"/>
  <c r="N14" i="3"/>
  <c r="O20" i="3"/>
  <c r="N34" i="3"/>
  <c r="M16" i="11"/>
  <c r="M20" i="6"/>
  <c r="N16" i="6"/>
  <c r="F12" i="5"/>
  <c r="F11" i="5"/>
  <c r="F10" i="5"/>
  <c r="F46" i="5"/>
  <c r="F45" i="5"/>
  <c r="F43" i="5"/>
  <c r="F42" i="5"/>
  <c r="F41" i="5"/>
  <c r="F39" i="5"/>
  <c r="F38" i="5"/>
  <c r="F36" i="5"/>
  <c r="F34" i="5"/>
  <c r="F32" i="5"/>
  <c r="F31" i="5"/>
  <c r="F30" i="5"/>
  <c r="F28" i="5"/>
  <c r="F27" i="5"/>
  <c r="F26" i="5"/>
  <c r="F24" i="5"/>
  <c r="E24" i="5"/>
  <c r="F22" i="5"/>
  <c r="F20" i="5"/>
  <c r="F19" i="5"/>
  <c r="F18" i="5"/>
  <c r="F17" i="5"/>
  <c r="F16" i="5"/>
  <c r="F15" i="5"/>
  <c r="F14" i="5"/>
  <c r="F13" i="5"/>
  <c r="J20" i="5"/>
  <c r="G20" i="5"/>
  <c r="M36" i="5"/>
  <c r="N24" i="5"/>
  <c r="G39" i="10"/>
  <c r="C39" i="11"/>
  <c r="I32" i="10"/>
  <c r="E34" i="10"/>
  <c r="I34" i="10" s="1"/>
  <c r="G31" i="10"/>
  <c r="C32" i="10"/>
  <c r="C31" i="11"/>
  <c r="K24" i="10"/>
  <c r="K19" i="11"/>
  <c r="M36" i="10"/>
  <c r="E36" i="10"/>
  <c r="I24" i="10"/>
  <c r="C24" i="10"/>
  <c r="G19" i="10"/>
  <c r="C19" i="11"/>
  <c r="AC17" i="10"/>
  <c r="X17" i="10"/>
  <c r="AA16" i="10"/>
  <c r="Z16" i="10"/>
  <c r="AI13" i="11" s="1"/>
  <c r="AC19" i="10"/>
  <c r="Y21" i="10"/>
  <c r="X19" i="10"/>
  <c r="AA11" i="10"/>
  <c r="Y15" i="11"/>
  <c r="U19" i="10"/>
  <c r="AC30" i="10"/>
  <c r="Y18" i="11"/>
  <c r="Y23" i="11" s="1"/>
  <c r="U21" i="10"/>
  <c r="U30" i="10" s="1"/>
  <c r="W8" i="11"/>
  <c r="W18" i="11" s="1"/>
  <c r="W23" i="11" s="1"/>
  <c r="AD23" i="11" s="1"/>
  <c r="M20" i="11"/>
  <c r="N10" i="11"/>
  <c r="K20" i="10"/>
  <c r="O10" i="10"/>
  <c r="K10" i="11"/>
  <c r="N46" i="10"/>
  <c r="N45" i="10"/>
  <c r="N43" i="10"/>
  <c r="N42" i="10"/>
  <c r="N41" i="10"/>
  <c r="N39" i="10"/>
  <c r="N38" i="10"/>
  <c r="N36" i="10"/>
  <c r="N34" i="10"/>
  <c r="N32" i="10"/>
  <c r="N31" i="10"/>
  <c r="N30" i="10"/>
  <c r="N28" i="10"/>
  <c r="N27" i="10"/>
  <c r="N26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E20" i="11"/>
  <c r="F10" i="11"/>
  <c r="J10" i="11"/>
  <c r="F46" i="10"/>
  <c r="F45" i="10"/>
  <c r="F43" i="10"/>
  <c r="F42" i="10"/>
  <c r="F41" i="10"/>
  <c r="F39" i="10"/>
  <c r="F38" i="10"/>
  <c r="F36" i="10"/>
  <c r="F34" i="10"/>
  <c r="F32" i="10"/>
  <c r="F31" i="10"/>
  <c r="F30" i="10"/>
  <c r="F28" i="10"/>
  <c r="F27" i="10"/>
  <c r="F26" i="10"/>
  <c r="F24" i="10"/>
  <c r="F22" i="10"/>
  <c r="I20" i="10"/>
  <c r="F20" i="10"/>
  <c r="F19" i="10"/>
  <c r="F18" i="10"/>
  <c r="F17" i="10"/>
  <c r="F16" i="10"/>
  <c r="F15" i="10"/>
  <c r="F14" i="10"/>
  <c r="F13" i="10"/>
  <c r="F12" i="10"/>
  <c r="F11" i="10"/>
  <c r="F10" i="10"/>
  <c r="C20" i="10"/>
  <c r="G10" i="10"/>
  <c r="C10" i="11"/>
  <c r="I20" i="11"/>
  <c r="J22" i="11"/>
  <c r="H34" i="11"/>
  <c r="J28" i="11"/>
  <c r="P34" i="11"/>
  <c r="R28" i="11"/>
  <c r="J32" i="11"/>
  <c r="R32" i="11"/>
  <c r="AE19" i="6"/>
  <c r="AA15" i="11"/>
  <c r="AE9" i="11"/>
  <c r="AC19" i="3"/>
  <c r="W30" i="4"/>
  <c r="Y21" i="6"/>
  <c r="W21" i="3"/>
  <c r="W30" i="3" s="1"/>
  <c r="AE11" i="11"/>
  <c r="AE19" i="11"/>
  <c r="AE21" i="11"/>
  <c r="R32" i="5"/>
  <c r="Q32" i="5"/>
  <c r="H34" i="5"/>
  <c r="J32" i="5"/>
  <c r="I32" i="5"/>
  <c r="P34" i="5"/>
  <c r="R28" i="5"/>
  <c r="Q28" i="5"/>
  <c r="J28" i="5"/>
  <c r="I28" i="5"/>
  <c r="Q12" i="5"/>
  <c r="Q14" i="5"/>
  <c r="Q46" i="5"/>
  <c r="Q42" i="5"/>
  <c r="Q31" i="5"/>
  <c r="P24" i="5"/>
  <c r="R20" i="5"/>
  <c r="Q20" i="5"/>
  <c r="Q17" i="5"/>
  <c r="Q16" i="5"/>
  <c r="Q15" i="5"/>
  <c r="Q11" i="5"/>
  <c r="Q10" i="5"/>
  <c r="R39" i="11"/>
  <c r="J39" i="11"/>
  <c r="R38" i="11"/>
  <c r="J38" i="11"/>
  <c r="R31" i="11"/>
  <c r="P34" i="10"/>
  <c r="R32" i="10"/>
  <c r="Q32" i="10"/>
  <c r="J31" i="11"/>
  <c r="J32" i="10"/>
  <c r="H34" i="10"/>
  <c r="P36" i="10"/>
  <c r="R24" i="10"/>
  <c r="Q24" i="10"/>
  <c r="J19" i="11"/>
  <c r="H20" i="11"/>
  <c r="P20" i="11"/>
  <c r="R10" i="11"/>
  <c r="Q10" i="11"/>
  <c r="Q28" i="10"/>
  <c r="Q42" i="10"/>
  <c r="Q46" i="10"/>
  <c r="Q30" i="10"/>
  <c r="Q27" i="10"/>
  <c r="Q26" i="10"/>
  <c r="Q22" i="10"/>
  <c r="R20" i="10"/>
  <c r="Q20" i="10"/>
  <c r="Q15" i="10"/>
  <c r="Q14" i="10"/>
  <c r="Q13" i="10"/>
  <c r="Q12" i="10"/>
  <c r="Q11" i="10"/>
  <c r="K45" i="10"/>
  <c r="O45" i="10" s="1"/>
  <c r="O41" i="10"/>
  <c r="Z30" i="9"/>
  <c r="AC30" i="9"/>
  <c r="M43" i="8"/>
  <c r="M43" i="9" s="1"/>
  <c r="R41" i="8"/>
  <c r="N41" i="8"/>
  <c r="K43" i="8"/>
  <c r="O41" i="8"/>
  <c r="L41" i="8"/>
  <c r="E43" i="8"/>
  <c r="E43" i="9" s="1"/>
  <c r="J41" i="8"/>
  <c r="F41" i="8"/>
  <c r="C43" i="8"/>
  <c r="G41" i="8"/>
  <c r="D41" i="8"/>
  <c r="AC30" i="8"/>
  <c r="X30" i="8"/>
  <c r="Z30" i="8" s="1"/>
  <c r="AA21" i="8"/>
  <c r="Z30" i="7"/>
  <c r="AD21" i="7"/>
  <c r="AA21" i="7"/>
  <c r="Y30" i="7"/>
  <c r="AB21" i="7"/>
  <c r="P41" i="7"/>
  <c r="R36" i="7"/>
  <c r="Q36" i="7"/>
  <c r="N45" i="7"/>
  <c r="M41" i="7"/>
  <c r="N36" i="7"/>
  <c r="K41" i="7"/>
  <c r="O36" i="7"/>
  <c r="L36" i="7"/>
  <c r="H41" i="7"/>
  <c r="J36" i="7"/>
  <c r="I36" i="7"/>
  <c r="E57" i="7"/>
  <c r="F45" i="7"/>
  <c r="E41" i="7"/>
  <c r="F36" i="7"/>
  <c r="C57" i="7"/>
  <c r="C41" i="7"/>
  <c r="G36" i="7"/>
  <c r="D36" i="7"/>
  <c r="H41" i="6"/>
  <c r="J36" i="6"/>
  <c r="I36" i="6"/>
  <c r="P41" i="6"/>
  <c r="Q36" i="6"/>
  <c r="K41" i="6"/>
  <c r="L36" i="6"/>
  <c r="E41" i="6"/>
  <c r="F36" i="6"/>
  <c r="T25" i="6"/>
  <c r="C41" i="6"/>
  <c r="G36" i="6"/>
  <c r="D36" i="6"/>
  <c r="AB30" i="4"/>
  <c r="AC30" i="4" s="1"/>
  <c r="AC21" i="4"/>
  <c r="X30" i="4"/>
  <c r="Z30" i="6" s="1"/>
  <c r="AA21" i="4"/>
  <c r="Z21" i="4"/>
  <c r="Z30" i="4"/>
  <c r="P41" i="4"/>
  <c r="R36" i="4"/>
  <c r="Q36" i="4"/>
  <c r="N45" i="4"/>
  <c r="M41" i="4"/>
  <c r="N36" i="4"/>
  <c r="K41" i="4"/>
  <c r="O36" i="4"/>
  <c r="L36" i="4"/>
  <c r="H41" i="4"/>
  <c r="J36" i="4"/>
  <c r="I36" i="4"/>
  <c r="F45" i="4"/>
  <c r="E41" i="4"/>
  <c r="F36" i="4"/>
  <c r="C41" i="4"/>
  <c r="G36" i="4"/>
  <c r="D36" i="4"/>
  <c r="P45" i="6"/>
  <c r="P41" i="3"/>
  <c r="Q36" i="3"/>
  <c r="K45" i="6"/>
  <c r="K41" i="3"/>
  <c r="L36" i="3"/>
  <c r="H45" i="6"/>
  <c r="H41" i="3"/>
  <c r="J36" i="3"/>
  <c r="I36" i="3"/>
  <c r="E41" i="3"/>
  <c r="F36" i="3"/>
  <c r="C45" i="6"/>
  <c r="C41" i="3"/>
  <c r="G36" i="3"/>
  <c r="D36" i="3"/>
  <c r="D45" i="6" l="1"/>
  <c r="F45" i="3"/>
  <c r="E45" i="6"/>
  <c r="J45" i="6"/>
  <c r="I45" i="6"/>
  <c r="K45" i="11"/>
  <c r="L45" i="6"/>
  <c r="Q45" i="6"/>
  <c r="E64" i="7"/>
  <c r="J43" i="9"/>
  <c r="F43" i="9"/>
  <c r="R43" i="9"/>
  <c r="N43" i="9"/>
  <c r="P24" i="11"/>
  <c r="R20" i="11"/>
  <c r="Q20" i="11"/>
  <c r="Q16" i="11"/>
  <c r="Q46" i="11"/>
  <c r="Q42" i="11"/>
  <c r="Q30" i="11"/>
  <c r="Q27" i="11"/>
  <c r="Q26" i="11"/>
  <c r="Q22" i="11"/>
  <c r="Q18" i="11"/>
  <c r="Q17" i="11"/>
  <c r="Q15" i="11"/>
  <c r="Q13" i="11"/>
  <c r="Q12" i="11"/>
  <c r="Q11" i="11"/>
  <c r="Q14" i="11"/>
  <c r="Q28" i="11"/>
  <c r="Q32" i="11"/>
  <c r="Q39" i="11"/>
  <c r="Q38" i="11"/>
  <c r="Q31" i="11"/>
  <c r="Q19" i="11"/>
  <c r="H24" i="11"/>
  <c r="J20" i="11"/>
  <c r="I10" i="11"/>
  <c r="I46" i="11"/>
  <c r="I42" i="11"/>
  <c r="I30" i="11"/>
  <c r="I27" i="11"/>
  <c r="I26" i="11"/>
  <c r="I18" i="11"/>
  <c r="I17" i="11"/>
  <c r="I15" i="11"/>
  <c r="I14" i="11"/>
  <c r="I13" i="11"/>
  <c r="I12" i="11"/>
  <c r="I11" i="11"/>
  <c r="I16" i="11"/>
  <c r="I22" i="11"/>
  <c r="I28" i="11"/>
  <c r="I32" i="11"/>
  <c r="I39" i="11"/>
  <c r="I38" i="11"/>
  <c r="I31" i="11"/>
  <c r="P45" i="10"/>
  <c r="P41" i="10"/>
  <c r="R36" i="10"/>
  <c r="Q36" i="10"/>
  <c r="J34" i="10"/>
  <c r="H36" i="10"/>
  <c r="R34" i="10"/>
  <c r="Q34" i="10"/>
  <c r="P36" i="5"/>
  <c r="R24" i="5"/>
  <c r="Q24" i="5"/>
  <c r="R34" i="5"/>
  <c r="Q34" i="5"/>
  <c r="H36" i="5"/>
  <c r="J34" i="5"/>
  <c r="I34" i="5"/>
  <c r="Y30" i="6"/>
  <c r="AG18" i="11"/>
  <c r="X18" i="11"/>
  <c r="X23" i="11" s="1"/>
  <c r="AE23" i="11" s="1"/>
  <c r="AE15" i="11"/>
  <c r="AA18" i="11"/>
  <c r="R34" i="11"/>
  <c r="Q34" i="11"/>
  <c r="J34" i="11"/>
  <c r="I34" i="11"/>
  <c r="C20" i="11"/>
  <c r="G10" i="11"/>
  <c r="D10" i="11"/>
  <c r="D46" i="10"/>
  <c r="D45" i="10"/>
  <c r="D43" i="10"/>
  <c r="D42" i="10"/>
  <c r="D41" i="10"/>
  <c r="D39" i="10"/>
  <c r="D38" i="10"/>
  <c r="D36" i="10"/>
  <c r="D34" i="10"/>
  <c r="D32" i="10"/>
  <c r="D31" i="10"/>
  <c r="D30" i="10"/>
  <c r="D28" i="10"/>
  <c r="D27" i="10"/>
  <c r="D26" i="10"/>
  <c r="D24" i="10"/>
  <c r="D22" i="10"/>
  <c r="G20" i="10"/>
  <c r="D20" i="10"/>
  <c r="D19" i="10"/>
  <c r="D18" i="10"/>
  <c r="D17" i="10"/>
  <c r="D16" i="10"/>
  <c r="D15" i="10"/>
  <c r="D14" i="10"/>
  <c r="D13" i="10"/>
  <c r="D12" i="10"/>
  <c r="D11" i="10"/>
  <c r="D10" i="10"/>
  <c r="F16" i="11"/>
  <c r="E24" i="11"/>
  <c r="F20" i="11"/>
  <c r="F46" i="11"/>
  <c r="F42" i="11"/>
  <c r="F38" i="11"/>
  <c r="F30" i="11"/>
  <c r="F27" i="11"/>
  <c r="F26" i="11"/>
  <c r="F22" i="11"/>
  <c r="F18" i="11"/>
  <c r="F17" i="11"/>
  <c r="F15" i="11"/>
  <c r="F14" i="11"/>
  <c r="F13" i="11"/>
  <c r="F12" i="11"/>
  <c r="F11" i="11"/>
  <c r="F28" i="11"/>
  <c r="F32" i="11"/>
  <c r="F39" i="11"/>
  <c r="F31" i="11"/>
  <c r="F19" i="11"/>
  <c r="K20" i="11"/>
  <c r="O10" i="11"/>
  <c r="L10" i="11"/>
  <c r="L46" i="10"/>
  <c r="L45" i="10"/>
  <c r="L43" i="10"/>
  <c r="L42" i="10"/>
  <c r="L41" i="10"/>
  <c r="L39" i="10"/>
  <c r="L38" i="10"/>
  <c r="L36" i="10"/>
  <c r="L34" i="10"/>
  <c r="L32" i="10"/>
  <c r="L31" i="10"/>
  <c r="L30" i="10"/>
  <c r="L28" i="10"/>
  <c r="L27" i="10"/>
  <c r="L26" i="10"/>
  <c r="K26" i="10"/>
  <c r="L24" i="10"/>
  <c r="L22" i="10"/>
  <c r="O20" i="10"/>
  <c r="L20" i="10"/>
  <c r="L19" i="10"/>
  <c r="L18" i="10"/>
  <c r="L17" i="10"/>
  <c r="L16" i="10"/>
  <c r="L15" i="10"/>
  <c r="L14" i="10"/>
  <c r="L13" i="10"/>
  <c r="L12" i="10"/>
  <c r="L11" i="10"/>
  <c r="L10" i="10"/>
  <c r="N14" i="11"/>
  <c r="M24" i="11"/>
  <c r="N20" i="11"/>
  <c r="N38" i="11"/>
  <c r="N39" i="11"/>
  <c r="N46" i="11"/>
  <c r="N42" i="11"/>
  <c r="N30" i="11"/>
  <c r="N27" i="11"/>
  <c r="N26" i="11"/>
  <c r="N22" i="11"/>
  <c r="N18" i="11"/>
  <c r="N17" i="11"/>
  <c r="N15" i="11"/>
  <c r="N13" i="11"/>
  <c r="N12" i="11"/>
  <c r="N11" i="11"/>
  <c r="N28" i="11"/>
  <c r="N32" i="11"/>
  <c r="N31" i="11"/>
  <c r="N19" i="11"/>
  <c r="AA30" i="10"/>
  <c r="Z30" i="10"/>
  <c r="AC23" i="11"/>
  <c r="AA19" i="10"/>
  <c r="X21" i="10"/>
  <c r="Z19" i="10"/>
  <c r="Y30" i="10"/>
  <c r="AC21" i="10"/>
  <c r="Z21" i="10"/>
  <c r="AA17" i="10"/>
  <c r="Z14" i="11"/>
  <c r="Z17" i="10"/>
  <c r="G19" i="11"/>
  <c r="D19" i="11"/>
  <c r="G24" i="10"/>
  <c r="E59" i="7"/>
  <c r="E60" i="7" s="1"/>
  <c r="E61" i="7" s="1"/>
  <c r="E45" i="10"/>
  <c r="I45" i="10" s="1"/>
  <c r="E41" i="10"/>
  <c r="I36" i="10"/>
  <c r="M45" i="10"/>
  <c r="M41" i="10"/>
  <c r="M43" i="10" s="1"/>
  <c r="L19" i="11"/>
  <c r="K28" i="10"/>
  <c r="O24" i="10"/>
  <c r="G31" i="11"/>
  <c r="D31" i="11"/>
  <c r="C32" i="11"/>
  <c r="G32" i="10"/>
  <c r="C34" i="10"/>
  <c r="G39" i="11"/>
  <c r="D39" i="11"/>
  <c r="N45" i="5"/>
  <c r="M41" i="5"/>
  <c r="N36" i="5"/>
  <c r="E36" i="5"/>
  <c r="G24" i="5"/>
  <c r="N10" i="6"/>
  <c r="N11" i="6"/>
  <c r="N12" i="6"/>
  <c r="N13" i="6"/>
  <c r="N14" i="6"/>
  <c r="N15" i="6"/>
  <c r="N17" i="6"/>
  <c r="N18" i="6"/>
  <c r="N22" i="6"/>
  <c r="N26" i="6"/>
  <c r="N27" i="6"/>
  <c r="N30" i="6"/>
  <c r="N32" i="6"/>
  <c r="N38" i="6"/>
  <c r="N39" i="6"/>
  <c r="N42" i="6"/>
  <c r="N46" i="6"/>
  <c r="N33" i="6"/>
  <c r="N28" i="6"/>
  <c r="R20" i="6"/>
  <c r="M24" i="6"/>
  <c r="N20" i="6"/>
  <c r="O20" i="6"/>
  <c r="N34" i="6"/>
  <c r="N16" i="11"/>
  <c r="O24" i="3"/>
  <c r="M36" i="3"/>
  <c r="N24" i="3"/>
  <c r="R24" i="3"/>
  <c r="C36" i="5"/>
  <c r="G34" i="5"/>
  <c r="D34" i="5"/>
  <c r="K36" i="5"/>
  <c r="O34" i="5"/>
  <c r="L34" i="5"/>
  <c r="AI14" i="11"/>
  <c r="AC14" i="11"/>
  <c r="AB15" i="11"/>
  <c r="AA19" i="3"/>
  <c r="X21" i="3"/>
  <c r="Z19" i="3"/>
  <c r="AH15" i="11"/>
  <c r="X21" i="6"/>
  <c r="AA21" i="6"/>
  <c r="Y30" i="3"/>
  <c r="AI15" i="11"/>
  <c r="W24" i="11"/>
  <c r="N34" i="11"/>
  <c r="F34" i="11"/>
  <c r="AB30" i="3"/>
  <c r="AC30" i="3" s="1"/>
  <c r="AC21" i="3"/>
  <c r="AD30" i="6"/>
  <c r="AE21" i="6"/>
  <c r="G43" i="8"/>
  <c r="D43" i="8"/>
  <c r="J43" i="8"/>
  <c r="F43" i="8"/>
  <c r="K45" i="8"/>
  <c r="O43" i="8"/>
  <c r="L43" i="8"/>
  <c r="R43" i="8"/>
  <c r="N43" i="8"/>
  <c r="C43" i="7"/>
  <c r="G41" i="7"/>
  <c r="D41" i="7"/>
  <c r="G45" i="7"/>
  <c r="D45" i="7"/>
  <c r="E43" i="7"/>
  <c r="F41" i="7"/>
  <c r="H43" i="7"/>
  <c r="J41" i="7"/>
  <c r="I41" i="7"/>
  <c r="J45" i="7"/>
  <c r="I45" i="7"/>
  <c r="K43" i="7"/>
  <c r="O41" i="7"/>
  <c r="L41" i="7"/>
  <c r="O45" i="7"/>
  <c r="L45" i="7"/>
  <c r="M43" i="7"/>
  <c r="N43" i="7" s="1"/>
  <c r="N41" i="7"/>
  <c r="P43" i="7"/>
  <c r="R41" i="7"/>
  <c r="Q41" i="7"/>
  <c r="R45" i="7"/>
  <c r="Q45" i="7"/>
  <c r="AD30" i="7"/>
  <c r="AA30" i="7"/>
  <c r="C43" i="6"/>
  <c r="G41" i="6"/>
  <c r="D41" i="6"/>
  <c r="E43" i="6"/>
  <c r="F41" i="6"/>
  <c r="T28" i="6"/>
  <c r="K43" i="6"/>
  <c r="L41" i="6"/>
  <c r="P43" i="6"/>
  <c r="Q41" i="6"/>
  <c r="H43" i="6"/>
  <c r="J41" i="6"/>
  <c r="I41" i="6"/>
  <c r="C43" i="4"/>
  <c r="G41" i="4"/>
  <c r="D41" i="4"/>
  <c r="G45" i="4"/>
  <c r="D45" i="4"/>
  <c r="E43" i="4"/>
  <c r="F43" i="4" s="1"/>
  <c r="F41" i="4"/>
  <c r="H43" i="4"/>
  <c r="J41" i="4"/>
  <c r="I41" i="4"/>
  <c r="K43" i="4"/>
  <c r="O41" i="4"/>
  <c r="L41" i="4"/>
  <c r="O45" i="4"/>
  <c r="L45" i="4"/>
  <c r="M43" i="4"/>
  <c r="N43" i="4" s="1"/>
  <c r="N41" i="4"/>
  <c r="P43" i="4"/>
  <c r="R41" i="4"/>
  <c r="Q41" i="4"/>
  <c r="R45" i="4"/>
  <c r="Q45" i="4"/>
  <c r="C43" i="3"/>
  <c r="G41" i="3"/>
  <c r="D41" i="3"/>
  <c r="G45" i="3"/>
  <c r="D45" i="3"/>
  <c r="E43" i="3"/>
  <c r="F43" i="3" s="1"/>
  <c r="F41" i="3"/>
  <c r="H43" i="3"/>
  <c r="J41" i="3"/>
  <c r="I41" i="3"/>
  <c r="J45" i="3"/>
  <c r="I45" i="3"/>
  <c r="K43" i="3"/>
  <c r="L41" i="3"/>
  <c r="L45" i="3"/>
  <c r="P43" i="3"/>
  <c r="Q41" i="3"/>
  <c r="Q45" i="3"/>
  <c r="AA24" i="11" l="1"/>
  <c r="AA30" i="6"/>
  <c r="AK18" i="11"/>
  <c r="AB21" i="6"/>
  <c r="AI18" i="11" s="1"/>
  <c r="AC21" i="6"/>
  <c r="X30" i="6"/>
  <c r="AH18" i="11"/>
  <c r="X30" i="3"/>
  <c r="Z30" i="3" s="1"/>
  <c r="AA21" i="3"/>
  <c r="Z21" i="3"/>
  <c r="AB18" i="11"/>
  <c r="K41" i="5"/>
  <c r="O36" i="5"/>
  <c r="L36" i="5"/>
  <c r="C41" i="5"/>
  <c r="G36" i="5"/>
  <c r="D36" i="5"/>
  <c r="R36" i="3"/>
  <c r="M41" i="3"/>
  <c r="N36" i="3"/>
  <c r="O36" i="3"/>
  <c r="O24" i="6"/>
  <c r="M36" i="6"/>
  <c r="N24" i="6"/>
  <c r="R24" i="6"/>
  <c r="E41" i="5"/>
  <c r="E43" i="5" s="1"/>
  <c r="M43" i="5"/>
  <c r="N43" i="5" s="1"/>
  <c r="N41" i="5"/>
  <c r="G34" i="10"/>
  <c r="C36" i="10"/>
  <c r="G32" i="11"/>
  <c r="D32" i="11"/>
  <c r="C34" i="11"/>
  <c r="K32" i="10"/>
  <c r="O28" i="10"/>
  <c r="E43" i="10"/>
  <c r="I41" i="10"/>
  <c r="AD14" i="11"/>
  <c r="Z15" i="11"/>
  <c r="X30" i="10"/>
  <c r="Z24" i="11" s="1"/>
  <c r="AA21" i="10"/>
  <c r="M36" i="11"/>
  <c r="N36" i="11" s="1"/>
  <c r="N24" i="11"/>
  <c r="K26" i="11"/>
  <c r="K30" i="10"/>
  <c r="O26" i="10"/>
  <c r="K24" i="11"/>
  <c r="O20" i="11"/>
  <c r="L20" i="11"/>
  <c r="L31" i="11"/>
  <c r="L27" i="11"/>
  <c r="L22" i="11"/>
  <c r="L18" i="11"/>
  <c r="L17" i="11"/>
  <c r="L16" i="11"/>
  <c r="L15" i="11"/>
  <c r="L14" i="11"/>
  <c r="L13" i="11"/>
  <c r="L12" i="11"/>
  <c r="L11" i="11"/>
  <c r="E36" i="11"/>
  <c r="F24" i="11"/>
  <c r="C24" i="11"/>
  <c r="G20" i="11"/>
  <c r="D20" i="11"/>
  <c r="D46" i="11"/>
  <c r="D42" i="11"/>
  <c r="D38" i="11"/>
  <c r="D30" i="11"/>
  <c r="D27" i="11"/>
  <c r="D26" i="11"/>
  <c r="D22" i="11"/>
  <c r="D18" i="11"/>
  <c r="D17" i="11"/>
  <c r="D15" i="11"/>
  <c r="D14" i="11"/>
  <c r="D13" i="11"/>
  <c r="D12" i="11"/>
  <c r="D11" i="11"/>
  <c r="D28" i="11"/>
  <c r="AA23" i="11"/>
  <c r="AE18" i="11"/>
  <c r="X24" i="11"/>
  <c r="AG23" i="11"/>
  <c r="H41" i="5"/>
  <c r="J36" i="5"/>
  <c r="I36" i="5"/>
  <c r="P41" i="5"/>
  <c r="R36" i="5"/>
  <c r="Q36" i="5"/>
  <c r="H45" i="10"/>
  <c r="H41" i="10"/>
  <c r="J36" i="10"/>
  <c r="P43" i="10"/>
  <c r="R41" i="10"/>
  <c r="Q41" i="10"/>
  <c r="P41" i="11"/>
  <c r="R45" i="10"/>
  <c r="Q45" i="10"/>
  <c r="P45" i="11"/>
  <c r="H36" i="11"/>
  <c r="J24" i="11"/>
  <c r="I24" i="11"/>
  <c r="P36" i="11"/>
  <c r="R24" i="11"/>
  <c r="Q24" i="11"/>
  <c r="L45" i="11"/>
  <c r="E45" i="11"/>
  <c r="F45" i="11" s="1"/>
  <c r="T31" i="6"/>
  <c r="F45" i="6"/>
  <c r="G45" i="6"/>
  <c r="O45" i="8"/>
  <c r="L45" i="8"/>
  <c r="R43" i="7"/>
  <c r="Q43" i="7"/>
  <c r="O43" i="7"/>
  <c r="L43" i="7"/>
  <c r="J43" i="7"/>
  <c r="I43" i="7"/>
  <c r="E63" i="7"/>
  <c r="F43" i="7"/>
  <c r="C63" i="7"/>
  <c r="G43" i="7"/>
  <c r="D43" i="7"/>
  <c r="J43" i="6"/>
  <c r="I43" i="6"/>
  <c r="Q43" i="6"/>
  <c r="L43" i="6"/>
  <c r="F43" i="6"/>
  <c r="T30" i="6"/>
  <c r="G43" i="6"/>
  <c r="D43" i="6"/>
  <c r="R43" i="4"/>
  <c r="Q43" i="4"/>
  <c r="O43" i="4"/>
  <c r="L43" i="4"/>
  <c r="J43" i="4"/>
  <c r="I43" i="4"/>
  <c r="G43" i="4"/>
  <c r="D43" i="4"/>
  <c r="Q43" i="3"/>
  <c r="L43" i="3"/>
  <c r="J43" i="3"/>
  <c r="I43" i="3"/>
  <c r="G43" i="3"/>
  <c r="D43" i="3"/>
  <c r="R36" i="11" l="1"/>
  <c r="Q36" i="11"/>
  <c r="H41" i="11"/>
  <c r="J36" i="11"/>
  <c r="I36" i="11"/>
  <c r="Q45" i="11"/>
  <c r="P43" i="11"/>
  <c r="Q41" i="11"/>
  <c r="R43" i="10"/>
  <c r="Q43" i="10"/>
  <c r="H43" i="10"/>
  <c r="J43" i="10" s="1"/>
  <c r="J41" i="10"/>
  <c r="J45" i="10"/>
  <c r="H45" i="11"/>
  <c r="P43" i="5"/>
  <c r="R41" i="5"/>
  <c r="Q41" i="5"/>
  <c r="R45" i="5"/>
  <c r="Q45" i="5"/>
  <c r="H43" i="5"/>
  <c r="J41" i="5"/>
  <c r="I41" i="5"/>
  <c r="I42" i="5" s="1"/>
  <c r="C36" i="11"/>
  <c r="G24" i="11"/>
  <c r="D24" i="11"/>
  <c r="E41" i="11"/>
  <c r="F36" i="11"/>
  <c r="O24" i="11"/>
  <c r="L24" i="11"/>
  <c r="K30" i="11"/>
  <c r="K34" i="10"/>
  <c r="O30" i="10"/>
  <c r="K28" i="11"/>
  <c r="O26" i="11"/>
  <c r="L26" i="11"/>
  <c r="AD15" i="11"/>
  <c r="Z18" i="11"/>
  <c r="AC15" i="11"/>
  <c r="I43" i="10"/>
  <c r="E65" i="7"/>
  <c r="K38" i="10"/>
  <c r="O32" i="10"/>
  <c r="G34" i="11"/>
  <c r="D34" i="11"/>
  <c r="C59" i="7"/>
  <c r="C60" i="7" s="1"/>
  <c r="C61" i="7" s="1"/>
  <c r="C45" i="10"/>
  <c r="C41" i="10"/>
  <c r="G36" i="10"/>
  <c r="R36" i="6"/>
  <c r="M41" i="6"/>
  <c r="N36" i="6"/>
  <c r="O36" i="6"/>
  <c r="O41" i="3"/>
  <c r="M43" i="3"/>
  <c r="N41" i="3"/>
  <c r="R41" i="3"/>
  <c r="N45" i="3"/>
  <c r="M45" i="6"/>
  <c r="O45" i="3"/>
  <c r="R45" i="3"/>
  <c r="C43" i="5"/>
  <c r="G41" i="5"/>
  <c r="D41" i="5"/>
  <c r="G45" i="5"/>
  <c r="D45" i="5"/>
  <c r="K43" i="5"/>
  <c r="O41" i="5"/>
  <c r="L41" i="5"/>
  <c r="O45" i="5"/>
  <c r="L45" i="5"/>
  <c r="AB23" i="11"/>
  <c r="AC18" i="11"/>
  <c r="Y24" i="11"/>
  <c r="AH23" i="11"/>
  <c r="AC30" i="6"/>
  <c r="AB24" i="11"/>
  <c r="AK23" i="11"/>
  <c r="AB30" i="6"/>
  <c r="AE30" i="6"/>
  <c r="E68" i="7"/>
  <c r="E66" i="7"/>
  <c r="J45" i="4"/>
  <c r="I45" i="4"/>
  <c r="AC24" i="11" l="1"/>
  <c r="AI23" i="11"/>
  <c r="O43" i="5"/>
  <c r="L43" i="5"/>
  <c r="G43" i="5"/>
  <c r="D43" i="5"/>
  <c r="M45" i="11"/>
  <c r="N45" i="6"/>
  <c r="O45" i="6"/>
  <c r="R45" i="6"/>
  <c r="N43" i="3"/>
  <c r="R43" i="3"/>
  <c r="O43" i="3"/>
  <c r="M41" i="11"/>
  <c r="O41" i="6"/>
  <c r="M43" i="6"/>
  <c r="N41" i="6"/>
  <c r="R41" i="6"/>
  <c r="C43" i="10"/>
  <c r="G41" i="10"/>
  <c r="G45" i="10"/>
  <c r="C45" i="11"/>
  <c r="K38" i="11"/>
  <c r="K42" i="10"/>
  <c r="O38" i="10"/>
  <c r="Z23" i="11"/>
  <c r="AD18" i="11"/>
  <c r="O28" i="11"/>
  <c r="L28" i="11"/>
  <c r="K39" i="10"/>
  <c r="O34" i="10"/>
  <c r="K32" i="11"/>
  <c r="O30" i="11"/>
  <c r="L30" i="11"/>
  <c r="E43" i="11"/>
  <c r="F43" i="11" s="1"/>
  <c r="F41" i="11"/>
  <c r="C41" i="11"/>
  <c r="G36" i="11"/>
  <c r="D36" i="11"/>
  <c r="J43" i="5"/>
  <c r="I43" i="5"/>
  <c r="R43" i="5"/>
  <c r="Q43" i="5"/>
  <c r="J45" i="11"/>
  <c r="I45" i="11"/>
  <c r="Q43" i="11"/>
  <c r="H43" i="11"/>
  <c r="J41" i="11"/>
  <c r="I41" i="11"/>
  <c r="J43" i="11" l="1"/>
  <c r="I43" i="11"/>
  <c r="J45" i="5"/>
  <c r="I45" i="5"/>
  <c r="C43" i="11"/>
  <c r="G41" i="11"/>
  <c r="D41" i="11"/>
  <c r="O32" i="11"/>
  <c r="L32" i="11"/>
  <c r="K34" i="11"/>
  <c r="K39" i="11"/>
  <c r="K43" i="10"/>
  <c r="O43" i="10" s="1"/>
  <c r="O39" i="10"/>
  <c r="K42" i="11"/>
  <c r="K46" i="10"/>
  <c r="O42" i="10"/>
  <c r="O38" i="11"/>
  <c r="L38" i="11"/>
  <c r="G45" i="11"/>
  <c r="D45" i="11"/>
  <c r="G43" i="10"/>
  <c r="C65" i="7"/>
  <c r="N43" i="6"/>
  <c r="R43" i="6"/>
  <c r="O43" i="6"/>
  <c r="M43" i="11"/>
  <c r="N41" i="11"/>
  <c r="R41" i="11"/>
  <c r="N45" i="11"/>
  <c r="O45" i="11"/>
  <c r="R45" i="11"/>
  <c r="N43" i="11" l="1"/>
  <c r="R43" i="11"/>
  <c r="C68" i="7"/>
  <c r="F68" i="7" s="1"/>
  <c r="C66" i="7"/>
  <c r="O46" i="10"/>
  <c r="K46" i="11"/>
  <c r="O42" i="11"/>
  <c r="L42" i="11"/>
  <c r="O39" i="11"/>
  <c r="L39" i="11"/>
  <c r="O34" i="11"/>
  <c r="L34" i="11"/>
  <c r="K36" i="11"/>
  <c r="G43" i="11"/>
  <c r="D43" i="11"/>
  <c r="K41" i="11" l="1"/>
  <c r="O36" i="11"/>
  <c r="L36" i="11"/>
  <c r="O46" i="11"/>
  <c r="L46" i="11"/>
  <c r="K43" i="11" l="1"/>
  <c r="O41" i="11"/>
  <c r="L41" i="11"/>
  <c r="O43" i="11" l="1"/>
  <c r="L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77E9627F-13E5-4B9B-80CB-CC7D79467FC6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<sst xmlns="http://schemas.openxmlformats.org/spreadsheetml/2006/main" count="1436" uniqueCount="581">
  <si>
    <t>Periodo ant</t>
  </si>
  <si>
    <t>Periodo Actual</t>
  </si>
  <si>
    <t>MES INIC</t>
  </si>
  <si>
    <t>MES FIN</t>
  </si>
  <si>
    <t>AÑO</t>
  </si>
  <si>
    <t>TRM</t>
  </si>
  <si>
    <t>ENERO</t>
  </si>
  <si>
    <t>NOVIEMBRE</t>
  </si>
  <si>
    <t>PPTO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</si>
  <si>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</si>
  <si>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</si>
  <si>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</si>
  <si>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</si>
  <si>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</si>
  <si>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</si>
  <si>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</si>
  <si>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</si>
  <si>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</si>
  <si>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</si>
  <si>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</si>
  <si>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</si>
  <si>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</si>
  <si>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</si>
  <si>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</si>
  <si>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</si>
  <si>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</si>
  <si>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</si>
  <si>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</si>
  <si>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</si>
  <si>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</si>
  <si>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</si>
  <si>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</si>
  <si>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</si>
  <si>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</si>
  <si>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</si>
  <si>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</si>
  <si>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</si>
  <si>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</si>
  <si>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</si>
  <si>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</si>
  <si>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</si>
  <si>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</si>
  <si>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</si>
  <si>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</si>
  <si>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</si>
  <si>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</si>
  <si>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</si>
  <si>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</si>
  <si>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</si>
  <si>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</si>
  <si>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</si>
  <si>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</si>
  <si>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</si>
  <si>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</si>
  <si>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</si>
  <si>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</si>
  <si>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</si>
  <si>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</si>
  <si>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</si>
  <si>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</si>
  <si>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</si>
  <si>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</si>
  <si>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</si>
  <si>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</si>
  <si>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</si>
  <si>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</si>
  <si>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</si>
  <si>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</si>
  <si>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</si>
  <si>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</si>
  <si>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</si>
  <si>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</si>
  <si>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</si>
  <si>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</si>
  <si>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</si>
  <si>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</si>
  <si>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</si>
  <si>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</si>
  <si>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</si>
  <si>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</si>
  <si>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</si>
  <si>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>OK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</si>
  <si>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</si>
  <si>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</si>
  <si>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</si>
  <si>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</si>
  <si>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</si>
  <si>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</si>
  <si>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</si>
  <si>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</si>
  <si>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</si>
  <si>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</si>
  <si>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</si>
  <si>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</si>
  <si>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</si>
  <si>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</si>
  <si>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</si>
  <si>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</si>
  <si>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</si>
  <si>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</si>
  <si>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</si>
  <si>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</si>
  <si>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</si>
  <si>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</si>
  <si>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</si>
  <si>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</si>
  <si>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</si>
  <si>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</si>
  <si>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Salvador</t>
  </si>
  <si>
    <t>Total</t>
  </si>
  <si>
    <t>UTILIDAD OPERACIONAL EXTERIOR</t>
  </si>
  <si>
    <t>Ppto</t>
  </si>
  <si>
    <t>Real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</si>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</sst>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164" formatCode="_(* #,##0.00_);_(* \(#,##0.00\);_(* &quot;-&quot;??_);_(@_)"/>
    <numFmt numFmtId="165" formatCode="mmm/yyyy"/>
    <numFmt numFmtId="166" formatCode="[$$]\ #,##0.00;\-[$$]\ #,##0.00"/>
    <numFmt numFmtId="167" formatCode="_-&quot;$&quot;\ * #,##0.00_-;\-&quot;$&quot;\ * #,##0.00_-;_-&quot;$&quot;\ * &quot;-&quot;_-;_-@_-"/>
    <numFmt numFmtId="168" formatCode="_(* #,##0_);_(* \(#,##0\);_(* &quot;-&quot;??_);_(@_)"/>
    <numFmt numFmtId="169" formatCode="#,##0;[Red]\-#,##0;&quot;-&quot;"/>
    <numFmt numFmtId="170" formatCode="mmmm/yyyy"/>
    <numFmt numFmtId="171" formatCode="[$-F800]dddd\,\ mmmm\ dd\,\ yyyy"/>
    <numFmt numFmtId="172" formatCode="0.0%"/>
    <numFmt numFmtId="173" formatCode="0_);\(0\)"/>
    <numFmt numFmtId="174" formatCode="_(* #,##0.000000000000_);_(* \(#,##0.000000000000\);_(* &quot;-&quot;??_);_(@_)"/>
    <numFmt numFmtId="175" formatCode="_(* #,##0.00000000_);_(* \(#,##0.00000000\);_(* &quot;-&quot;??_);_(@_)"/>
    <numFmt numFmtId="176" formatCode="_-* #,##0_-;\-* #,##0_-;_-* &quot;-&quot;????????_-;_-@_-"/>
    <numFmt numFmtId="177" formatCode="_(* #,##0.00000_);_(* \(#,##0.00000\);_(* &quot;-&quot;????????_);_(@_)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5" fontId="4" fillId="0" borderId="0" xfId="0" applyNumberFormat="1" applyFont="1"/>
    <xf numFmtId="1" fontId="2" fillId="0" borderId="0" xfId="0" applyNumberFormat="1" applyFont="1"/>
    <xf numFmtId="166" fontId="2" fillId="0" borderId="0" xfId="3" applyNumberFormat="1" applyFont="1" applyAlignment="1">
      <alignment horizontal="right" vertical="center" wrapText="1"/>
    </xf>
    <xf numFmtId="165" fontId="2" fillId="0" borderId="0" xfId="0" applyNumberFormat="1" applyFont="1"/>
    <xf numFmtId="164" fontId="2" fillId="0" borderId="0" xfId="1" applyFont="1" applyFill="1" applyBorder="1"/>
    <xf numFmtId="167" fontId="2" fillId="0" borderId="0" xfId="4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8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8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8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8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2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8" fontId="6" fillId="0" borderId="0" xfId="1" applyNumberFormat="1" applyFont="1" applyFill="1" applyBorder="1" applyAlignment="1">
      <alignment horizontal="right"/>
    </xf>
    <xf numFmtId="9" fontId="6" fillId="0" borderId="0" xfId="2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9" fontId="3" fillId="0" borderId="0" xfId="2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2" applyFont="1" applyFill="1" applyBorder="1" applyAlignment="1">
      <alignment horizontal="right"/>
    </xf>
    <xf numFmtId="9" fontId="9" fillId="0" borderId="0" xfId="2" applyFont="1" applyFill="1" applyBorder="1" applyAlignment="1">
      <alignment horizontal="right"/>
    </xf>
    <xf numFmtId="169" fontId="6" fillId="0" borderId="0" xfId="0" applyNumberFormat="1" applyFont="1" applyAlignment="1">
      <alignment horizontal="left"/>
    </xf>
    <xf numFmtId="168" fontId="13" fillId="0" borderId="0" xfId="1" applyNumberFormat="1" applyFont="1" applyFill="1" applyBorder="1" applyAlignment="1">
      <alignment horizontal="right"/>
    </xf>
    <xf numFmtId="9" fontId="13" fillId="0" borderId="0" xfId="2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8" fontId="3" fillId="0" borderId="0" xfId="1" applyNumberFormat="1" applyFont="1" applyFill="1" applyBorder="1" applyAlignment="1">
      <alignment horizontal="center" wrapText="1"/>
    </xf>
    <xf numFmtId="168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70" fontId="3" fillId="0" borderId="0" xfId="0" applyNumberFormat="1" applyFont="1" applyAlignment="1">
      <alignment horizontal="centerContinuous"/>
    </xf>
    <xf numFmtId="170" fontId="3" fillId="0" borderId="0" xfId="0" applyNumberFormat="1" applyFont="1" applyAlignment="1">
      <alignment horizontal="center"/>
    </xf>
    <xf numFmtId="168" fontId="3" fillId="0" borderId="0" xfId="1" applyNumberFormat="1" applyFont="1" applyFill="1" applyBorder="1" applyAlignment="1">
      <alignment horizontal="center"/>
    </xf>
    <xf numFmtId="171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8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8" fontId="3" fillId="0" borderId="0" xfId="1" applyNumberFormat="1" applyFont="1" applyFill="1" applyBorder="1" applyAlignment="1"/>
    <xf numFmtId="9" fontId="3" fillId="0" borderId="0" xfId="2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5" applyNumberFormat="1" applyFont="1"/>
    <xf numFmtId="168" fontId="9" fillId="0" borderId="0" xfId="1" applyNumberFormat="1" applyFont="1" applyFill="1" applyBorder="1" applyAlignment="1">
      <alignment horizontal="right"/>
    </xf>
    <xf numFmtId="9" fontId="9" fillId="0" borderId="0" xfId="2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8" fontId="9" fillId="0" borderId="0" xfId="0" applyNumberFormat="1" applyFont="1"/>
    <xf numFmtId="3" fontId="11" fillId="0" borderId="0" xfId="0" applyNumberFormat="1" applyFont="1"/>
    <xf numFmtId="168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8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164" fontId="6" fillId="0" borderId="0" xfId="0" applyNumberFormat="1" applyFont="1"/>
    <xf numFmtId="172" fontId="6" fillId="0" borderId="0" xfId="2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3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8" fontId="3" fillId="0" borderId="0" xfId="0" applyNumberFormat="1" applyFont="1" applyAlignment="1">
      <alignment horizontal="right"/>
    </xf>
    <xf numFmtId="9" fontId="3" fillId="0" borderId="0" xfId="2" applyFont="1" applyFill="1" applyBorder="1" applyAlignment="1"/>
    <xf numFmtId="172" fontId="3" fillId="0" borderId="0" xfId="2" applyNumberFormat="1" applyFont="1" applyFill="1" applyBorder="1" applyAlignment="1"/>
    <xf numFmtId="3" fontId="9" fillId="0" borderId="0" xfId="0" applyNumberFormat="1" applyFont="1"/>
    <xf numFmtId="168" fontId="3" fillId="0" borderId="0" xfId="1" applyNumberFormat="1" applyFont="1" applyFill="1" applyBorder="1" applyAlignment="1">
      <alignment horizontal="left"/>
    </xf>
    <xf numFmtId="169" fontId="3" fillId="0" borderId="0" xfId="0" applyNumberFormat="1" applyFont="1"/>
    <xf numFmtId="0" fontId="6" fillId="0" borderId="1" xfId="0" applyFont="1" applyBorder="1" applyAlignment="1">
      <alignment horizontal="centerContinuous"/>
    </xf>
    <xf numFmtId="3" fontId="17" fillId="0" borderId="0" xfId="0" applyNumberFormat="1" applyFont="1" applyAlignment="1">
      <alignment horizontal="center" vertical="center" wrapText="1"/>
    </xf>
    <xf numFmtId="164" fontId="3" fillId="0" borderId="0" xfId="0" applyNumberFormat="1" applyFont="1"/>
    <xf numFmtId="174" fontId="3" fillId="0" borderId="0" xfId="1" applyNumberFormat="1" applyFont="1" applyFill="1" applyBorder="1"/>
    <xf numFmtId="1" fontId="3" fillId="0" borderId="0" xfId="0" applyNumberFormat="1" applyFont="1"/>
    <xf numFmtId="0" fontId="18" fillId="0" borderId="0" xfId="0" applyFont="1"/>
    <xf numFmtId="164" fontId="18" fillId="0" borderId="0" xfId="1" applyFont="1"/>
    <xf numFmtId="0" fontId="18" fillId="0" borderId="0" xfId="0" applyFont="1" applyAlignment="1">
      <alignment wrapText="1"/>
    </xf>
    <xf numFmtId="175" fontId="19" fillId="0" borderId="0" xfId="1" applyNumberFormat="1" applyFont="1"/>
    <xf numFmtId="176" fontId="0" fillId="0" borderId="0" xfId="0" applyNumberFormat="1"/>
    <xf numFmtId="168" fontId="0" fillId="0" borderId="0" xfId="1" applyNumberFormat="1" applyFont="1"/>
    <xf numFmtId="164" fontId="19" fillId="0" borderId="0" xfId="1" applyFont="1"/>
    <xf numFmtId="168" fontId="18" fillId="0" borderId="0" xfId="1" applyNumberFormat="1" applyFont="1"/>
    <xf numFmtId="177" fontId="18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5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6" applyFont="1"/>
    <xf numFmtId="49" fontId="25" fillId="0" borderId="0" xfId="5" applyNumberFormat="1" applyFont="1"/>
    <xf numFmtId="49" fontId="23" fillId="0" borderId="0" xfId="5" applyNumberFormat="1" applyFont="1"/>
    <xf numFmtId="0" fontId="26" fillId="0" borderId="0" xfId="5" applyFont="1" applyAlignment="1">
      <alignment vertical="center"/>
    </xf>
    <xf numFmtId="168" fontId="22" fillId="0" borderId="0" xfId="1" applyNumberFormat="1" applyFont="1"/>
    <xf numFmtId="168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164" fontId="22" fillId="0" borderId="0" xfId="0" applyNumberFormat="1" applyFont="1"/>
    <xf numFmtId="41" fontId="22" fillId="0" borderId="0" xfId="0" applyNumberFormat="1" applyFont="1"/>
    <xf numFmtId="49" fontId="27" fillId="0" borderId="0" xfId="5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 2" xfId="6" xr:uid="{8181033A-BC19-456D-BA2C-BC97D8ECF66F}"/>
    <cellStyle name="Moneda [0] 2" xfId="4" xr:uid="{CF0C5BAF-DB32-467F-AD6B-0A671F260FF8}"/>
    <cellStyle name="Normal" xfId="0" builtinId="0"/>
    <cellStyle name="Normal 2" xfId="5" xr:uid="{93F9F2F8-9DB4-4908-9094-C913D3B29689}"/>
    <cellStyle name="Normal 3" xfId="3" xr:uid="{084AC1D3-BFD4-43BE-9E92-C52B77937149}"/>
    <cellStyle name="Porcentaje" xfId="2" builtinId="5"/>
  </cellStyles>
  <dxfs count="6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EB4229-AB27-4C7C-8555-5469A057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CF0068-5E7B-4DDE-86C7-0564CCA5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457A7B-57E7-4BE2-9911-0CB3ADAA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724E504-8746-42D8-852C-7DBF46041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3B0901F-31BA-4840-96C8-77B751DD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AE47AF9-16BB-43BC-842F-2C8C2A33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F6BCD43-87AB-45BD-94E0-CCC10478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8F93E7B-24FE-469A-AB43-2636B6A38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071608A-883F-4118-86DC-2A3E6DFB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5AD81AD-8897-44F9-961A-44C048A6F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EBEC927-5203-4BC4-8E22-F0EB4B5B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AD32E9C-A8DC-4C4D-BE60-A6C7B864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336079C-18A0-4573-876D-99A07A5BC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8B446C4-56E4-4C27-8A47-C144E2F8C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F1D7EF5-67E2-4D73-A42D-16F38A4B9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257969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09C9239-0EBC-4BC6-8EDF-2CC454F3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29575" y="13087963"/>
          <a:ext cx="2876494" cy="1791800"/>
        </a:xfrm>
        <a:prstGeom prst="rect">
          <a:avLst/>
        </a:prstGeom>
      </xdr:spPr>
    </xdr:pic>
    <xdr:clientData/>
  </xdr:twoCellAnchor>
  <xdr:twoCellAnchor editAs="oneCell">
    <xdr:from>
      <xdr:col>55</xdr:col>
      <xdr:colOff>714376</xdr:colOff>
      <xdr:row>74</xdr:row>
      <xdr:rowOff>61987</xdr:rowOff>
    </xdr:from>
    <xdr:to>
      <xdr:col>60</xdr:col>
      <xdr:colOff>118628</xdr:colOff>
      <xdr:row>82</xdr:row>
      <xdr:rowOff>59114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CCCD742F-D6B3-4088-889D-A960457D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186476" y="13406512"/>
          <a:ext cx="3214252" cy="1625902"/>
        </a:xfrm>
        <a:prstGeom prst="rect">
          <a:avLst/>
        </a:prstGeom>
      </xdr:spPr>
    </xdr:pic>
    <xdr:clientData/>
  </xdr:twoCellAnchor>
  <xdr:twoCellAnchor editAs="oneCell">
    <xdr:from>
      <xdr:col>45</xdr:col>
      <xdr:colOff>128986</xdr:colOff>
      <xdr:row>84</xdr:row>
      <xdr:rowOff>49609</xdr:rowOff>
    </xdr:from>
    <xdr:to>
      <xdr:col>49</xdr:col>
      <xdr:colOff>119391</xdr:colOff>
      <xdr:row>95</xdr:row>
      <xdr:rowOff>64996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74BA5FB6-DCEA-4908-94F2-20AE1E29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981086" y="15346759"/>
          <a:ext cx="3038405" cy="1796562"/>
        </a:xfrm>
        <a:prstGeom prst="rect">
          <a:avLst/>
        </a:prstGeom>
      </xdr:spPr>
    </xdr:pic>
    <xdr:clientData/>
  </xdr:twoCellAnchor>
  <xdr:twoCellAnchor editAs="oneCell">
    <xdr:from>
      <xdr:col>49</xdr:col>
      <xdr:colOff>549187</xdr:colOff>
      <xdr:row>85</xdr:row>
      <xdr:rowOff>39687</xdr:rowOff>
    </xdr:from>
    <xdr:to>
      <xdr:col>53</xdr:col>
      <xdr:colOff>292583</xdr:colOff>
      <xdr:row>95</xdr:row>
      <xdr:rowOff>39688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D48505E-5442-402F-851B-EAC4430E1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49287" y="15498762"/>
          <a:ext cx="2791396" cy="1619251"/>
        </a:xfrm>
        <a:prstGeom prst="rect">
          <a:avLst/>
        </a:prstGeom>
      </xdr:spPr>
    </xdr:pic>
    <xdr:clientData/>
  </xdr:twoCellAnchor>
  <xdr:twoCellAnchor editAs="oneCell">
    <xdr:from>
      <xdr:col>55</xdr:col>
      <xdr:colOff>148828</xdr:colOff>
      <xdr:row>85</xdr:row>
      <xdr:rowOff>125782</xdr:rowOff>
    </xdr:from>
    <xdr:to>
      <xdr:col>59</xdr:col>
      <xdr:colOff>9921</xdr:colOff>
      <xdr:row>96</xdr:row>
      <xdr:rowOff>64190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1BCBC36-13EC-41B7-AD27-CE943004A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620928" y="15584857"/>
          <a:ext cx="2909093" cy="1719583"/>
        </a:xfrm>
        <a:prstGeom prst="rect">
          <a:avLst/>
        </a:prstGeom>
      </xdr:spPr>
    </xdr:pic>
    <xdr:clientData/>
  </xdr:twoCellAnchor>
  <xdr:twoCellAnchor editAs="oneCell">
    <xdr:from>
      <xdr:col>45</xdr:col>
      <xdr:colOff>128985</xdr:colOff>
      <xdr:row>99</xdr:row>
      <xdr:rowOff>96637</xdr:rowOff>
    </xdr:from>
    <xdr:to>
      <xdr:col>49</xdr:col>
      <xdr:colOff>337344</xdr:colOff>
      <xdr:row>110</xdr:row>
      <xdr:rowOff>122036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CE0F966-E014-465D-AB8A-57F04557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981085" y="17822662"/>
          <a:ext cx="3256359" cy="180657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0B07F18B-D3E8-4579-A21C-8EA7A8966826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2C8680EF-8751-45C1-B90E-D7FBF5D61B2C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F7B8A976-C8E9-456F-9BCE-F4310B5A5669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6A622C-9252-44E8-8E71-68832905E01E}" name="UnoBiable: SmartZoom 001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31">
      <pivotArea outline="0" collapsedLevelsAreSubtotals="1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6">
      <pivotArea field="32" type="button" dataOnly="0" labelOnly="1" outline="0" axis="axisRow" fieldPosition="1"/>
    </format>
    <format dxfId="25">
      <pivotArea dataOnly="0" labelOnly="1" outline="0" fieldPosition="0">
        <references count="1">
          <reference field="31" count="0"/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2">
      <pivotArea type="topRight" dataOnly="0" labelOnly="1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7">
      <pivotArea field="32" type="button" dataOnly="0" labelOnly="1" outline="0" axis="axisRow" fieldPosition="1"/>
    </format>
    <format dxfId="16">
      <pivotArea dataOnly="0" labelOnly="1" outline="0" fieldPosition="0">
        <references count="1">
          <reference field="31" count="0"/>
        </references>
      </pivotArea>
    </format>
    <format dxfId="15">
      <pivotArea dataOnly="0" labelOnly="1" grandRow="1" outline="0" fieldPosition="0"/>
    </format>
    <format dxfId="14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1C5F44-2C90-43B1-81B2-0A55E3722A58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54">
      <pivotArea outline="0" collapsedLevelsAreSubtotals="1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48">
      <pivotArea dataOnly="0" labelOnly="1" outline="0" fieldPosition="0">
        <references count="1">
          <reference field="5" count="0"/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5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3">
      <pivotArea type="topRight" dataOnly="0" labelOnly="1" outline="0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origin" dataOnly="0" labelOnly="1" outline="0" fieldPosition="0"/>
    </format>
    <format dxfId="39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7">
      <pivotArea dataOnly="0" labelOnly="1" outline="0" fieldPosition="0">
        <references count="1">
          <reference field="5" count="0"/>
        </references>
      </pivotArea>
    </format>
    <format dxfId="36">
      <pivotArea dataOnly="0" labelOnly="1" grandRow="1" outline="0" fieldPosition="0"/>
    </format>
    <format dxfId="35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4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3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A19D0-4609-42B3-96DA-DAFD9B579B5F}" name="UnoBiable: SmartZoom 000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68">
      <pivotArea type="all" dataOnly="0" outline="0" fieldPosition="0"/>
    </format>
    <format dxfId="67">
      <pivotArea outline="0" collapsedLevelsAreSubtotals="1" fieldPosition="0"/>
    </format>
    <format dxfId="66">
      <pivotArea type="origin" dataOnly="0" labelOnly="1" outline="0" fieldPosition="0"/>
    </format>
    <format dxfId="65">
      <pivotArea field="4" type="button" dataOnly="0" labelOnly="1" outline="0" axis="axisRow" fieldPosition="0"/>
    </format>
    <format dxfId="64">
      <pivotArea dataOnly="0" labelOnly="1" outline="0" fieldPosition="0">
        <references count="1">
          <reference field="4" count="0"/>
        </references>
      </pivotArea>
    </format>
    <format dxfId="63">
      <pivotArea dataOnly="0" labelOnly="1" grandRow="1" outline="0" fieldPosition="0"/>
    </format>
    <format dxfId="62">
      <pivotArea type="topRight" dataOnly="0" labelOnly="1" outline="0" fieldPosition="0"/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0"/>
    </format>
    <format dxfId="57">
      <pivotArea dataOnly="0" labelOnly="1" outline="0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8555-79BA-4D08-87E3-6F24F282A1FC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4419.59</v>
      </c>
    </row>
    <row r="4" spans="1:7" x14ac:dyDescent="0.2">
      <c r="A4" s="2" t="str">
        <f>VLOOKUP(E4,B22:E33,4,0)</f>
        <v>202311</v>
      </c>
      <c r="B4" s="3" t="str">
        <f>VLOOKUP(E3,B22:D33,3,0)</f>
        <v>202411</v>
      </c>
      <c r="C4" s="3"/>
      <c r="D4" s="7" t="str">
        <f>+D3</f>
        <v>ENERO</v>
      </c>
      <c r="E4" s="7" t="str">
        <f>+E3</f>
        <v>NOVIEMBRE</v>
      </c>
      <c r="F4" s="5">
        <v>2023</v>
      </c>
      <c r="G4" s="8">
        <v>3980.67</v>
      </c>
    </row>
    <row r="5" spans="1:7" x14ac:dyDescent="0.2">
      <c r="A5" s="2"/>
      <c r="B5" s="3">
        <f>+B4-1</f>
        <v>202410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11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12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13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14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15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16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17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53E9663D-9CE6-45B8-87A7-30FAD6820A58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27A09-F476-406D-9580-D44B68DE5526}">
  <dimension ref="A1:AK46"/>
  <sheetViews>
    <sheetView showGridLines="0" topLeftCell="Q22" workbookViewId="0">
      <selection activeCell="AK71" sqref="AK71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142</v>
      </c>
      <c r="T3" s="117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91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NOVIEMBRE de 2024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91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143</v>
      </c>
      <c r="E7" s="61"/>
      <c r="F7" s="61" t="s">
        <v>144</v>
      </c>
      <c r="G7" s="62" t="s">
        <v>24</v>
      </c>
      <c r="H7" s="61"/>
      <c r="I7" s="61" t="s">
        <v>145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146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10658.321799190227</v>
      </c>
      <c r="X8" s="32">
        <f>'COLOMBIA USD'!Y10+'EL SALVADOR USD'!X10+'VENEZUELA USD'!X9+'PANAMA USD'!W10</f>
        <v>61576.552075228545</v>
      </c>
      <c r="Y8" s="32">
        <f>'COLOMBIA USD'!X10+'EL SALVADOR USD'!W10+'VENEZUELA USD'!Y9+'PANAMA USD'!V10</f>
        <v>22051.36705667268</v>
      </c>
      <c r="Z8" s="32">
        <f>'COLOMBIA USD'!Z10+'EL SALVADOR USD'!Y10+'VENEZUELA USD'!Z9+'PANAMA USD'!X10</f>
        <v>32668.653219239452</v>
      </c>
      <c r="AA8" s="32">
        <f>'COLOMBIA USD'!AD10+'EL SALVADOR USD'!AC10+'VENEZUELA USD'!AA9+'PANAMA USD'!AB10</f>
        <v>29199.768842757629</v>
      </c>
      <c r="AB8" s="32">
        <f>'COLOMBIA USD'!AA10+'EL SALVADOR USD'!Z10+'VENEZUELA USD'!AB9+'PANAMA USD'!Y10</f>
        <v>30413.120368405216</v>
      </c>
      <c r="AC8" s="63">
        <f>+AB8-Z8</f>
        <v>-2255.5328508342354</v>
      </c>
      <c r="AD8" s="68">
        <f>IF(Z8=0,"",(AB8-Z8)/ABS(Z8)+1)</f>
        <v>0.93095727467865463</v>
      </c>
      <c r="AE8" s="68">
        <f>IF(X8=0,"",(AB8-AA8)/ABS(AA8))</f>
        <v>4.1553463391493017E-2</v>
      </c>
      <c r="AF8" s="55"/>
      <c r="AG8" s="55">
        <f>+'COLOMBIA USD'!Y10+'EL SALVADOR USD'!X10+'VENEZUELA USD'!X9+'PANAMA USD'!W10</f>
        <v>61576.552075228545</v>
      </c>
      <c r="AH8" s="55">
        <f>+'COLOMBIA USD'!X10+'EL SALVADOR USD'!W10+'VENEZUELA USD'!Y9+'PANAMA USD'!V10</f>
        <v>22051.36705667268</v>
      </c>
      <c r="AI8" s="55">
        <f>+'COLOMBIA USD'!Z10+'EL SALVADOR USD'!Y10+'VENEZUELA USD'!Z9+'PANAMA USD'!X10</f>
        <v>32668.653219239452</v>
      </c>
      <c r="AJ8" s="55">
        <f>+'COLOMBIA USD'!AD10+'EL SALVADOR USD'!AC10+'VENEZUELA USD'!AA9+'PANAMA USD'!AB10</f>
        <v>29199.768842757629</v>
      </c>
      <c r="AK8" s="55">
        <f>+'COLOMBIA USD'!AA10+'EL SALVADOR USD'!Z10+'VENEZUELA USD'!AB9+'PANAMA USD'!Y10</f>
        <v>30413.120368405216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306265.17493892153</v>
      </c>
      <c r="X9" s="32">
        <f>'COLOMBIA USD'!Y11+'EL SALVADOR USD'!X11+'VENEZUELA USD'!X10+'PANAMA USD'!W11</f>
        <v>291822.67720724444</v>
      </c>
      <c r="Y9" s="32">
        <f>'COLOMBIA USD'!X11+'EL SALVADOR USD'!W11+'VENEZUELA USD'!Y10+'PANAMA USD'!V11</f>
        <v>221296.14292828756</v>
      </c>
      <c r="Z9" s="32">
        <f>'COLOMBIA USD'!Z11+'EL SALVADOR USD'!Y11+'VENEZUELA USD'!Z10+'PANAMA USD'!X11</f>
        <v>3131450.6826035604</v>
      </c>
      <c r="AA9" s="32">
        <f>'COLOMBIA USD'!AD11+'EL SALVADOR USD'!AC11+'VENEZUELA USD'!AA10+'PANAMA USD'!AB11</f>
        <v>3277003.6913392884</v>
      </c>
      <c r="AB9" s="32">
        <f>'COLOMBIA USD'!AA11+'EL SALVADOR USD'!Z11+'VENEZUELA USD'!AB10+'PANAMA USD'!Y11</f>
        <v>2866917.8520700168</v>
      </c>
      <c r="AC9" s="63">
        <f>+AB9-Z9</f>
        <v>-264532.8305335436</v>
      </c>
      <c r="AD9" s="68">
        <f>IF(Z9=0,"",(AB9-Z9)/ABS(Z9)+1)</f>
        <v>0.91552387141105962</v>
      </c>
      <c r="AE9" s="68">
        <f>IF(AA9=0,"",(AB9-AA9)/ABS(AA9))</f>
        <v>-0.12514048743767889</v>
      </c>
      <c r="AF9" s="55"/>
      <c r="AG9" s="55">
        <f>+'COLOMBIA USD'!Y11+'EL SALVADOR USD'!X11+'VENEZUELA USD'!X10+'PANAMA USD'!W11</f>
        <v>291822.67720724444</v>
      </c>
      <c r="AH9" s="55">
        <f>+'COLOMBIA USD'!X11+'EL SALVADOR USD'!W11+'VENEZUELA USD'!Y10+'PANAMA USD'!V11</f>
        <v>221296.14292828756</v>
      </c>
      <c r="AI9" s="55">
        <f>+'COLOMBIA USD'!AB11+'EL SALVADOR USD'!AA11+'VENEZUELA USD'!AC10+'PANAMA USD'!Z11</f>
        <v>-264980.34274801891</v>
      </c>
      <c r="AK9" s="55">
        <f>+'COLOMBIA USD'!AA11+'EL SALVADOR USD'!Z11+'VENEZUELA USD'!AB10+'PANAMA USD'!Y11</f>
        <v>2866917.8520700168</v>
      </c>
    </row>
    <row r="10" spans="1:37" x14ac:dyDescent="0.2">
      <c r="B10" s="3" t="s">
        <v>65</v>
      </c>
      <c r="C10" s="32">
        <f>+'COLOMBIA USD'!C10+'EL SALVADOR USD'!C10+'VENEZUELA USD'!C10+'PANAMA USD'!C10</f>
        <v>117739.91930757739</v>
      </c>
      <c r="D10" s="34">
        <f t="shared" ref="D10:D15" si="0">+C10/$C$20</f>
        <v>0.47513225489783595</v>
      </c>
      <c r="E10" s="32">
        <f>+'COLOMBIA USD'!E10+'EL SALVADOR USD'!E10+'VENEZUELA USD'!E10+'PANAMA USD'!E10</f>
        <v>94140.783659723806</v>
      </c>
      <c r="F10" s="34">
        <f t="shared" ref="F10:F20" si="1">+E10/$E$20</f>
        <v>0.45019153418606606</v>
      </c>
      <c r="G10" s="34">
        <f t="shared" ref="G10:G20" si="2">IF(C10=0,"",(E10-C10)/ABS(C10)+1)</f>
        <v>0.79956555273148711</v>
      </c>
      <c r="H10" s="32">
        <f>+'COLOMBIA USD'!H10+'EL SALVADOR USD'!H10+'VENEZUELA USD'!H10+'PANAMA USD'!H10</f>
        <v>112159.63521818818</v>
      </c>
      <c r="I10" s="34">
        <f t="shared" ref="I10:I18" si="3">+H10/$H$20</f>
        <v>0.46330677617008681</v>
      </c>
      <c r="J10" s="34">
        <f t="shared" ref="J10:J20" si="4">IF(H10=0,"",(E10-H10)/ABS(H10))</f>
        <v>-0.16065362127303334</v>
      </c>
      <c r="K10" s="32">
        <f>+'COLOMBIA USD'!K10+'EL SALVADOR USD'!K10+'VENEZUELA USD'!K10+'PANAMA USD'!K10</f>
        <v>1197367.1345382615</v>
      </c>
      <c r="L10" s="34">
        <f t="shared" ref="L10:L46" si="5">+K10/$K$20</f>
        <v>0.45309575407441371</v>
      </c>
      <c r="M10" s="32">
        <f>+'COLOMBIA USD'!M10+'EL SALVADOR USD'!M10+'VENEZUELA USD'!M10+'PANAMA USD'!M10</f>
        <v>1059092.8415022953</v>
      </c>
      <c r="N10" s="34">
        <f t="shared" ref="N10:N20" si="6">+M10/$M$20</f>
        <v>0.43354510683422331</v>
      </c>
      <c r="O10" s="34">
        <f t="shared" ref="O10:O18" si="7">IF(K10=0,"",(M10-K10)/ABS(K10)+1)</f>
        <v>0.88451804876932039</v>
      </c>
      <c r="P10" s="32">
        <f>+'COLOMBIA USD'!P10+'EL SALVADOR USD'!P10+'VENEZUELA USD'!P10+'PANAMA USD'!P10</f>
        <v>1204940.3803733254</v>
      </c>
      <c r="Q10" s="34">
        <f t="shared" ref="Q10:Q46" si="8">+P10/$P$20</f>
        <v>0.46086387703695542</v>
      </c>
      <c r="R10" s="34">
        <f t="shared" ref="R10:R18" si="9">IF(P10=0,"",(M10-P10)/ABS(P10))</f>
        <v>-0.12104129071169671</v>
      </c>
      <c r="V10" s="3" t="s">
        <v>33</v>
      </c>
      <c r="W10" s="32">
        <f>'COLOMBIA USD'!W13+'EL SALVADOR USD'!V13+'VENEZUELA USD'!W11+'PANAMA USD'!U13</f>
        <v>33042.016986756753</v>
      </c>
      <c r="X10" s="32">
        <f>'COLOMBIA USD'!Y13+'EL SALVADOR USD'!X13+'VENEZUELA USD'!X11+'PANAMA USD'!W13</f>
        <v>33701.163874423153</v>
      </c>
      <c r="Y10" s="32">
        <f>'COLOMBIA USD'!X13+'EL SALVADOR USD'!W13+'VENEZUELA USD'!Y11+'PANAMA USD'!V13</f>
        <v>97162.153149182122</v>
      </c>
      <c r="Z10" s="32">
        <f>'COLOMBIA USD'!Z13+'EL SALVADOR USD'!Y13+'VENEZUELA USD'!Z11+'PANAMA USD'!X13</f>
        <v>459471.08003206697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501844.10782466893</v>
      </c>
      <c r="AC10" s="63">
        <f>+Z10-AB10</f>
        <v>-42373.027792601963</v>
      </c>
      <c r="AD10" s="68">
        <f>IF(Z10=0,"",(AB10-Z10)/ABS(Z10)+1)</f>
        <v>1.0922213162788064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33701.163874423153</v>
      </c>
      <c r="AH10" s="55">
        <f>+'COLOMBIA USD'!X13+'EL SALVADOR USD'!W13+'VENEZUELA USD'!Y11+'PANAMA USD'!V13</f>
        <v>97162.153149182122</v>
      </c>
      <c r="AI10" s="55">
        <f>+'COLOMBIA USD'!AB13+'EL SALVADOR USD'!AA13+'VENEZUELA USD'!AC11+'PANAMA USD'!Z13</f>
        <v>-45251.888700506039</v>
      </c>
      <c r="AK10" s="55">
        <f>+'COLOMBIA USD'!AA13+'EL SALVADOR USD'!Z13+'VENEZUELA USD'!AB11+'PANAMA USD'!Y13</f>
        <v>501844.10782466893</v>
      </c>
    </row>
    <row r="11" spans="1:37" x14ac:dyDescent="0.2">
      <c r="B11" s="3" t="s">
        <v>67</v>
      </c>
      <c r="C11" s="32">
        <f>+'COLOMBIA USD'!C11+'EL SALVADOR USD'!C11+'VENEZUELA USD'!C11+'PANAMA USD'!C11</f>
        <v>9645.9969757904928</v>
      </c>
      <c r="D11" s="34">
        <f t="shared" si="0"/>
        <v>3.8925831789236559E-2</v>
      </c>
      <c r="E11" s="32">
        <f>+'COLOMBIA USD'!E11+'EL SALVADOR USD'!E11+'VENEZUELA USD'!E11+'PANAMA USD'!E11</f>
        <v>13533.921664861566</v>
      </c>
      <c r="F11" s="34">
        <f t="shared" si="1"/>
        <v>6.4720695122753358E-2</v>
      </c>
      <c r="G11" s="34">
        <f t="shared" si="2"/>
        <v>1.4030609483736083</v>
      </c>
      <c r="H11" s="32">
        <f>+'COLOMBIA USD'!H11+'EL SALVADOR USD'!H11+'VENEZUELA USD'!H11+'PANAMA USD'!H11</f>
        <v>7634.2530183927456</v>
      </c>
      <c r="I11" s="34">
        <f t="shared" si="3"/>
        <v>3.1535419561035852E-2</v>
      </c>
      <c r="J11" s="34">
        <f t="shared" si="4"/>
        <v>0.77278924765201051</v>
      </c>
      <c r="K11" s="32">
        <f>+'COLOMBIA USD'!K11+'EL SALVADOR USD'!K11+'VENEZUELA USD'!K11+'PANAMA USD'!K11</f>
        <v>122285.45501278565</v>
      </c>
      <c r="L11" s="34">
        <f t="shared" si="5"/>
        <v>4.6274044821446862E-2</v>
      </c>
      <c r="M11" s="32">
        <f>+'COLOMBIA USD'!M11+'EL SALVADOR USD'!M11+'VENEZUELA USD'!M11+'PANAMA USD'!M11</f>
        <v>134850.91062327736</v>
      </c>
      <c r="N11" s="34">
        <f t="shared" si="6"/>
        <v>5.5201914470436327E-2</v>
      </c>
      <c r="O11" s="34">
        <f t="shared" si="7"/>
        <v>1.1027551118747354</v>
      </c>
      <c r="P11" s="32">
        <f>+'COLOMBIA USD'!P11+'EL SALVADOR USD'!P11+'VENEZUELA USD'!P11+'PANAMA USD'!P11</f>
        <v>111605.63322794439</v>
      </c>
      <c r="Q11" s="34">
        <f t="shared" si="8"/>
        <v>4.2686763317417289E-2</v>
      </c>
      <c r="R11" s="34">
        <f t="shared" si="9"/>
        <v>0.20828050272208573</v>
      </c>
      <c r="V11" s="3" t="s">
        <v>34</v>
      </c>
      <c r="W11" s="32">
        <f>'COLOMBIA USD'!W14+'EL SALVADOR USD'!V14+'VENEZUELA USD'!W12+'PANAMA USD'!U14</f>
        <v>2751.6359883411023</v>
      </c>
      <c r="X11" s="32">
        <f>'COLOMBIA USD'!Y14+'EL SALVADOR USD'!X14+'VENEZUELA USD'!X12+'PANAMA USD'!W14</f>
        <v>2933.6860377775602</v>
      </c>
      <c r="Y11" s="32">
        <f>'COLOMBIA USD'!X14+'EL SALVADOR USD'!W14+'VENEZUELA USD'!Y12+'PANAMA USD'!V14</f>
        <v>735.46912722673369</v>
      </c>
      <c r="Z11" s="32">
        <f>'COLOMBIA USD'!Z14+'EL SALVADOR USD'!Y14+'VENEZUELA USD'!Z12+'PANAMA USD'!X14</f>
        <v>30172.728613067495</v>
      </c>
      <c r="AA11" s="32">
        <f>'COLOMBIA USD'!AD14+'EL SALVADOR USD'!AC14+'VENEZUELA USD'!AA12+'PANAMA USD'!AB14</f>
        <v>28523.288541878628</v>
      </c>
      <c r="AB11" s="32">
        <f>'COLOMBIA USD'!AA14+'EL SALVADOR USD'!Z14+'VENEZUELA USD'!AB12+'PANAMA USD'!Y14</f>
        <v>28575.211048988705</v>
      </c>
      <c r="AC11" s="63">
        <f>+Z11-AB11</f>
        <v>1597.5175640787893</v>
      </c>
      <c r="AD11" s="68">
        <f t="shared" ref="AD11:AD22" si="11">IF(Z11=0,"",(AB11-Z11)/ABS(Z11)+1)</f>
        <v>0.94705425602817639</v>
      </c>
      <c r="AE11" s="68">
        <f t="shared" si="10"/>
        <v>1.820354866650222E-3</v>
      </c>
      <c r="AF11" s="55"/>
      <c r="AG11" s="55">
        <f>+'COLOMBIA USD'!Y14+'EL SALVADOR USD'!X14+'VENEZUELA USD'!X12+'PANAMA USD'!W14</f>
        <v>2933.6860377775602</v>
      </c>
      <c r="AH11" s="55">
        <f>+'COLOMBIA USD'!X14+'EL SALVADOR USD'!W14+'VENEZUELA USD'!Y12+'PANAMA USD'!V14</f>
        <v>735.46912722673369</v>
      </c>
      <c r="AI11" s="55">
        <f>+'COLOMBIA USD'!AB14+'EL SALVADOR USD'!AA14+'VENEZUELA USD'!AC12+'PANAMA USD'!Z14</f>
        <v>1597.5175640787893</v>
      </c>
      <c r="AK11" s="55">
        <f>+'COLOMBIA USD'!AA14+'EL SALVADOR USD'!Z14+'VENEZUELA USD'!AB12+'PANAMA USD'!Y14</f>
        <v>28575.211048988705</v>
      </c>
    </row>
    <row r="12" spans="1:37" x14ac:dyDescent="0.2">
      <c r="B12" s="3" t="s">
        <v>69</v>
      </c>
      <c r="C12" s="32">
        <f>+'COLOMBIA USD'!C12+'EL SALVADOR USD'!C12+'VENEZUELA USD'!C12+'PANAMA USD'!C12</f>
        <v>18672.091656627494</v>
      </c>
      <c r="D12" s="34">
        <f t="shared" si="0"/>
        <v>7.5350085719835661E-2</v>
      </c>
      <c r="E12" s="32">
        <f>+'COLOMBIA USD'!E12+'EL SALVADOR USD'!E12+'VENEZUELA USD'!E12+'PANAMA USD'!E12</f>
        <v>12680.121046466851</v>
      </c>
      <c r="F12" s="34">
        <f t="shared" si="1"/>
        <v>6.0637727089754338E-2</v>
      </c>
      <c r="G12" s="34">
        <f t="shared" si="2"/>
        <v>0.6790948373459893</v>
      </c>
      <c r="H12" s="32">
        <f>+'COLOMBIA USD'!H12+'EL SALVADOR USD'!H12+'VENEZUELA USD'!H12+'PANAMA USD'!H12</f>
        <v>18194.798476249602</v>
      </c>
      <c r="I12" s="34">
        <f t="shared" si="3"/>
        <v>7.5158709358289805E-2</v>
      </c>
      <c r="J12" s="34">
        <f t="shared" si="4"/>
        <v>-0.30309087715268074</v>
      </c>
      <c r="K12" s="32">
        <f>+'COLOMBIA USD'!K12+'EL SALVADOR USD'!K12+'VENEZUELA USD'!K12+'PANAMA USD'!K12</f>
        <v>211799.82861440262</v>
      </c>
      <c r="L12" s="34">
        <f t="shared" si="5"/>
        <v>8.014718317442493E-2</v>
      </c>
      <c r="M12" s="32">
        <f>+'COLOMBIA USD'!M12+'EL SALVADOR USD'!M12+'VENEZUELA USD'!M12+'PANAMA USD'!M12</f>
        <v>178379.26822342002</v>
      </c>
      <c r="N12" s="34">
        <f t="shared" si="6"/>
        <v>7.3020471736202935E-2</v>
      </c>
      <c r="O12" s="34">
        <f t="shared" si="7"/>
        <v>0.84220685819426588</v>
      </c>
      <c r="P12" s="32">
        <f>+'COLOMBIA USD'!P12+'EL SALVADOR USD'!P12+'VENEZUELA USD'!P12+'PANAMA USD'!P12</f>
        <v>253199.30081720304</v>
      </c>
      <c r="Q12" s="34">
        <f t="shared" si="8"/>
        <v>9.6843307219489541E-2</v>
      </c>
      <c r="R12" s="34">
        <f t="shared" si="9"/>
        <v>-0.29549857504464144</v>
      </c>
      <c r="V12" s="3" t="s">
        <v>35</v>
      </c>
      <c r="W12" s="32">
        <f>'COLOMBIA USD'!W15+'EL SALVADOR USD'!V15+'VENEZUELA USD'!W13+'PANAMA USD'!U15</f>
        <v>98397.235695734533</v>
      </c>
      <c r="X12" s="32">
        <f>'COLOMBIA USD'!Y15+'EL SALVADOR USD'!X15+'VENEZUELA USD'!X13+'PANAMA USD'!W15</f>
        <v>110704.42602878409</v>
      </c>
      <c r="Y12" s="32">
        <f>'COLOMBIA USD'!X15+'EL SALVADOR USD'!W15+'VENEZUELA USD'!Y13+'PANAMA USD'!V15</f>
        <v>100079.59263189572</v>
      </c>
      <c r="Z12" s="32">
        <f>'COLOMBIA USD'!Z15+'EL SALVADOR USD'!Y15+'VENEZUELA USD'!Z13+'PANAMA USD'!X15</f>
        <v>1154904.4955473898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1160514.9688728242</v>
      </c>
      <c r="AC12" s="63">
        <f>+Z12-AB12</f>
        <v>-5610.4733254343737</v>
      </c>
      <c r="AD12" s="68">
        <f t="shared" si="11"/>
        <v>1.0048579543564553</v>
      </c>
      <c r="AE12" s="68" t="e">
        <f t="shared" si="10"/>
        <v>#VALUE!</v>
      </c>
      <c r="AF12" s="55"/>
      <c r="AG12" s="55">
        <f>+'COLOMBIA USD'!Y15+'EL SALVADOR USD'!X15+'VENEZUELA USD'!X13+'PANAMA USD'!W15</f>
        <v>110704.42602878409</v>
      </c>
      <c r="AH12" s="55">
        <f>+'COLOMBIA USD'!X15+'EL SALVADOR USD'!W15+'VENEZUELA USD'!Y13+'PANAMA USD'!V15</f>
        <v>100079.59263189572</v>
      </c>
      <c r="AI12" s="55">
        <f>+'COLOMBIA USD'!AB15+'EL SALVADOR USD'!AA15+'VENEZUELA USD'!AC13+'PANAMA USD'!Z15</f>
        <v>-838.70002278759785</v>
      </c>
      <c r="AK12" s="55">
        <f>+'COLOMBIA USD'!AA15+'EL SALVADOR USD'!Z15+'VENEZUELA USD'!AB13+'PANAMA USD'!Y15</f>
        <v>1160514.9688728242</v>
      </c>
    </row>
    <row r="13" spans="1:37" x14ac:dyDescent="0.2">
      <c r="B13" s="3" t="s">
        <v>71</v>
      </c>
      <c r="C13" s="32">
        <f>+'COLOMBIA USD'!C13+'EL SALVADOR USD'!C13+'VENEZUELA USD'!C13+'PANAMA USD'!C13</f>
        <v>19673.539193929832</v>
      </c>
      <c r="D13" s="34">
        <f t="shared" si="0"/>
        <v>7.9391366105949546E-2</v>
      </c>
      <c r="E13" s="32">
        <f>+'COLOMBIA USD'!E13+'EL SALVADOR USD'!E13+'VENEZUELA USD'!E13+'PANAMA USD'!E13</f>
        <v>11785.063125332837</v>
      </c>
      <c r="F13" s="34">
        <f t="shared" si="1"/>
        <v>5.6357462118122224E-2</v>
      </c>
      <c r="G13" s="34">
        <f t="shared" si="2"/>
        <v>0.59903116613451313</v>
      </c>
      <c r="H13" s="32">
        <f>+'COLOMBIA USD'!H13+'EL SALVADOR USD'!H13+'VENEZUELA USD'!H13+'PANAMA USD'!H13</f>
        <v>20195.025460538051</v>
      </c>
      <c r="I13" s="34">
        <f t="shared" si="3"/>
        <v>8.3421206948410501E-2</v>
      </c>
      <c r="J13" s="34">
        <f t="shared" si="4"/>
        <v>-0.41643732272775003</v>
      </c>
      <c r="K13" s="32">
        <f>+'COLOMBIA USD'!K13+'EL SALVADOR USD'!K13+'VENEZUELA USD'!K13+'PANAMA USD'!K13</f>
        <v>254504.12560997717</v>
      </c>
      <c r="L13" s="34">
        <f t="shared" si="5"/>
        <v>9.6306918222513707E-2</v>
      </c>
      <c r="M13" s="32">
        <f>+'COLOMBIA USD'!M13+'EL SALVADOR USD'!M13+'VENEZUELA USD'!M13+'PANAMA USD'!M13</f>
        <v>235347.41121691139</v>
      </c>
      <c r="N13" s="34">
        <f t="shared" si="6"/>
        <v>9.6340674340184937E-2</v>
      </c>
      <c r="O13" s="34">
        <f t="shared" si="7"/>
        <v>0.92472925793579042</v>
      </c>
      <c r="P13" s="32">
        <f>+'COLOMBIA USD'!P13+'EL SALVADOR USD'!P13+'VENEZUELA USD'!P13+'PANAMA USD'!P13</f>
        <v>238007.9805952546</v>
      </c>
      <c r="Q13" s="34">
        <f t="shared" si="8"/>
        <v>9.1032952741512879E-2</v>
      </c>
      <c r="R13" s="34">
        <f t="shared" si="9"/>
        <v>-1.1178488098126629E-2</v>
      </c>
      <c r="V13" s="3" t="s">
        <v>36</v>
      </c>
      <c r="W13" s="32">
        <f>'COLOMBIA USD'!W16+'EL SALVADOR USD'!V16+'VENEZUELA USD'!W14+'PANAMA USD'!U16</f>
        <v>74012.220294194383</v>
      </c>
      <c r="X13" s="32">
        <f>'COLOMBIA USD'!Y16+'EL SALVADOR USD'!X16+'VENEZUELA USD'!X14+'PANAMA USD'!W16</f>
        <v>64655.367963182071</v>
      </c>
      <c r="Y13" s="32">
        <f>'COLOMBIA USD'!X16+'EL SALVADOR USD'!W16+'VENEZUELA USD'!Y14+'PANAMA USD'!V16</f>
        <v>54165.319405193695</v>
      </c>
      <c r="Z13" s="32">
        <f>'COLOMBIA USD'!Z16+'EL SALVADOR USD'!Y16+'VENEZUELA USD'!Z14+'PANAMA USD'!X16</f>
        <v>786499.57056014892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635617.16208290809</v>
      </c>
      <c r="AC13" s="63">
        <f>+Z13-AB13</f>
        <v>150882.40847724082</v>
      </c>
      <c r="AD13" s="68">
        <f t="shared" si="11"/>
        <v>0.80815957932465032</v>
      </c>
      <c r="AE13" s="68" t="e">
        <f t="shared" si="10"/>
        <v>#VALUE!</v>
      </c>
      <c r="AF13" s="55"/>
      <c r="AG13" s="55">
        <f>+'COLOMBIA USD'!Y16+'EL SALVADOR USD'!X16+'VENEZUELA USD'!X14+'PANAMA USD'!W16</f>
        <v>64655.367963182071</v>
      </c>
      <c r="AH13" s="55">
        <f>+'COLOMBIA USD'!X16+'EL SALVADOR USD'!W16+'VENEZUELA USD'!Y14+'PANAMA USD'!V16</f>
        <v>54165.319405193695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635617.16208290809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208203.10896502677</v>
      </c>
      <c r="X14" s="32">
        <f>SUM(X10:X13)</f>
        <v>211994.64390416688</v>
      </c>
      <c r="Y14" s="32">
        <f>SUM(Y10:Y13)</f>
        <v>252142.53431349827</v>
      </c>
      <c r="Z14" s="32">
        <f>'COLOMBIA USD'!Z17+'EL SALVADOR USD'!Y17+'VENEZUELA USD'!Z15+'PANAMA USD'!X17</f>
        <v>2357321.3154891515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2285785.8571941769</v>
      </c>
      <c r="AC14" s="63">
        <f>+AB14-Z14</f>
        <v>-71535.45829497464</v>
      </c>
      <c r="AD14" s="68">
        <f t="shared" si="11"/>
        <v>0.96965392124317562</v>
      </c>
      <c r="AE14" s="68" t="e">
        <f t="shared" si="10"/>
        <v>#VALUE!</v>
      </c>
      <c r="AF14" s="55"/>
      <c r="AG14" s="55">
        <f>+'COLOMBIA USD'!Y17+'EL SALVADOR USD'!X17+'VENEZUELA USD'!X15+'PANAMA USD'!W17</f>
        <v>211994.64390416688</v>
      </c>
      <c r="AH14" s="55">
        <f>+'COLOMBIA USD'!X17+'EL SALVADOR USD'!W17+'VENEZUELA USD'!Y15+'PANAMA USD'!V17</f>
        <v>219781.26849071347</v>
      </c>
      <c r="AI14" s="55">
        <f>+'COLOMBIA USD'!AB17+'EL SALVADOR USD'!AA17+'VENEZUELA USD'!AC15+'PANAMA USD'!Z17</f>
        <v>-106389.82054493771</v>
      </c>
      <c r="AK14" s="55">
        <f>+'COLOMBIA USD'!AA17+'EL SALVADOR USD'!Z17+'VENEZUELA USD'!AB15+'PANAMA USD'!Y17</f>
        <v>2285785.8571941769</v>
      </c>
    </row>
    <row r="15" spans="1:37" x14ac:dyDescent="0.2">
      <c r="B15" s="3" t="s">
        <v>74</v>
      </c>
      <c r="C15" s="32">
        <f>+'COLOMBIA USD'!C15+'EL SALVADOR USD'!C15+'VENEZUELA USD'!C15+'PANAMA USD'!C15</f>
        <v>35586.858119180055</v>
      </c>
      <c r="D15" s="34">
        <f t="shared" si="0"/>
        <v>0.14360859292526457</v>
      </c>
      <c r="E15" s="32">
        <f>+'COLOMBIA USD'!E15+'EL SALVADOR USD'!E15+'VENEZUELA USD'!E15+'PANAMA USD'!E15</f>
        <v>31657.642871553275</v>
      </c>
      <c r="F15" s="34">
        <f t="shared" si="1"/>
        <v>0.15139031415516643</v>
      </c>
      <c r="G15" s="34">
        <f t="shared" si="2"/>
        <v>0.88958802616213339</v>
      </c>
      <c r="H15" s="32">
        <f>+'COLOMBIA USD'!H15+'EL SALVADOR USD'!H15+'VENEZUELA USD'!H15+'PANAMA USD'!H15</f>
        <v>30666.512259069103</v>
      </c>
      <c r="I15" s="34">
        <f t="shared" si="3"/>
        <v>0.12667661501832109</v>
      </c>
      <c r="J15" s="34">
        <f t="shared" si="4"/>
        <v>3.2319639224413658E-2</v>
      </c>
      <c r="K15" s="32">
        <f>+'COLOMBIA USD'!K15+'EL SALVADOR USD'!K15+'VENEZUELA USD'!K15+'PANAMA USD'!K15</f>
        <v>376847.04454041913</v>
      </c>
      <c r="L15" s="34">
        <f t="shared" si="5"/>
        <v>0.14260270796776173</v>
      </c>
      <c r="M15" s="32">
        <f>+'COLOMBIA USD'!M15+'EL SALVADOR USD'!M15+'VENEZUELA USD'!M15+'PANAMA USD'!M15</f>
        <v>343754.12232487625</v>
      </c>
      <c r="N15" s="34">
        <f t="shared" si="6"/>
        <v>0.14071751960540482</v>
      </c>
      <c r="O15" s="34">
        <f t="shared" si="7"/>
        <v>0.91218473729600003</v>
      </c>
      <c r="P15" s="32">
        <f>+'COLOMBIA USD'!P15+'EL SALVADOR USD'!P15+'VENEZUELA USD'!P15+'PANAMA USD'!P15</f>
        <v>383171.4165677983</v>
      </c>
      <c r="Q15" s="34">
        <f t="shared" si="8"/>
        <v>0.146554856560177</v>
      </c>
      <c r="R15" s="34">
        <f t="shared" si="9"/>
        <v>-0.10287117602872539</v>
      </c>
      <c r="V15" s="3" t="s">
        <v>38</v>
      </c>
      <c r="W15" s="32">
        <f>W9-W14</f>
        <v>98062.065973894758</v>
      </c>
      <c r="X15" s="32">
        <f>X9-X14</f>
        <v>79828.033303077566</v>
      </c>
      <c r="Y15" s="32">
        <f t="shared" ref="Y15:AB15" si="12">Y9-Y14</f>
        <v>-30846.391385210707</v>
      </c>
      <c r="Z15" s="32">
        <f t="shared" si="12"/>
        <v>774129.36711440887</v>
      </c>
      <c r="AA15" s="32" t="e">
        <f>AA9-AA14</f>
        <v>#VALUE!</v>
      </c>
      <c r="AB15" s="32">
        <f t="shared" si="12"/>
        <v>581131.99487583991</v>
      </c>
      <c r="AC15" s="63">
        <f>+AB15-Z15</f>
        <v>-192997.37223856896</v>
      </c>
      <c r="AD15" s="68">
        <f t="shared" si="11"/>
        <v>0.75069105961194493</v>
      </c>
      <c r="AE15" s="68" t="e">
        <f t="shared" si="10"/>
        <v>#VALUE!</v>
      </c>
      <c r="AF15" s="55"/>
      <c r="AG15" s="55">
        <f>+'COLOMBIA USD'!Y19+'EL SALVADOR USD'!X19+'VENEZUELA USD'!X16+'PANAMA USD'!W19</f>
        <v>74381.497054515989</v>
      </c>
      <c r="AH15" s="55">
        <f>+'COLOMBIA USD'!X19+'EL SALVADOR USD'!W19+'VENEZUELA USD'!Y16+'PANAMA USD'!V19</f>
        <v>39498.211606734039</v>
      </c>
      <c r="AI15" s="55">
        <f>+'COLOMBIA USD'!AB19+'EL SALVADOR USD'!AA19+'VENEZUELA USD'!AC16+'PANAMA USD'!Z19</f>
        <v>-158595.97098746963</v>
      </c>
      <c r="AK15" s="55">
        <f>+'COLOMBIA USD'!AA19+'EL SALVADOR USD'!Z19+'VENEZUELA USD'!AB16+'PANAMA USD'!Y19</f>
        <v>618782.71984707087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76</v>
      </c>
      <c r="C17" s="32">
        <f>+'COLOMBIA USD'!C17+'EL SALVADOR USD'!C17+'VENEZUELA USD'!C17+'PANAMA USD'!C17</f>
        <v>3881.9139645923356</v>
      </c>
      <c r="D17" s="34">
        <f>+C17/$C$20</f>
        <v>1.5665226765595831E-2</v>
      </c>
      <c r="E17" s="32">
        <f>+'COLOMBIA USD'!E17+'EL SALVADOR USD'!E17+'VENEZUELA USD'!E17+'PANAMA USD'!E17</f>
        <v>3748.1911218008909</v>
      </c>
      <c r="F17" s="34">
        <f t="shared" si="1"/>
        <v>1.7924260304071123E-2</v>
      </c>
      <c r="G17" s="34">
        <f t="shared" si="2"/>
        <v>0.96555234247560462</v>
      </c>
      <c r="H17" s="32">
        <f>+'COLOMBIA USD'!H17+'EL SALVADOR USD'!H17+'VENEZUELA USD'!H17+'PANAMA USD'!H17</f>
        <v>3352.4806125601972</v>
      </c>
      <c r="I17" s="34">
        <f t="shared" si="3"/>
        <v>1.3848359811053543E-2</v>
      </c>
      <c r="J17" s="34">
        <f t="shared" si="4"/>
        <v>0.11803513725274029</v>
      </c>
      <c r="K17" s="32">
        <f>+'COLOMBIA USD'!K17+'EL SALVADOR USD'!K17+'VENEZUELA USD'!K17+'PANAMA USD'!K17</f>
        <v>42434.532113005116</v>
      </c>
      <c r="L17" s="34">
        <f t="shared" si="5"/>
        <v>1.6057653306102655E-2</v>
      </c>
      <c r="M17" s="32">
        <f>+'COLOMBIA USD'!M17+'EL SALVADOR USD'!M17+'VENEZUELA USD'!M17+'PANAMA USD'!M17</f>
        <v>41211.105328774844</v>
      </c>
      <c r="N17" s="34">
        <f t="shared" si="6"/>
        <v>1.6869978119365275E-2</v>
      </c>
      <c r="O17" s="34">
        <f t="shared" si="7"/>
        <v>0.97116907567232669</v>
      </c>
      <c r="P17" s="32">
        <f>+'COLOMBIA USD'!P17+'EL SALVADOR USD'!P17+'VENEZUELA USD'!P17+'PANAMA USD'!P17</f>
        <v>41180.882866452128</v>
      </c>
      <c r="Q17" s="34">
        <f t="shared" si="8"/>
        <v>1.5750805306863132E-2</v>
      </c>
      <c r="R17" s="34">
        <f t="shared" si="9"/>
        <v>7.3389544417311065E-4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2">
        <f>+'COLOMBIA USD'!C18+'EL SALVADOR USD'!C18+'VENEZUELA USD'!C18+'PANAMA USD'!C18</f>
        <v>42604.198564186321</v>
      </c>
      <c r="D18" s="41">
        <f t="shared" ref="D18:D46" si="13">+C18/$C$20</f>
        <v>0.17192664179628189</v>
      </c>
      <c r="E18" s="32">
        <f>+'COLOMBIA USD'!E18+'EL SALVADOR USD'!E18+'VENEZUELA USD'!E18+'PANAMA USD'!E18</f>
        <v>41567.013003468644</v>
      </c>
      <c r="F18" s="34">
        <f t="shared" si="1"/>
        <v>0.19877800702406653</v>
      </c>
      <c r="G18" s="41">
        <f t="shared" si="2"/>
        <v>0.97565532046905934</v>
      </c>
      <c r="H18" s="32">
        <f>+'COLOMBIA USD'!H18+'EL SALVADOR USD'!H18+'VENEZUELA USD'!H18+'PANAMA USD'!H18</f>
        <v>35664.06459214152</v>
      </c>
      <c r="I18" s="34">
        <f t="shared" si="3"/>
        <v>0.14732040416468239</v>
      </c>
      <c r="J18" s="41">
        <f t="shared" si="4"/>
        <v>0.16551530171431506</v>
      </c>
      <c r="K18" s="32">
        <f>+'COLOMBIA USD'!K18+'EL SALVADOR USD'!K18+'VENEZUELA USD'!K18+'PANAMA USD'!K18</f>
        <v>437397.84287707123</v>
      </c>
      <c r="L18" s="34">
        <f t="shared" si="5"/>
        <v>0.1655157384333365</v>
      </c>
      <c r="M18" s="32">
        <f>+'COLOMBIA USD'!M18+'EL SALVADOR USD'!M18+'VENEZUELA USD'!M18+'PANAMA USD'!M18</f>
        <v>450230.8956260648</v>
      </c>
      <c r="N18" s="34">
        <f t="shared" si="6"/>
        <v>0.18430433489418244</v>
      </c>
      <c r="O18" s="34">
        <f t="shared" si="7"/>
        <v>1.0293395428394927</v>
      </c>
      <c r="P18" s="32">
        <f>+'COLOMBIA USD'!P18+'EL SALVADOR USD'!P18+'VENEZUELA USD'!P18+'PANAMA USD'!P18</f>
        <v>382419.95292249799</v>
      </c>
      <c r="Q18" s="34">
        <f t="shared" si="8"/>
        <v>0.14626743781758483</v>
      </c>
      <c r="R18" s="41">
        <f t="shared" si="9"/>
        <v>0.17732061882584224</v>
      </c>
      <c r="V18" s="3" t="s">
        <v>40</v>
      </c>
      <c r="W18" s="32">
        <f>W8+W15</f>
        <v>108720.38777308498</v>
      </c>
      <c r="X18" s="32">
        <f>'COLOMBIA USD'!Y21+'EL SALVADOR USD'!X21+'VENEZUELA USD'!X19+'PANAMA USD'!W21</f>
        <v>135958.04912974453</v>
      </c>
      <c r="Y18" s="32">
        <f t="shared" ref="Y18" si="14">Y8+Y15</f>
        <v>-8795.0243285380275</v>
      </c>
      <c r="Z18" s="32">
        <f>Z8+Z15</f>
        <v>806798.02033364831</v>
      </c>
      <c r="AA18" s="32" t="e">
        <f>AA8+AA15</f>
        <v>#VALUE!</v>
      </c>
      <c r="AB18" s="32">
        <f>AB8+AB15</f>
        <v>611545.11524424516</v>
      </c>
      <c r="AC18" s="63">
        <f>+AB18-Z18</f>
        <v>-195252.90508940315</v>
      </c>
      <c r="AD18" s="68">
        <f t="shared" si="11"/>
        <v>0.75799035177521001</v>
      </c>
      <c r="AE18" s="68" t="e">
        <f t="shared" si="10"/>
        <v>#VALUE!</v>
      </c>
      <c r="AF18" s="55"/>
      <c r="AG18" s="55">
        <f>+'COLOMBIA USD'!Y21+'EL SALVADOR USD'!X21+'VENEZUELA USD'!X19+'PANAMA USD'!W21</f>
        <v>135958.04912974453</v>
      </c>
      <c r="AH18" s="55">
        <f>+'COLOMBIA USD'!X21+'EL SALVADOR USD'!W21+'VENEZUELA USD'!Y19+'PANAMA USD'!V21</f>
        <v>47618.830677215694</v>
      </c>
      <c r="AI18" s="55">
        <f>+'COLOMBIA USD'!AB21+'EL SALVADOR USD'!AA21+'VENEZUELA USD'!AC19+'PANAMA USD'!Z21</f>
        <v>-160851.11753644768</v>
      </c>
      <c r="AK18" s="55">
        <f>+'COLOMBIA USD'!AA21+'EL SALVADOR USD'!Z21+'VENEZUELA USD'!AB19+'PANAMA USD'!Y21</f>
        <v>631754.48233285267</v>
      </c>
    </row>
    <row r="19" spans="2:37" x14ac:dyDescent="0.2">
      <c r="B19" s="3" t="s">
        <v>80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14218.26124747844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0</v>
      </c>
      <c r="X19" s="32">
        <f>'COLOMBIA USD'!Y23+'EL SALVADOR USD'!X23+'VENEZUELA USD'!X20+'PANAMA USD'!W23</f>
        <v>30.311229014211175</v>
      </c>
      <c r="Y19" s="32">
        <f>'COLOMBIA USD'!X23+'EL SALVADOR USD'!W23+'VENEZUELA USD'!Y20+'PANAMA USD'!V23</f>
        <v>2166.38783235549</v>
      </c>
      <c r="Z19" s="32">
        <f>'COLOMBIA USD'!Z23+'EL SALVADOR USD'!Y23+'VENEZUELA USD'!Z20+'PANAMA USD'!X23</f>
        <v>26138.61386138614</v>
      </c>
      <c r="AA19" s="32">
        <f>'COLOMBIA USD'!AD23+'EL SALVADOR USD'!AC23+'VENEZUELA USD'!AA20+'PANAMA USD'!AB23</f>
        <v>49814.504766785489</v>
      </c>
      <c r="AB19" s="32">
        <f>'COLOMBIA USD'!AA23+'EL SALVADOR USD'!Z23+'VENEZUELA USD'!AB20+'PANAMA USD'!Y23</f>
        <v>106555.88705060876</v>
      </c>
      <c r="AC19" s="63">
        <f t="shared" ref="AC19:AC22" si="15">+AB19-Z19</f>
        <v>80417.273189222615</v>
      </c>
      <c r="AD19" s="68">
        <f t="shared" si="11"/>
        <v>4.0765699212543502</v>
      </c>
      <c r="AE19" s="68">
        <f t="shared" si="10"/>
        <v>1.1390534252918312</v>
      </c>
      <c r="AF19" s="55"/>
      <c r="AG19" s="55">
        <f>+'COLOMBIA USD'!Y23+'EL SALVADOR USD'!X23+'VENEZUELA USD'!X20+'PANAMA USD'!W23</f>
        <v>30.311229014211175</v>
      </c>
      <c r="AH19" s="55">
        <f>+'COLOMBIA USD'!X23+'EL SALVADOR USD'!W23+'VENEZUELA USD'!Y20+'PANAMA USD'!V23</f>
        <v>2166.38783235549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106555.88705060876</v>
      </c>
    </row>
    <row r="20" spans="2:37" x14ac:dyDescent="0.2">
      <c r="B20" s="20" t="s">
        <v>39</v>
      </c>
      <c r="C20" s="69">
        <f>SUM(C10:C19)</f>
        <v>247804.51778188391</v>
      </c>
      <c r="D20" s="45">
        <f t="shared" si="13"/>
        <v>1</v>
      </c>
      <c r="E20" s="69">
        <f>SUM(E10:E19)</f>
        <v>209112.73649320786</v>
      </c>
      <c r="F20" s="45">
        <f t="shared" si="1"/>
        <v>1</v>
      </c>
      <c r="G20" s="45">
        <f t="shared" si="2"/>
        <v>0.84386167921792155</v>
      </c>
      <c r="H20" s="69">
        <f>SUM(H10:H19)</f>
        <v>242085.03088461782</v>
      </c>
      <c r="I20" s="45">
        <f>+H22/$H$22</f>
        <v>1</v>
      </c>
      <c r="J20" s="45">
        <f t="shared" si="4"/>
        <v>-0.13620129369801953</v>
      </c>
      <c r="K20" s="69">
        <f>SUM(K10:K19)</f>
        <v>2642635.9633059222</v>
      </c>
      <c r="L20" s="45">
        <f t="shared" si="5"/>
        <v>1</v>
      </c>
      <c r="M20" s="69">
        <f>SUM(M10:M19)</f>
        <v>2442866.5548456199</v>
      </c>
      <c r="N20" s="45">
        <f t="shared" si="6"/>
        <v>1</v>
      </c>
      <c r="O20" s="45">
        <f>IF(K20=0,"",(M20-K20)/ABS(K20)+1)</f>
        <v>0.92440524868571305</v>
      </c>
      <c r="P20" s="69">
        <f>SUM(P10:P19)</f>
        <v>2614525.5473704757</v>
      </c>
      <c r="Q20" s="45">
        <f t="shared" si="8"/>
        <v>1</v>
      </c>
      <c r="R20" s="45">
        <f>IF(P20=0,"",(M20-P20)/ABS(P20))</f>
        <v>-6.5655886475272554E-2</v>
      </c>
      <c r="V20" s="3" t="s">
        <v>44</v>
      </c>
      <c r="W20" s="32">
        <f>'COLOMBIA USD'!W25+'EL SALVADOR USD'!V25+'VENEZUELA USD'!W21+'PANAMA USD'!U25</f>
        <v>80021.070556579347</v>
      </c>
      <c r="X20" s="32">
        <f>'COLOMBIA USD'!Y25+'EL SALVADOR USD'!X25+'VENEZUELA USD'!X21+'PANAMA USD'!W25</f>
        <v>81231.515714329886</v>
      </c>
      <c r="Y20" s="32">
        <f>'COLOMBIA USD'!X25+'EL SALVADOR USD'!W25+'VENEZUELA USD'!Y21+'PANAMA USD'!V25</f>
        <v>83533.603100546912</v>
      </c>
      <c r="Z20" s="32">
        <f>'COLOMBIA USD'!Z25+'EL SALVADOR USD'!Y25+'VENEZUELA USD'!Z21+'PANAMA USD'!X25</f>
        <v>537832.21145709779</v>
      </c>
      <c r="AA20" s="32">
        <f>'COLOMBIA USD'!AD25+'EL SALVADOR USD'!AC25+'VENEZUELA USD'!AA21+'PANAMA USD'!AB25</f>
        <v>548614.09986566612</v>
      </c>
      <c r="AB20" s="32">
        <f>'COLOMBIA USD'!AA25+'EL SALVADOR USD'!Z25+'VENEZUELA USD'!AB21+'PANAMA USD'!Y25</f>
        <v>502148.94830167049</v>
      </c>
      <c r="AC20" s="63">
        <f t="shared" si="15"/>
        <v>-35683.263155427296</v>
      </c>
      <c r="AD20" s="68">
        <f t="shared" si="11"/>
        <v>0.93365354027652225</v>
      </c>
      <c r="AE20" s="68">
        <f t="shared" si="10"/>
        <v>-8.4695511062098314E-2</v>
      </c>
      <c r="AF20" s="55"/>
      <c r="AG20" s="55">
        <f>+'COLOMBIA USD'!Y25+'EL SALVADOR USD'!X25+'VENEZUELA USD'!X21+'PANAMA USD'!W25</f>
        <v>81231.515714329886</v>
      </c>
      <c r="AH20" s="55">
        <f>+'COLOMBIA USD'!X25+'EL SALVADOR USD'!W25+'VENEZUELA USD'!Y21+'PANAMA USD'!V25</f>
        <v>83533.603100546912</v>
      </c>
      <c r="AI20" s="55">
        <f>+'COLOMBIA USD'!AB25+'EL SALVADOR USD'!AA25+'VENEZUELA USD'!AC21+'PANAMA USD'!Z25</f>
        <v>-33809.77456761583</v>
      </c>
      <c r="AK20" s="55">
        <f>+'COLOMBIA USD'!AA25+'EL SALVADOR USD'!Z25+'VENEZUELA USD'!AB21+'PANAMA USD'!Y25</f>
        <v>502148.94830167049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5243.1016297506048</v>
      </c>
      <c r="X21" s="32">
        <f>'COLOMBIA USD'!Y27+'EL SALVADOR USD'!X27+'VENEZUELA USD'!X22+'PANAMA USD'!W27</f>
        <v>3127.1117676170093</v>
      </c>
      <c r="Y21" s="32">
        <f>'COLOMBIA USD'!X27+'EL SALVADOR USD'!W27+'VENEZUELA USD'!Y22+'PANAMA USD'!V27</f>
        <v>-34801.800445290166</v>
      </c>
      <c r="Z21" s="32">
        <f>'COLOMBIA USD'!Z27+'EL SALVADOR USD'!Y27+'VENEZUELA USD'!Z22+'PANAMA USD'!X27</f>
        <v>65660.916607124629</v>
      </c>
      <c r="AA21" s="32">
        <f>'COLOMBIA USD'!AD27+'EL SALVADOR USD'!AC27+'VENEZUELA USD'!AA22+'PANAMA USD'!AB27</f>
        <v>211825.64744125988</v>
      </c>
      <c r="AB21" s="32">
        <f>'COLOMBIA USD'!AA27+'EL SALVADOR USD'!Z27+'VENEZUELA USD'!AB22+'PANAMA USD'!Y27</f>
        <v>-115244.17423335649</v>
      </c>
      <c r="AC21" s="63">
        <f t="shared" si="15"/>
        <v>-180905.09084048111</v>
      </c>
      <c r="AD21" s="68">
        <f t="shared" si="11"/>
        <v>-1.7551411126790719</v>
      </c>
      <c r="AE21" s="68">
        <f t="shared" si="10"/>
        <v>-1.5440520334786851</v>
      </c>
      <c r="AF21" s="55"/>
      <c r="AG21" s="55">
        <f>+'COLOMBIA USD'!Y27+'EL SALVADOR USD'!X27+'VENEZUELA USD'!X22+'PANAMA USD'!W27</f>
        <v>3127.1117676170093</v>
      </c>
      <c r="AH21" s="55">
        <f>+'COLOMBIA USD'!X27+'EL SALVADOR USD'!W27+'VENEZUELA USD'!Y22+'PANAMA USD'!V27</f>
        <v>-34801.800445290166</v>
      </c>
      <c r="AI21" s="55">
        <f>+'COLOMBIA USD'!AB27+'EL SALVADOR USD'!AA27+'VENEZUELA USD'!AC22+'PANAMA USD'!Z27</f>
        <v>-180905.09084048111</v>
      </c>
      <c r="AK21" s="55">
        <f>+'COLOMBIA USD'!AA27+'EL SALVADOR USD'!Z27+'VENEZUELA USD'!AB22+'PANAMA USD'!Y27</f>
        <v>-115244.17423335649</v>
      </c>
    </row>
    <row r="22" spans="2:37" x14ac:dyDescent="0.2">
      <c r="B22" s="3" t="s">
        <v>41</v>
      </c>
      <c r="C22" s="32">
        <f>+'COLOMBIA USD'!C22+'EL SALVADOR USD'!C22+'VENEZUELA USD'!C22+'PANAMA USD'!C22</f>
        <v>22927.498644709834</v>
      </c>
      <c r="D22" s="34">
        <f t="shared" si="13"/>
        <v>9.2522520775389916E-2</v>
      </c>
      <c r="E22" s="32">
        <f>+'COLOMBIA USD'!E22+'EL SALVADOR USD'!E22+'VENEZUELA USD'!E22+'PANAMA USD'!E22</f>
        <v>18992.83635359841</v>
      </c>
      <c r="F22" s="34">
        <f>+E22/$E$20</f>
        <v>9.0825822817422269E-2</v>
      </c>
      <c r="G22" s="34">
        <f>IF(C22=0,"",(E22-C22)/ABS(C22)+1)</f>
        <v>0.82838676158773705</v>
      </c>
      <c r="H22" s="32">
        <f>+'COLOMBIA USD'!H22+'EL SALVADOR USD'!H22+'VENEZUELA USD'!H22+'PANAMA USD'!H22</f>
        <v>23087.016921774473</v>
      </c>
      <c r="I22" s="34">
        <f t="shared" ref="I22:I46" si="16">+H22/$H$20</f>
        <v>9.5367387390334638E-2</v>
      </c>
      <c r="J22" s="34">
        <f>IF(H22=0,"",(E22-H22)/ABS(H22))</f>
        <v>-0.17733692412702506</v>
      </c>
      <c r="K22" s="32">
        <f>+'COLOMBIA USD'!K22+'EL SALVADOR USD'!K22+'VENEZUELA USD'!K22+'PANAMA USD'!K22</f>
        <v>257038.60918875397</v>
      </c>
      <c r="L22" s="34">
        <f t="shared" si="5"/>
        <v>9.7265992273563154E-2</v>
      </c>
      <c r="M22" s="32">
        <f>+'COLOMBIA USD'!M22+'EL SALVADOR USD'!M22+'VENEZUELA USD'!M22+'PANAMA USD'!M22</f>
        <v>286364.52738588874</v>
      </c>
      <c r="N22" s="34">
        <f>+M22/$M$20</f>
        <v>0.11722479347791714</v>
      </c>
      <c r="O22" s="34">
        <f>IF(K22=0,"",(M22-K22)/ABS(K22)+1)</f>
        <v>1.1140914911175837</v>
      </c>
      <c r="P22" s="32">
        <f>+'COLOMBIA USD'!P22+'EL SALVADOR USD'!P22+'VENEZUELA USD'!P22+'PANAMA USD'!P22</f>
        <v>235785.59888579059</v>
      </c>
      <c r="Q22" s="34">
        <f t="shared" si="8"/>
        <v>9.0182939356981545E-2</v>
      </c>
      <c r="R22" s="34">
        <f>IF(P22=0,"",(M22-P22)/ABS(P22))</f>
        <v>0.21451237369504267</v>
      </c>
      <c r="V22" s="3" t="s">
        <v>49</v>
      </c>
      <c r="W22" s="32">
        <f>'COLOMBIA USD'!W28+'EL SALVADOR USD'!V28+'VENEZUELA USD'!W23+'PANAMA USD'!U28</f>
        <v>18429.678019348328</v>
      </c>
      <c r="X22" s="32">
        <f>'COLOMBIA USD'!Y28+'EL SALVADOR USD'!X28+'VENEZUELA USD'!X23+'PANAMA USD'!W28</f>
        <v>19189.35731924525</v>
      </c>
      <c r="Y22" s="32">
        <f>'COLOMBIA USD'!X28+'EL SALVADOR USD'!W28+'VENEZUELA USD'!Y23+'PANAMA USD'!V28</f>
        <v>17602.19410397797</v>
      </c>
      <c r="Z22" s="32">
        <f>'COLOMBIA USD'!Z28+'EL SALVADOR USD'!Y28+'VENEZUELA USD'!Z23+'PANAMA USD'!X28</f>
        <v>148937.42415478663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147060.17772915587</v>
      </c>
      <c r="AC22" s="63">
        <f t="shared" si="15"/>
        <v>-1877.2464256307576</v>
      </c>
      <c r="AD22" s="68">
        <f t="shared" si="11"/>
        <v>0.98739573726157781</v>
      </c>
      <c r="AE22" s="68" t="e">
        <f t="shared" si="10"/>
        <v>#VALUE!</v>
      </c>
      <c r="AF22" s="55"/>
      <c r="AG22" s="55">
        <f>+'COLOMBIA USD'!Y28+'EL SALVADOR USD'!X28+'VENEZUELA USD'!X23+'PANAMA USD'!W28</f>
        <v>19189.35731924525</v>
      </c>
      <c r="AH22" s="55">
        <f>+'COLOMBIA USD'!X28+'EL SALVADOR USD'!W28+'VENEZUELA USD'!Y23+'PANAMA USD'!V28</f>
        <v>17602.19410397797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147060.17772915587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5026.5375674066963</v>
      </c>
      <c r="X23" s="32">
        <f t="shared" ref="X23:AB23" si="17">X18-X19-X20-X21-X22</f>
        <v>32379.753099538164</v>
      </c>
      <c r="Y23" s="32">
        <f t="shared" si="17"/>
        <v>-77295.408920128219</v>
      </c>
      <c r="Z23" s="32">
        <f t="shared" si="17"/>
        <v>28228.854253253201</v>
      </c>
      <c r="AA23" s="32" t="e">
        <f t="shared" si="17"/>
        <v>#VALUE!</v>
      </c>
      <c r="AB23" s="32">
        <f t="shared" si="17"/>
        <v>-28975.723603833467</v>
      </c>
      <c r="AC23" s="63">
        <f t="shared" ref="AC23" si="18">Y23-W23</f>
        <v>-82321.946487534908</v>
      </c>
      <c r="AD23" s="68">
        <f t="shared" ref="AD23" si="19">IF(W23=0,"",(Y23-W23)/ABS(W23)+1)</f>
        <v>-15.377465677632774</v>
      </c>
      <c r="AE23" s="68">
        <f t="shared" ref="AE23" si="20">IF(X23=0,"",(Y23-X23)/ABS(X23))</f>
        <v>-3.3871525110928253</v>
      </c>
      <c r="AF23" s="55"/>
      <c r="AG23" s="55">
        <f>+'COLOMBIA USD'!Y30+'EL SALVADOR USD'!X30+'VENEZUELA USD'!X24+'PANAMA USD'!W30</f>
        <v>37826.28934809973</v>
      </c>
      <c r="AH23" s="55">
        <f>+'COLOMBIA USD'!X30+'EL SALVADOR USD'!W30+'VENEZUELA USD'!Y24+'PANAMA USD'!V30</f>
        <v>-15036.237458678312</v>
      </c>
      <c r="AI23" s="55">
        <f>+'COLOMBIA USD'!AB30+'EL SALVADOR USD'!AA30+'VENEZUELA USD'!AC24+'PANAMA USD'!Z30</f>
        <v>-24675.671067672913</v>
      </c>
      <c r="AK23" s="55">
        <f>+'COLOMBIA USD'!AA30+'EL SALVADOR USD'!Z30+'VENEZUELA USD'!AB24+'PANAMA USD'!Y30</f>
        <v>-7914.2046164917174</v>
      </c>
    </row>
    <row r="24" spans="2:37" x14ac:dyDescent="0.2">
      <c r="B24" s="3" t="s">
        <v>43</v>
      </c>
      <c r="C24" s="32">
        <f>+C20-C22</f>
        <v>224877.01913717407</v>
      </c>
      <c r="D24" s="34">
        <f t="shared" si="13"/>
        <v>0.90747747922460997</v>
      </c>
      <c r="E24" s="32">
        <f>+E20-E22</f>
        <v>190119.90013960947</v>
      </c>
      <c r="F24" s="34">
        <f>+E24/$E$20</f>
        <v>0.90917417718257776</v>
      </c>
      <c r="G24" s="34">
        <f>IF(C24=0,"",(E24-C24)/ABS(C24)+1)</f>
        <v>0.84543943560385382</v>
      </c>
      <c r="H24" s="32">
        <f>+H20-H22</f>
        <v>218998.01396284334</v>
      </c>
      <c r="I24" s="34">
        <f t="shared" si="16"/>
        <v>0.90463261260966532</v>
      </c>
      <c r="J24" s="34">
        <f>IF(H24=0,"",(E24-H24)/ABS(H24))</f>
        <v>-0.13186472927619117</v>
      </c>
      <c r="K24" s="32">
        <f>+K20-K22</f>
        <v>2385597.3541171681</v>
      </c>
      <c r="L24" s="34">
        <f t="shared" si="5"/>
        <v>0.90273400772643675</v>
      </c>
      <c r="M24" s="32">
        <f>+M20-M22</f>
        <v>2156502.0274597313</v>
      </c>
      <c r="N24" s="34">
        <f>+M24/$M$20</f>
        <v>0.88277520652208286</v>
      </c>
      <c r="O24" s="34">
        <f>IF(K24=0,"",(M24-K24)/ABS(K24)+1)</f>
        <v>0.90396731189274082</v>
      </c>
      <c r="P24" s="32">
        <f>+P20-P22</f>
        <v>2378739.9484846853</v>
      </c>
      <c r="Q24" s="34">
        <f t="shared" si="8"/>
        <v>0.90981706064301848</v>
      </c>
      <c r="R24" s="34">
        <f>IF(P24=0,"",(M24-P24)/ABS(P24))</f>
        <v>-9.3426740979620268E-2</v>
      </c>
      <c r="W24" s="55">
        <f>+'COLOMBIA USD'!W30+'EL SALVADOR USD'!V30+'VENEZUELA USD'!W24+'PANAMA USD'!U30</f>
        <v>9638.6664511811905</v>
      </c>
      <c r="X24" s="55">
        <f>+'COLOMBIA USD'!Y30+'EL SALVADOR USD'!X30+'VENEZUELA USD'!X24+'PANAMA USD'!W30</f>
        <v>37826.28934809973</v>
      </c>
      <c r="Y24" s="55">
        <f>+'COLOMBIA USD'!X30+'EL SALVADOR USD'!W30+'VENEZUELA USD'!Y24+'PANAMA USD'!V30</f>
        <v>-15036.237458678312</v>
      </c>
      <c r="Z24" s="55">
        <f>+'COLOMBIA USD'!Z30+'EL SALVADOR USD'!Y30+'VENEZUELA USD'!Z24+'PANAMA USD'!X30</f>
        <v>16761.466451181201</v>
      </c>
      <c r="AA24" s="55">
        <f>+'COLOMBIA USD'!AD30+'EL SALVADOR USD'!AC30+'VENEZUELA USD'!AA24+'PANAMA USD'!AB30</f>
        <v>37826.190196449454</v>
      </c>
      <c r="AB24" s="55">
        <f>+'COLOMBIA USD'!AA30+'EL SALVADOR USD'!Z30+'VENEZUELA USD'!AB24+'PANAMA USD'!Y30</f>
        <v>-7914.2046164917174</v>
      </c>
      <c r="AC24" s="55">
        <f>+'COLOMBIA USD'!AB30+'EL SALVADOR USD'!AA30+'VENEZUELA USD'!AC24+'PANAMA USD'!Z30</f>
        <v>-24675.671067672913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49803.089857439358</v>
      </c>
      <c r="D26" s="34">
        <f t="shared" si="13"/>
        <v>0.20097732802949034</v>
      </c>
      <c r="E26" s="32">
        <f>+'COLOMBIA USD'!E26+'EL SALVADOR USD'!E26+'VENEZUELA USD'!E26+'PANAMA USD'!E26</f>
        <v>57138.61610471837</v>
      </c>
      <c r="F26" s="34">
        <f>+E26/$E$20</f>
        <v>0.27324311786515343</v>
      </c>
      <c r="G26" s="34">
        <f>IF(C26=0,"",(E26-C26)/ABS(C26)+1)</f>
        <v>1.1472905851479669</v>
      </c>
      <c r="H26" s="32">
        <f>+'COLOMBIA USD'!H26+'EL SALVADOR USD'!H26+'VENEZUELA USD'!H26+'PANAMA USD'!H26</f>
        <v>59641.519638698803</v>
      </c>
      <c r="I26" s="34">
        <f t="shared" si="16"/>
        <v>0.24636599553784491</v>
      </c>
      <c r="J26" s="34">
        <f>IF(H26=0,"",(E26-H26)/ABS(H26))</f>
        <v>-4.1965790763594267E-2</v>
      </c>
      <c r="K26" s="32">
        <f>+'COLOMBIA USD'!K26+'EL SALVADOR USD'!K26+'VENEZUELA USD'!K26+'PANAMA USD'!K26</f>
        <v>564412.62466968352</v>
      </c>
      <c r="L26" s="34">
        <f t="shared" si="5"/>
        <v>0.21357940802546507</v>
      </c>
      <c r="M26" s="32">
        <f>+'COLOMBIA USD'!M26+'EL SALVADOR USD'!M26+'VENEZUELA USD'!M26+'PANAMA USD'!M26</f>
        <v>543791.61476062797</v>
      </c>
      <c r="N26" s="34">
        <f>+M26/$M$20</f>
        <v>0.22260389691855009</v>
      </c>
      <c r="O26" s="34">
        <f>IF(K26=0,"",(M26-K26)/ABS(K26)+1)</f>
        <v>0.96346465509852164</v>
      </c>
      <c r="P26" s="32">
        <f>+'COLOMBIA USD'!P26+'EL SALVADOR USD'!P26+'VENEZUELA USD'!P26+'PANAMA USD'!P26</f>
        <v>570551.91869886511</v>
      </c>
      <c r="Q26" s="34">
        <f t="shared" si="8"/>
        <v>0.21822388359245146</v>
      </c>
      <c r="R26" s="34">
        <f>IF(P26=0,"",(M26-P26)/ABS(P26))</f>
        <v>-4.6902486980086928E-2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90968.697020426305</v>
      </c>
      <c r="D27" s="34">
        <f t="shared" si="13"/>
        <v>0.36709862206990279</v>
      </c>
      <c r="E27" s="32">
        <f>+'COLOMBIA USD'!E27+'EL SALVADOR USD'!E27+'VENEZUELA USD'!E27+'PANAMA USD'!E27</f>
        <v>79751.322202628216</v>
      </c>
      <c r="F27" s="34">
        <f>+E27/$E$20</f>
        <v>0.38137955411060576</v>
      </c>
      <c r="G27" s="34">
        <f>IF(C27=0,"",(E27-C27)/ABS(C27)+1)</f>
        <v>0.87668972750836127</v>
      </c>
      <c r="H27" s="32">
        <f>+'COLOMBIA USD'!H27+'EL SALVADOR USD'!H27+'VENEZUELA USD'!H27+'PANAMA USD'!H27</f>
        <v>88119.923831490829</v>
      </c>
      <c r="I27" s="34">
        <f t="shared" si="16"/>
        <v>0.36400401755319767</v>
      </c>
      <c r="J27" s="34">
        <f>IF(H27=0,"",(E27-H27)/ABS(H27))</f>
        <v>-9.4968325720136193E-2</v>
      </c>
      <c r="K27" s="32">
        <f>+'COLOMBIA USD'!K27+'EL SALVADOR USD'!K27+'VENEZUELA USD'!K27+'PANAMA USD'!K27</f>
        <v>962372.95028606348</v>
      </c>
      <c r="L27" s="34">
        <f t="shared" si="5"/>
        <v>0.36417159368486779</v>
      </c>
      <c r="M27" s="32">
        <f>+'COLOMBIA USD'!M27+'EL SALVADOR USD'!M27+'VENEZUELA USD'!M27+'PANAMA USD'!M27</f>
        <v>871406.49247011729</v>
      </c>
      <c r="N27" s="34">
        <f>+M27/$M$20</f>
        <v>0.35671473365649597</v>
      </c>
      <c r="O27" s="34">
        <f>IF(K27=0,"",(M27-K27)/ABS(K27)+1)</f>
        <v>0.90547691745813663</v>
      </c>
      <c r="P27" s="32">
        <f>+'COLOMBIA USD'!P27+'EL SALVADOR USD'!P27+'VENEZUELA USD'!P27+'PANAMA USD'!P27</f>
        <v>877441.37918186234</v>
      </c>
      <c r="Q27" s="34">
        <f t="shared" si="8"/>
        <v>0.33560252645621969</v>
      </c>
      <c r="R27" s="34">
        <f>IF(P27=0,"",(M27-P27)/ABS(P27))</f>
        <v>-6.8778232425875142E-3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140771.78687786567</v>
      </c>
      <c r="D28" s="34">
        <f t="shared" si="13"/>
        <v>0.56807595009939316</v>
      </c>
      <c r="E28" s="32">
        <f>SUM(E26:E27)</f>
        <v>136889.9383073466</v>
      </c>
      <c r="F28" s="34">
        <f>+E28/$E$20</f>
        <v>0.6546226719757593</v>
      </c>
      <c r="G28" s="34">
        <f>IF(C28=0,"",(E28-C28)/ABS(C28)+1)</f>
        <v>0.97242452726776152</v>
      </c>
      <c r="H28" s="32">
        <f>SUM(H26:H27)</f>
        <v>147761.44347018964</v>
      </c>
      <c r="I28" s="34">
        <f t="shared" si="16"/>
        <v>0.61037001309104266</v>
      </c>
      <c r="J28" s="34">
        <f>IF(H28=0,"",(E28-H28)/ABS(H28))</f>
        <v>-7.3574708716461115E-2</v>
      </c>
      <c r="K28" s="32">
        <f>SUM(K26:K27)</f>
        <v>1526785.574955747</v>
      </c>
      <c r="L28" s="34">
        <f t="shared" si="5"/>
        <v>0.57775100171033289</v>
      </c>
      <c r="M28" s="32">
        <f>SUM(M26:M27)</f>
        <v>1415198.1072307453</v>
      </c>
      <c r="N28" s="34">
        <f>+M28/$M$20</f>
        <v>0.57931863057504607</v>
      </c>
      <c r="O28" s="34">
        <f>IF(K28=0,"",(M28-K28)/ABS(K28)+1)</f>
        <v>0.92691346476191583</v>
      </c>
      <c r="P28" s="32">
        <f>SUM(P26:P27)</f>
        <v>1447993.2978807273</v>
      </c>
      <c r="Q28" s="34">
        <f t="shared" si="8"/>
        <v>0.55382641004867106</v>
      </c>
      <c r="R28" s="34">
        <f>IF(P28=0,"",(M28-P28)/ABS(P28))</f>
        <v>-2.2648717157725026E-2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19451.268211814007</v>
      </c>
      <c r="D30" s="34">
        <f t="shared" si="13"/>
        <v>7.8494405129994033E-2</v>
      </c>
      <c r="E30" s="32">
        <f>+'COLOMBIA USD'!E30+'EL SALVADOR USD'!E30+'VENEZUELA USD'!E30+'PANAMA USD'!E30</f>
        <v>22124.580735104508</v>
      </c>
      <c r="F30" s="34">
        <f>+E30/$E$20</f>
        <v>0.10580216731955555</v>
      </c>
      <c r="G30" s="34">
        <f>IF(C30=0,"",(E30-C30)/ABS(C30)+1)</f>
        <v>1.1374364125865493</v>
      </c>
      <c r="H30" s="32">
        <f>+'COLOMBIA USD'!H30+'EL SALVADOR USD'!H30+'VENEZUELA USD'!H30+'PANAMA USD'!H30</f>
        <v>24944.642039551072</v>
      </c>
      <c r="I30" s="34">
        <f t="shared" si="16"/>
        <v>0.10304082804458962</v>
      </c>
      <c r="J30" s="34">
        <f>IF(H30=0,"",(E30-H30)/ABS(H30))</f>
        <v>-0.11305278704642086</v>
      </c>
      <c r="K30" s="32">
        <f>+'COLOMBIA USD'!K30+'EL SALVADOR USD'!K30+'VENEZUELA USD'!K30+'PANAMA USD'!K30</f>
        <v>219400.22365414147</v>
      </c>
      <c r="L30" s="34">
        <f t="shared" si="5"/>
        <v>8.3023249021281414E-2</v>
      </c>
      <c r="M30" s="32">
        <f>+'COLOMBIA USD'!M30+'EL SALVADOR USD'!M30+'VENEZUELA USD'!M30+'PANAMA USD'!M30</f>
        <v>238719.30022154358</v>
      </c>
      <c r="N30" s="34">
        <f>+M30/$M$20</f>
        <v>9.772097446257344E-2</v>
      </c>
      <c r="O30" s="34">
        <f>IF(K30=0,"",(M30-K30)/ABS(K30)+1)</f>
        <v>1.0880540422686913</v>
      </c>
      <c r="P30" s="32">
        <f>+'COLOMBIA USD'!P30+'EL SALVADOR USD'!P30+'VENEZUELA USD'!P30+'PANAMA USD'!P30</f>
        <v>257087.38197862275</v>
      </c>
      <c r="Q30" s="34">
        <f t="shared" si="8"/>
        <v>9.8330414953177625E-2</v>
      </c>
      <c r="R30" s="34">
        <f>IF(P30=0,"",(M30-P30)/ABS(P30))</f>
        <v>-7.1446842764949489E-2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838.06674338319897</v>
      </c>
      <c r="D31" s="34">
        <f t="shared" si="13"/>
        <v>3.3819671686569509E-3</v>
      </c>
      <c r="E31" s="32">
        <f>+'COLOMBIA USD'!E31+'EL SALVADOR USD'!E31+'VENEZUELA USD'!E31+'PANAMA USD'!E31</f>
        <v>1240.1380897583429</v>
      </c>
      <c r="F31" s="34">
        <f>+E31/$E$20</f>
        <v>5.9304761180753018E-3</v>
      </c>
      <c r="G31" s="34">
        <f>IF(C31=0,"",(E31-C31)/ABS(C31)+1)</f>
        <v>1.479760531663646</v>
      </c>
      <c r="H31" s="32">
        <f>+'COLOMBIA USD'!H31+'EL SALVADOR USD'!H31+'VENEZUELA USD'!H31+'PANAMA USD'!H31</f>
        <v>3435.7114228456912</v>
      </c>
      <c r="I31" s="34">
        <f t="shared" si="16"/>
        <v>1.419216797623152E-2</v>
      </c>
      <c r="J31" s="34">
        <f>IF(H31=0,"",(E31-H31)/ABS(H31))</f>
        <v>-0.63904474586774929</v>
      </c>
      <c r="K31" s="32">
        <f>+'COLOMBIA USD'!K31+'EL SALVADOR USD'!K31+'VENEZUELA USD'!K31+'PANAMA USD'!K31</f>
        <v>7993.6708860759491</v>
      </c>
      <c r="L31" s="34">
        <f t="shared" si="5"/>
        <v>3.0248853784900108E-3</v>
      </c>
      <c r="M31" s="32">
        <f>+'COLOMBIA USD'!M31+'EL SALVADOR USD'!M31+'VENEZUELA USD'!M31+'PANAMA USD'!M31</f>
        <v>13156.375143843497</v>
      </c>
      <c r="N31" s="34">
        <f>+M31/$M$20</f>
        <v>5.3856298935964315E-3</v>
      </c>
      <c r="O31" s="34">
        <f>IF(K31=0,"",(M31-K31)/ABS(K31)+1)</f>
        <v>1.645848988699345</v>
      </c>
      <c r="P31" s="32">
        <f>+'COLOMBIA USD'!P31+'EL SALVADOR USD'!P31+'VENEZUELA USD'!P31+'PANAMA USD'!P31</f>
        <v>13160.400801603208</v>
      </c>
      <c r="Q31" s="34">
        <f t="shared" si="8"/>
        <v>5.0335713165392875E-3</v>
      </c>
      <c r="R31" s="34">
        <f>IF(P31=0,"",(M31-P31)/ABS(P31))</f>
        <v>-3.0589172931722177E-4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20289.334955197206</v>
      </c>
      <c r="D32" s="34">
        <f t="shared" si="13"/>
        <v>8.1876372298650982E-2</v>
      </c>
      <c r="E32" s="32">
        <f>SUM(E30:E31)</f>
        <v>23364.718824862852</v>
      </c>
      <c r="F32" s="34">
        <f>+E32/$E$20</f>
        <v>0.11173264343763085</v>
      </c>
      <c r="G32" s="34">
        <f>IF(C32=0,"",(E32-C32)/ABS(C32)+1)</f>
        <v>1.1515763762812674</v>
      </c>
      <c r="H32" s="32">
        <f>SUM(H30:H31)</f>
        <v>28380.353462396764</v>
      </c>
      <c r="I32" s="34">
        <f t="shared" si="16"/>
        <v>0.11723299602082114</v>
      </c>
      <c r="J32" s="34">
        <f>IF(H32=0,"",(E32-H32)/ABS(H32))</f>
        <v>-0.17672911100911759</v>
      </c>
      <c r="K32" s="32">
        <f>SUM(K30:K31)</f>
        <v>227393.89454021741</v>
      </c>
      <c r="L32" s="34">
        <f t="shared" si="5"/>
        <v>8.6048134399771423E-2</v>
      </c>
      <c r="M32" s="32">
        <f>SUM(M30:M31)</f>
        <v>251875.67536538708</v>
      </c>
      <c r="N32" s="34">
        <f>+M32/$M$20</f>
        <v>0.10310660435616988</v>
      </c>
      <c r="O32" s="34">
        <f>IF(K32=0,"",(M32-K32)/ABS(K32)+1)</f>
        <v>1.1076624369122618</v>
      </c>
      <c r="P32" s="32">
        <f>SUM(P30:P31)</f>
        <v>270247.78278022597</v>
      </c>
      <c r="Q32" s="34">
        <f t="shared" si="8"/>
        <v>0.10336398626971692</v>
      </c>
      <c r="R32" s="34">
        <f>IF(P32=0,"",(M32-P32)/ABS(P32))</f>
        <v>-6.7982453827492323E-2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161061.12183306288</v>
      </c>
      <c r="D34" s="34">
        <f t="shared" si="13"/>
        <v>0.64995232239804412</v>
      </c>
      <c r="E34" s="32">
        <f>E28+E32</f>
        <v>160254.65713220945</v>
      </c>
      <c r="F34" s="34">
        <f>+E34/$E$20</f>
        <v>0.76635531541339019</v>
      </c>
      <c r="G34" s="34">
        <f>IF(C34=0,"",(E34-C34)/ABS(C34)+1)</f>
        <v>0.99499280340485075</v>
      </c>
      <c r="H34" s="32">
        <f>H28+H32</f>
        <v>176141.79693258641</v>
      </c>
      <c r="I34" s="34">
        <f t="shared" si="16"/>
        <v>0.72760300911186382</v>
      </c>
      <c r="J34" s="34">
        <f>IF(H34=0,"",(E34-H34)/ABS(H34))</f>
        <v>-9.0195172736073179E-2</v>
      </c>
      <c r="K34" s="32">
        <f>K28+K32</f>
        <v>1754179.4694959645</v>
      </c>
      <c r="L34" s="34">
        <f t="shared" si="5"/>
        <v>0.66379913611010433</v>
      </c>
      <c r="M34" s="32">
        <f>M28+M32</f>
        <v>1667073.7825961323</v>
      </c>
      <c r="N34" s="34">
        <f>+M34/$M$20</f>
        <v>0.68242523493121587</v>
      </c>
      <c r="O34" s="34">
        <f>IF(K34=0,"",(M34-K34)/ABS(K34)+1)</f>
        <v>0.95034391382720906</v>
      </c>
      <c r="P34" s="32">
        <f>P28+P32</f>
        <v>1718241.0806609532</v>
      </c>
      <c r="Q34" s="34">
        <f t="shared" si="8"/>
        <v>0.65719039631838794</v>
      </c>
      <c r="R34" s="34">
        <f>IF(P34=0,"",(M34-P34)/ABS(P34))</f>
        <v>-2.9778881811589844E-2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63815.897304111189</v>
      </c>
      <c r="D36" s="45">
        <f t="shared" si="13"/>
        <v>0.2575251568265659</v>
      </c>
      <c r="E36" s="69">
        <f>E24-E34</f>
        <v>29865.243007400015</v>
      </c>
      <c r="F36" s="45">
        <f>+E36/$E$20</f>
        <v>0.14281886176918765</v>
      </c>
      <c r="G36" s="45">
        <f>IF(C36=0,"",(E36-C36)/ABS(C36)+1)</f>
        <v>0.46799064604668683</v>
      </c>
      <c r="H36" s="69">
        <f>H24-H34</f>
        <v>42856.217030256928</v>
      </c>
      <c r="I36" s="45">
        <f t="shared" si="16"/>
        <v>0.17702960349780153</v>
      </c>
      <c r="J36" s="45">
        <f>IF(H36=0,"",(E36-H36)/ABS(H36))</f>
        <v>-0.30312927558877051</v>
      </c>
      <c r="K36" s="69">
        <f>K24-K34</f>
        <v>631417.88462120364</v>
      </c>
      <c r="L36" s="45">
        <f t="shared" si="5"/>
        <v>0.23893487161633248</v>
      </c>
      <c r="M36" s="69">
        <f>+M24-M34</f>
        <v>489428.24486359907</v>
      </c>
      <c r="N36" s="45">
        <f>+M36/$M$20</f>
        <v>0.20034997159086698</v>
      </c>
      <c r="O36" s="45">
        <f>IF(K36=0,"",(M36-K36)/ABS(K36)+1)</f>
        <v>0.77512572384168987</v>
      </c>
      <c r="P36" s="69">
        <f>P24-P34</f>
        <v>660498.86782373209</v>
      </c>
      <c r="Q36" s="45">
        <f t="shared" si="8"/>
        <v>0.25262666432463055</v>
      </c>
      <c r="R36" s="45">
        <f>IF(P36=0,"",(M36-P36)/ABS(P36))</f>
        <v>-0.25900214412750028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1332.6503001337587</v>
      </c>
      <c r="D38" s="34">
        <f t="shared" si="13"/>
        <v>5.3778289115243242E-3</v>
      </c>
      <c r="E38" s="32">
        <f>+'COLOMBIA USD'!E38+'EL SALVADOR USD'!E38+'VENEZUELA USD'!E38+'PANAMA USD'!E38</f>
        <v>2038.0577994322698</v>
      </c>
      <c r="F38" s="34">
        <f>+E38/$E$20</f>
        <v>9.7462155276154955E-3</v>
      </c>
      <c r="G38" s="34">
        <f>IF(C38=0,"",(E38-C38)/ABS(C38)+1)</f>
        <v>1.5293267852997212</v>
      </c>
      <c r="H38" s="32">
        <f>+'COLOMBIA USD'!H38+'EL SALVADOR USD'!H38+'VENEZUELA USD'!H38+'PANAMA USD'!H38</f>
        <v>736.20846664351177</v>
      </c>
      <c r="I38" s="34">
        <f t="shared" si="16"/>
        <v>3.0411151980495742E-3</v>
      </c>
      <c r="J38" s="34">
        <f>IF(H38=0,"",(E38-H38)/ABS(H38))</f>
        <v>1.7683161655612174</v>
      </c>
      <c r="K38" s="32">
        <f>+'COLOMBIA USD'!K38+'EL SALVADOR USD'!K38+'VENEZUELA USD'!K38+'PANAMA USD'!K38</f>
        <v>11875.862162230838</v>
      </c>
      <c r="L38" s="34">
        <f t="shared" si="5"/>
        <v>4.4939455631165344E-3</v>
      </c>
      <c r="M38" s="32">
        <f>+'COLOMBIA USD'!M38+'EL SALVADOR USD'!M38+'VENEZUELA USD'!M38+'PANAMA USD'!M38</f>
        <v>13346.095335922273</v>
      </c>
      <c r="N38" s="34">
        <f>+M38/$M$20</f>
        <v>5.4632928308954217E-3</v>
      </c>
      <c r="O38" s="34">
        <f>IF(K38=0,"",(M38-K38)/ABS(K38)+1)</f>
        <v>1.1238001210865567</v>
      </c>
      <c r="P38" s="32">
        <f>+'COLOMBIA USD'!P38+'EL SALVADOR USD'!P38+'VENEZUELA USD'!P38+'PANAMA USD'!P38</f>
        <v>14237.455965134883</v>
      </c>
      <c r="Q38" s="34">
        <f t="shared" si="8"/>
        <v>5.445521838351901E-3</v>
      </c>
      <c r="R38" s="34">
        <f>IF(P38=0,"",(M38-P38)/ABS(P38))</f>
        <v>-6.2606734756223359E-2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17423.741911448094</v>
      </c>
      <c r="D39" s="34">
        <f t="shared" si="13"/>
        <v>7.0312446550245586E-2</v>
      </c>
      <c r="E39" s="32">
        <f>+'COLOMBIA USD'!E39+'EL SALVADOR USD'!E39+'VENEZUELA USD'!E39+'PANAMA USD'!E39</f>
        <v>7471.6461113812156</v>
      </c>
      <c r="F39" s="34">
        <f>+E39/$E$20</f>
        <v>3.5730229715701223E-2</v>
      </c>
      <c r="G39" s="34">
        <f>IF(C39=0,"",(E39-C39)/ABS(C39)+1)</f>
        <v>0.4288198338424678</v>
      </c>
      <c r="H39" s="32">
        <f>+'COLOMBIA USD'!H39+'EL SALVADOR USD'!H39+'VENEZUELA USD'!H39+'PANAMA USD'!H39</f>
        <v>6779.8344781262667</v>
      </c>
      <c r="I39" s="34">
        <f t="shared" si="16"/>
        <v>2.8006004556959414E-2</v>
      </c>
      <c r="J39" s="34">
        <f>IF(H39=0,"",(E39-H39)/ABS(H39))</f>
        <v>0.1020396051683763</v>
      </c>
      <c r="K39" s="32">
        <f>+'COLOMBIA USD'!K39+'EL SALVADOR USD'!K39+'VENEZUELA USD'!K39+'PANAMA USD'!K39</f>
        <v>158392.99068468768</v>
      </c>
      <c r="L39" s="34">
        <f t="shared" si="5"/>
        <v>5.9937499104696576E-2</v>
      </c>
      <c r="M39" s="32">
        <f>+'COLOMBIA USD'!M39+'EL SALVADOR USD'!M39+'VENEZUELA USD'!M39+'PANAMA USD'!M39</f>
        <v>79526.592792124691</v>
      </c>
      <c r="N39" s="34">
        <f>+M39/$M$20</f>
        <v>3.2554620159000243E-2</v>
      </c>
      <c r="O39" s="34">
        <f>IF(K39=0,"",(M39-K39)/ABS(K39)+1)</f>
        <v>0.50208404076691737</v>
      </c>
      <c r="P39" s="32">
        <f>+'COLOMBIA USD'!P39+'EL SALVADOR USD'!P39+'VENEZUELA USD'!P39+'PANAMA USD'!P39</f>
        <v>85172.391020319526</v>
      </c>
      <c r="Q39" s="34">
        <f t="shared" si="8"/>
        <v>3.2576614562431994E-2</v>
      </c>
      <c r="R39" s="34">
        <f>IF(P39=0,"",(M39-P39)/ABS(P39))</f>
        <v>-6.6286717568465589E-2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47724.80569279685</v>
      </c>
      <c r="D41" s="34">
        <f t="shared" si="13"/>
        <v>0.19259053918784461</v>
      </c>
      <c r="E41" s="32">
        <f>E36+E38-E39</f>
        <v>24431.65469545107</v>
      </c>
      <c r="F41" s="34">
        <f>+E41/$E$20</f>
        <v>0.11683484758110192</v>
      </c>
      <c r="G41" s="34">
        <f>IF(C41=0,"",(E41-C41)/ABS(C41)+1)</f>
        <v>0.51192779815002076</v>
      </c>
      <c r="H41" s="32">
        <f>H36+H38-H39</f>
        <v>36812.591018774176</v>
      </c>
      <c r="I41" s="34">
        <f t="shared" si="16"/>
        <v>0.15206471413889169</v>
      </c>
      <c r="J41" s="34">
        <f>IF(H41=0,"",(E41-H41)/ABS(H41))</f>
        <v>-0.33632341491553558</v>
      </c>
      <c r="K41" s="32">
        <f>K36+K38-K39</f>
        <v>484900.75609874685</v>
      </c>
      <c r="L41" s="34">
        <f t="shared" si="5"/>
        <v>0.18349131807475247</v>
      </c>
      <c r="M41" s="32">
        <f>+'COLOMBIA USD'!M41+'EL SALVADOR USD'!M41+'VENEZUELA USD'!M41+'PANAMA USD'!M41</f>
        <v>-59176.269723151738</v>
      </c>
      <c r="N41" s="34">
        <f>+M41/$M$20</f>
        <v>-2.4224110648111703E-2</v>
      </c>
      <c r="O41" s="34">
        <f>IF(K41=0,"",(M41-K41)/ABS(K41)+1)</f>
        <v>-0.12203789946473265</v>
      </c>
      <c r="P41" s="32">
        <f>+'COLOMBIA USD'!P41+'EL SALVADOR USD'!P41+'VENEZUELA USD'!P41+'PANAMA USD'!P41</f>
        <v>-305232.87667662348</v>
      </c>
      <c r="Q41" s="34">
        <f t="shared" si="8"/>
        <v>-0.11674503505372413</v>
      </c>
      <c r="R41" s="34">
        <f>IF(P41=0,"",(M41-P41)/ABS(P41))</f>
        <v>0.80612747103961024</v>
      </c>
    </row>
    <row r="42" spans="2:29" x14ac:dyDescent="0.2">
      <c r="B42" s="3" t="s">
        <v>44</v>
      </c>
      <c r="C42" s="32">
        <f>+'COLOMBIA USD'!C42+'EL SALVADOR USD'!C42+'VENEZUELA USD'!C42+'PANAMA USD'!C42</f>
        <v>21666.548031287533</v>
      </c>
      <c r="D42" s="34">
        <f t="shared" si="13"/>
        <v>8.7434031571443346E-2</v>
      </c>
      <c r="E42" s="32">
        <f>+'COLOMBIA USD'!E42+'EL SALVADOR USD'!E42+'VENEZUELA USD'!E42+'PANAMA USD'!E42</f>
        <v>-2595.7516421206492</v>
      </c>
      <c r="F42" s="34">
        <f>+E42/$E$20</f>
        <v>-1.2413168540812248E-2</v>
      </c>
      <c r="G42" s="34">
        <f>IF(C42=0,"",(E42-C42)/ABS(C42)+1)</f>
        <v>-0.11980457793148491</v>
      </c>
      <c r="H42" s="32">
        <f>+'COLOMBIA USD'!H42+'EL SALVADOR USD'!H42+'VENEZUELA USD'!H42+'PANAMA USD'!H42</f>
        <v>-2996.5281553356599</v>
      </c>
      <c r="I42" s="34">
        <f t="shared" si="16"/>
        <v>-1.2377998525500986E-2</v>
      </c>
      <c r="J42" s="34">
        <f>IF(H42=0,"",(E42-H42)/ABS(H42))</f>
        <v>0.13374695395448979</v>
      </c>
      <c r="K42" s="32">
        <f>+'COLOMBIA USD'!K42+'EL SALVADOR USD'!K42+'VENEZUELA USD'!K42+'PANAMA USD'!K42</f>
        <v>178061.82305167749</v>
      </c>
      <c r="L42" s="34">
        <f t="shared" si="5"/>
        <v>6.7380382891983046E-2</v>
      </c>
      <c r="M42" s="32">
        <f>+'COLOMBIA USD'!M42+'EL SALVADOR USD'!M42+'VENEZUELA USD'!M42+'PANAMA USD'!M42</f>
        <v>29216.856814998675</v>
      </c>
      <c r="N42" s="34">
        <f>+M42/$M$20</f>
        <v>1.1960070744365761E-2</v>
      </c>
      <c r="O42" s="34">
        <f>IF(K42=0,"",(M42-K42)/ABS(K42)+1)</f>
        <v>0.1640826557555759</v>
      </c>
      <c r="P42" s="32">
        <f>+'COLOMBIA USD'!P42+'EL SALVADOR USD'!P42+'VENEZUELA USD'!P42+'PANAMA USD'!P42</f>
        <v>76013.838968490221</v>
      </c>
      <c r="Q42" s="34">
        <f t="shared" si="8"/>
        <v>2.9073664644409435E-2</v>
      </c>
      <c r="R42" s="34">
        <f>IF(P42=0,"",(M42-P42)/ABS(P42))</f>
        <v>-0.61563766267468945</v>
      </c>
    </row>
    <row r="43" spans="2:29" x14ac:dyDescent="0.2">
      <c r="B43" s="20" t="s">
        <v>59</v>
      </c>
      <c r="C43" s="69">
        <f>+C41-C42</f>
        <v>26058.257661509317</v>
      </c>
      <c r="D43" s="45">
        <f t="shared" si="13"/>
        <v>0.10515650761640126</v>
      </c>
      <c r="E43" s="69">
        <f>E41-E42</f>
        <v>27027.40633757172</v>
      </c>
      <c r="F43" s="45">
        <f>+E43/$E$20</f>
        <v>0.12924801612191417</v>
      </c>
      <c r="G43" s="45">
        <f>IF(C43=0,"",(E43-C43)/ABS(C43)+1)</f>
        <v>1.0371916145987738</v>
      </c>
      <c r="H43" s="69">
        <f>+H41-H42</f>
        <v>39809.119174109837</v>
      </c>
      <c r="I43" s="45">
        <f t="shared" si="16"/>
        <v>0.16444271266439267</v>
      </c>
      <c r="J43" s="45">
        <f>IF(H43=0,"",(E43-H43)/ABS(H43))</f>
        <v>-0.32107499743050838</v>
      </c>
      <c r="K43" s="69">
        <f>+K41-K42</f>
        <v>306838.93304706935</v>
      </c>
      <c r="L43" s="45">
        <f t="shared" si="5"/>
        <v>0.11611093518276942</v>
      </c>
      <c r="M43" s="69">
        <f>+M41-M42</f>
        <v>-88393.12653815042</v>
      </c>
      <c r="N43" s="45">
        <f>+M43/$M$20</f>
        <v>-3.618418139247747E-2</v>
      </c>
      <c r="O43" s="45">
        <f>IF(K43=0,"",(M43-K43)/ABS(K43)+1)</f>
        <v>-0.28807663245456161</v>
      </c>
      <c r="P43" s="69">
        <f>P41-P42</f>
        <v>-381246.71564511373</v>
      </c>
      <c r="Q43" s="45">
        <f t="shared" si="8"/>
        <v>-0.14581869969813357</v>
      </c>
      <c r="R43" s="45">
        <f>IF(P43=0,"",(M43-P43)/ABS(P43))</f>
        <v>0.7681471789505675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84</v>
      </c>
      <c r="C45" s="32">
        <f>+'COLOMBIA USD'!C45+'EL SALVADOR USD'!C45+'VENEZUELA USD'!C45+'PANAMA USD'!C45</f>
        <v>45872.231349952177</v>
      </c>
      <c r="D45" s="34">
        <f t="shared" si="13"/>
        <v>0.18511458854970775</v>
      </c>
      <c r="E45" s="32">
        <f>+'COLOMBIA USD'!E45+'EL SALVADOR USD'!E45+'VENEZUELA USD'!E45+'PANAMA USD'!E45</f>
        <v>7109.3908091605108</v>
      </c>
      <c r="F45" s="34">
        <f>+E45/$E$20</f>
        <v>3.3997885200031462E-2</v>
      </c>
      <c r="G45" s="34">
        <f>IF(C45=0,"",(E45-C45)/ABS(C45)+1)</f>
        <v>0.15498245016520051</v>
      </c>
      <c r="H45" s="32">
        <f>+'COLOMBIA USD'!H45+'EL SALVADOR USD'!H45+'VENEZUELA USD'!H45+'PANAMA USD'!H45</f>
        <v>6717.1824544601168</v>
      </c>
      <c r="I45" s="34">
        <f t="shared" si="16"/>
        <v>2.7747202831643274E-2</v>
      </c>
      <c r="J45" s="34">
        <f>IF(H45=0,"",(E45-H45)/ABS(H45))</f>
        <v>5.8388819621830138E-2</v>
      </c>
      <c r="K45" s="32">
        <f>+'COLOMBIA USD'!K45+'EL SALVADOR USD'!K45+'VENEZUELA USD'!K45+'PANAMA USD'!K45</f>
        <v>439391.98896076484</v>
      </c>
      <c r="L45" s="34">
        <f t="shared" si="5"/>
        <v>0.16627034334728724</v>
      </c>
      <c r="M45" s="32">
        <f>+'COLOMBIA USD'!M45+'EL SALVADOR USD'!M45+'VENEZUELA USD'!M45+'PANAMA USD'!M45</f>
        <v>271400.65234571649</v>
      </c>
      <c r="N45" s="34">
        <f>+M45/$M$20</f>
        <v>0.11109925419682533</v>
      </c>
      <c r="O45" s="34">
        <f>IF(K45=0,"",(M45-K45)/ABS(K45)+1)</f>
        <v>0.61767319196607162</v>
      </c>
      <c r="P45" s="32">
        <f>+'COLOMBIA USD'!P45+'EL SALVADOR USD'!P45+'VENEZUELA USD'!P45+'PANAMA USD'!P45</f>
        <v>446697.85049992695</v>
      </c>
      <c r="Q45" s="34">
        <f t="shared" si="8"/>
        <v>0.17085235634786103</v>
      </c>
      <c r="R45" s="34">
        <f>IF(P45=0,"",(M45-P45)/ABS(P45))</f>
        <v>-0.39242901652207329</v>
      </c>
    </row>
    <row r="46" spans="2:29" x14ac:dyDescent="0.2">
      <c r="B46" s="3" t="s">
        <v>35</v>
      </c>
      <c r="C46" s="32">
        <f>+'COLOMBIA USD'!C46+'EL SALVADOR USD'!C46+'VENEZUELA USD'!C46+'PANAMA USD'!C46</f>
        <v>105613.4522813106</v>
      </c>
      <c r="D46" s="34">
        <f t="shared" si="13"/>
        <v>0.42619663768305849</v>
      </c>
      <c r="E46" s="32">
        <f>+'COLOMBIA USD'!E46+'EL SALVADOR USD'!E46+'VENEZUELA USD'!E46+'PANAMA USD'!E46</f>
        <v>109547.35978937047</v>
      </c>
      <c r="F46" s="34">
        <f>+E46/$E$20</f>
        <v>0.52386746798145722</v>
      </c>
      <c r="G46" s="34">
        <f>IF(C46=0,"",(E46-C46)/ABS(C46)+1)</f>
        <v>1.0372481670003701</v>
      </c>
      <c r="H46" s="32">
        <f>+'COLOMBIA USD'!H46+'EL SALVADOR USD'!H46+'VENEZUELA USD'!H46+'PANAMA USD'!H46</f>
        <v>122282.76187941681</v>
      </c>
      <c r="I46" s="34">
        <f t="shared" si="16"/>
        <v>0.50512318515761112</v>
      </c>
      <c r="J46" s="34">
        <f>IF(H46=0,"",(E46-H46)/ABS(H46))</f>
        <v>-0.10414715773761091</v>
      </c>
      <c r="K46" s="32">
        <f>+'COLOMBIA USD'!K46+'EL SALVADOR USD'!K46+'VENEZUELA USD'!K46+'PANAMA USD'!K46</f>
        <v>1142839.6728930627</v>
      </c>
      <c r="L46" s="34">
        <f t="shared" si="5"/>
        <v>0.43246201473144902</v>
      </c>
      <c r="M46" s="32">
        <f>+'COLOMBIA USD'!M46+'EL SALVADOR USD'!M46+'VENEZUELA USD'!M46+'PANAMA USD'!M46</f>
        <v>1152110.3773290154</v>
      </c>
      <c r="N46" s="34">
        <f>+M46/$M$20</f>
        <v>0.47162231397524063</v>
      </c>
      <c r="O46" s="34">
        <f>IF(K46=0,"",(M46-K46)/ABS(K46)+1)</f>
        <v>1.0081119903831166</v>
      </c>
      <c r="P46" s="32">
        <f>+'COLOMBIA USD'!P46+'EL SALVADOR USD'!P46+'VENEZUELA USD'!P46+'PANAMA USD'!P46</f>
        <v>1177489.390551158</v>
      </c>
      <c r="Q46" s="34">
        <f t="shared" si="8"/>
        <v>0.45036446162685323</v>
      </c>
      <c r="R46" s="34">
        <f>IF(P46=0,"",(M46-P46)/ABS(P46))</f>
        <v>-2.1553496299667893E-2</v>
      </c>
    </row>
  </sheetData>
  <conditionalFormatting sqref="D9:D46 G10:G46 J10:J46">
    <cfRule type="cellIs" dxfId="1" priority="2" operator="lessThan">
      <formula>0</formula>
    </cfRule>
  </conditionalFormatting>
  <conditionalFormatting sqref="R10:R46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0FAE-F165-4B6A-BBDE-C8985655DA0E}">
  <dimension ref="A6:V594"/>
  <sheetViews>
    <sheetView topLeftCell="A39" workbookViewId="0">
      <selection activeCell="A60" sqref="A60:A87"/>
    </sheetView>
  </sheetViews>
  <sheetFormatPr baseColWidth="10" defaultColWidth="11.42578125" defaultRowHeight="12" x14ac:dyDescent="0.2"/>
  <cols>
    <col min="1" max="1" width="40.85546875" style="120" customWidth="1"/>
    <col min="2" max="2" width="44.42578125" style="120" customWidth="1"/>
    <col min="3" max="3" width="29.140625" style="120" customWidth="1"/>
    <col min="4" max="4" width="8" style="120" customWidth="1"/>
    <col min="5" max="5" width="22.85546875" style="120" bestFit="1" customWidth="1"/>
    <col min="6" max="6" width="36.42578125" style="120" bestFit="1" customWidth="1"/>
    <col min="7" max="7" width="13.42578125" style="122" bestFit="1" customWidth="1"/>
    <col min="8" max="18" width="30.5703125" style="122" bestFit="1" customWidth="1"/>
    <col min="19" max="19" width="14.140625" style="122" bestFit="1" customWidth="1"/>
    <col min="20" max="22" width="11.42578125" style="122"/>
    <col min="23" max="16384" width="11.42578125" style="120"/>
  </cols>
  <sheetData>
    <row r="6" spans="1:2" x14ac:dyDescent="0.2">
      <c r="A6" s="118" t="s">
        <v>64</v>
      </c>
      <c r="B6" s="119" t="s">
        <v>147</v>
      </c>
    </row>
    <row r="7" spans="1:2" x14ac:dyDescent="0.2">
      <c r="A7" s="118" t="s">
        <v>66</v>
      </c>
      <c r="B7" s="119" t="s">
        <v>148</v>
      </c>
    </row>
    <row r="8" spans="1:2" x14ac:dyDescent="0.2">
      <c r="A8" s="118" t="s">
        <v>68</v>
      </c>
      <c r="B8" s="119" t="s">
        <v>149</v>
      </c>
    </row>
    <row r="9" spans="1:2" x14ac:dyDescent="0.2">
      <c r="A9" s="118" t="s">
        <v>77</v>
      </c>
      <c r="B9" s="119" t="s">
        <v>150</v>
      </c>
    </row>
    <row r="10" spans="1:2" x14ac:dyDescent="0.2">
      <c r="A10" s="118" t="s">
        <v>151</v>
      </c>
      <c r="B10" s="119" t="s">
        <v>152</v>
      </c>
    </row>
    <row r="11" spans="1:2" x14ac:dyDescent="0.2">
      <c r="A11" s="118">
        <v>4170250500</v>
      </c>
      <c r="B11" s="119" t="s">
        <v>153</v>
      </c>
    </row>
    <row r="12" spans="1:2" x14ac:dyDescent="0.2">
      <c r="A12" s="118" t="s">
        <v>79</v>
      </c>
      <c r="B12" s="119" t="s">
        <v>154</v>
      </c>
    </row>
    <row r="13" spans="1:2" x14ac:dyDescent="0.2">
      <c r="A13" s="118" t="s">
        <v>155</v>
      </c>
      <c r="B13" s="119" t="s">
        <v>156</v>
      </c>
    </row>
    <row r="14" spans="1:2" x14ac:dyDescent="0.2">
      <c r="A14" s="118" t="s">
        <v>73</v>
      </c>
      <c r="B14" s="119" t="s">
        <v>157</v>
      </c>
    </row>
    <row r="15" spans="1:2" x14ac:dyDescent="0.2">
      <c r="A15" s="118">
        <v>4155951000</v>
      </c>
      <c r="B15" s="119" t="s">
        <v>158</v>
      </c>
    </row>
    <row r="16" spans="1:2" x14ac:dyDescent="0.2">
      <c r="A16" s="118">
        <v>4155951500</v>
      </c>
      <c r="B16" s="119" t="s">
        <v>159</v>
      </c>
    </row>
    <row r="33" spans="1:19" x14ac:dyDescent="0.2">
      <c r="B33" s="121" t="s">
        <v>160</v>
      </c>
      <c r="D33" s="120" t="s">
        <v>161</v>
      </c>
    </row>
    <row r="34" spans="1:19" x14ac:dyDescent="0.2">
      <c r="A34" s="120" t="s">
        <v>162</v>
      </c>
      <c r="B34" s="121" t="s">
        <v>163</v>
      </c>
    </row>
    <row r="35" spans="1:19" x14ac:dyDescent="0.2">
      <c r="A35" s="120" t="s">
        <v>164</v>
      </c>
      <c r="B35" s="121" t="s">
        <v>165</v>
      </c>
    </row>
    <row r="36" spans="1:19" x14ac:dyDescent="0.2">
      <c r="A36" s="120" t="s">
        <v>166</v>
      </c>
      <c r="B36" s="121" t="s">
        <v>167</v>
      </c>
    </row>
    <row r="37" spans="1:19" x14ac:dyDescent="0.2">
      <c r="A37" s="120" t="s">
        <v>168</v>
      </c>
      <c r="B37" s="121" t="s">
        <v>169</v>
      </c>
    </row>
    <row r="38" spans="1:19" x14ac:dyDescent="0.2">
      <c r="B38" s="121"/>
    </row>
    <row r="39" spans="1:19" x14ac:dyDescent="0.2">
      <c r="B39" s="121"/>
    </row>
    <row r="40" spans="1:19" x14ac:dyDescent="0.2">
      <c r="B40" s="121"/>
    </row>
    <row r="41" spans="1:19" x14ac:dyDescent="0.2">
      <c r="B41" s="121" t="s">
        <v>170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</row>
    <row r="42" spans="1:19" x14ac:dyDescent="0.2">
      <c r="A42" s="123"/>
      <c r="B42" s="120" t="s">
        <v>171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</row>
    <row r="43" spans="1:19" x14ac:dyDescent="0.2">
      <c r="A43" s="123" t="s">
        <v>172</v>
      </c>
      <c r="B43" s="119" t="s">
        <v>173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</row>
    <row r="44" spans="1:19" x14ac:dyDescent="0.2">
      <c r="A44" s="120" t="s">
        <v>174</v>
      </c>
      <c r="B44" s="119" t="s">
        <v>175</v>
      </c>
      <c r="G44" s="120"/>
    </row>
    <row r="45" spans="1:19" x14ac:dyDescent="0.2">
      <c r="A45" s="123" t="s">
        <v>176</v>
      </c>
      <c r="B45" s="119" t="s">
        <v>177</v>
      </c>
      <c r="G45" s="120"/>
    </row>
    <row r="46" spans="1:19" x14ac:dyDescent="0.2">
      <c r="A46" s="118">
        <v>5295400000</v>
      </c>
      <c r="B46" s="119" t="s">
        <v>178</v>
      </c>
      <c r="G46" s="120"/>
    </row>
    <row r="47" spans="1:19" x14ac:dyDescent="0.2">
      <c r="A47" s="118">
        <v>5235500000</v>
      </c>
      <c r="B47" s="119" t="s">
        <v>179</v>
      </c>
    </row>
    <row r="48" spans="1:19" x14ac:dyDescent="0.2">
      <c r="A48" s="123" t="s">
        <v>180</v>
      </c>
      <c r="B48" s="119" t="s">
        <v>181</v>
      </c>
    </row>
    <row r="49" spans="1:5" x14ac:dyDescent="0.2">
      <c r="A49" s="123" t="s">
        <v>182</v>
      </c>
      <c r="B49" s="119" t="s">
        <v>183</v>
      </c>
    </row>
    <row r="50" spans="1:5" x14ac:dyDescent="0.2">
      <c r="A50" s="123" t="s">
        <v>184</v>
      </c>
      <c r="B50" s="119" t="s">
        <v>185</v>
      </c>
    </row>
    <row r="51" spans="1:5" x14ac:dyDescent="0.2">
      <c r="A51" s="124">
        <v>5295950300</v>
      </c>
      <c r="B51" s="119" t="s">
        <v>186</v>
      </c>
    </row>
    <row r="52" spans="1:5" x14ac:dyDescent="0.2">
      <c r="A52" s="123" t="s">
        <v>187</v>
      </c>
      <c r="B52" s="119" t="s">
        <v>188</v>
      </c>
    </row>
    <row r="53" spans="1:5" x14ac:dyDescent="0.2">
      <c r="A53" s="118">
        <v>5240200100</v>
      </c>
      <c r="B53" s="119" t="s">
        <v>189</v>
      </c>
    </row>
    <row r="54" spans="1:5" x14ac:dyDescent="0.2">
      <c r="A54" s="118">
        <v>5235150000</v>
      </c>
      <c r="B54" s="119" t="s">
        <v>190</v>
      </c>
    </row>
    <row r="55" spans="1:5" x14ac:dyDescent="0.2">
      <c r="A55" s="118">
        <v>5235100000</v>
      </c>
      <c r="B55" s="119" t="s">
        <v>191</v>
      </c>
    </row>
    <row r="56" spans="1:5" x14ac:dyDescent="0.2">
      <c r="A56" s="123" t="s">
        <v>192</v>
      </c>
      <c r="B56" s="119" t="s">
        <v>193</v>
      </c>
    </row>
    <row r="57" spans="1:5" x14ac:dyDescent="0.2">
      <c r="A57" s="118">
        <v>5299100000</v>
      </c>
      <c r="B57" s="119" t="s">
        <v>194</v>
      </c>
    </row>
    <row r="58" spans="1:5" x14ac:dyDescent="0.2">
      <c r="A58" s="124" t="s">
        <v>195</v>
      </c>
      <c r="B58" s="125" t="s">
        <v>196</v>
      </c>
    </row>
    <row r="59" spans="1:5" x14ac:dyDescent="0.2">
      <c r="A59" s="123"/>
      <c r="B59" s="125" t="s">
        <v>197</v>
      </c>
      <c r="C59" s="120" t="str">
        <f>+Paramet!B4</f>
        <v>202411</v>
      </c>
    </row>
    <row r="60" spans="1:5" x14ac:dyDescent="0.2">
      <c r="A60" s="123" t="s">
        <v>198</v>
      </c>
      <c r="B60" s="119" t="s">
        <v>199</v>
      </c>
      <c r="C60" s="126"/>
      <c r="D60" s="126"/>
      <c r="E60" s="127"/>
    </row>
    <row r="61" spans="1:5" x14ac:dyDescent="0.2">
      <c r="A61" s="120" t="s">
        <v>200</v>
      </c>
      <c r="B61" s="119" t="s">
        <v>201</v>
      </c>
      <c r="C61" s="126"/>
      <c r="D61" s="126"/>
      <c r="E61" s="127"/>
    </row>
    <row r="62" spans="1:5" x14ac:dyDescent="0.2">
      <c r="A62" s="123" t="s">
        <v>202</v>
      </c>
      <c r="B62" s="119" t="s">
        <v>203</v>
      </c>
      <c r="C62" s="126"/>
      <c r="D62" s="126"/>
      <c r="E62" s="127"/>
    </row>
    <row r="63" spans="1:5" x14ac:dyDescent="0.2">
      <c r="A63" s="123" t="s">
        <v>204</v>
      </c>
      <c r="B63" s="119" t="s">
        <v>205</v>
      </c>
      <c r="C63" s="126"/>
      <c r="D63" s="126"/>
      <c r="E63" s="127"/>
    </row>
    <row r="64" spans="1:5" x14ac:dyDescent="0.2">
      <c r="A64" s="123" t="s">
        <v>206</v>
      </c>
      <c r="B64" s="119" t="s">
        <v>207</v>
      </c>
      <c r="C64" s="126"/>
      <c r="D64" s="126"/>
      <c r="E64" s="127"/>
    </row>
    <row r="65" spans="1:5" x14ac:dyDescent="0.2">
      <c r="A65" s="123" t="s">
        <v>208</v>
      </c>
      <c r="B65" s="119" t="s">
        <v>209</v>
      </c>
      <c r="C65" s="126"/>
      <c r="D65" s="126"/>
      <c r="E65" s="127"/>
    </row>
    <row r="66" spans="1:5" x14ac:dyDescent="0.2">
      <c r="A66" s="123" t="s">
        <v>210</v>
      </c>
      <c r="B66" s="119" t="s">
        <v>211</v>
      </c>
      <c r="C66" s="126"/>
      <c r="D66" s="126"/>
      <c r="E66" s="127"/>
    </row>
    <row r="67" spans="1:5" x14ac:dyDescent="0.2">
      <c r="A67" s="123" t="s">
        <v>212</v>
      </c>
      <c r="B67" s="119" t="s">
        <v>213</v>
      </c>
      <c r="C67" s="126"/>
      <c r="D67" s="126"/>
      <c r="E67" s="127"/>
    </row>
    <row r="68" spans="1:5" x14ac:dyDescent="0.2">
      <c r="A68" s="118">
        <v>5265100000</v>
      </c>
      <c r="B68" s="119" t="s">
        <v>214</v>
      </c>
      <c r="C68" s="126"/>
      <c r="D68" s="126"/>
      <c r="E68" s="127"/>
    </row>
    <row r="69" spans="1:5" x14ac:dyDescent="0.2">
      <c r="A69" s="123" t="s">
        <v>215</v>
      </c>
      <c r="B69" s="119" t="s">
        <v>216</v>
      </c>
      <c r="C69" s="126"/>
      <c r="D69" s="126"/>
      <c r="E69" s="127"/>
    </row>
    <row r="70" spans="1:5" x14ac:dyDescent="0.2">
      <c r="A70" s="123" t="s">
        <v>217</v>
      </c>
      <c r="B70" s="119" t="s">
        <v>218</v>
      </c>
      <c r="C70" s="126"/>
      <c r="D70" s="126"/>
      <c r="E70" s="127"/>
    </row>
    <row r="71" spans="1:5" x14ac:dyDescent="0.2">
      <c r="A71" s="123" t="s">
        <v>219</v>
      </c>
      <c r="B71" s="119" t="s">
        <v>220</v>
      </c>
      <c r="C71" s="126"/>
      <c r="D71" s="126"/>
      <c r="E71" s="127"/>
    </row>
    <row r="72" spans="1:5" x14ac:dyDescent="0.2">
      <c r="A72" s="123" t="s">
        <v>221</v>
      </c>
      <c r="B72" s="119" t="s">
        <v>222</v>
      </c>
      <c r="C72" s="126"/>
      <c r="D72" s="126"/>
      <c r="E72" s="127"/>
    </row>
    <row r="73" spans="1:5" x14ac:dyDescent="0.2">
      <c r="A73" s="118" t="s">
        <v>223</v>
      </c>
      <c r="B73" s="119" t="s">
        <v>224</v>
      </c>
      <c r="C73" s="126"/>
      <c r="D73" s="126"/>
      <c r="E73" s="127"/>
    </row>
    <row r="74" spans="1:5" x14ac:dyDescent="0.2">
      <c r="A74" s="123" t="s">
        <v>225</v>
      </c>
      <c r="B74" s="119" t="s">
        <v>226</v>
      </c>
      <c r="C74" s="126"/>
      <c r="D74" s="126"/>
      <c r="E74" s="127"/>
    </row>
    <row r="75" spans="1:5" x14ac:dyDescent="0.2">
      <c r="A75" s="118">
        <v>5265150000</v>
      </c>
      <c r="B75" s="119" t="s">
        <v>227</v>
      </c>
      <c r="C75" s="126"/>
      <c r="D75" s="126"/>
      <c r="E75" s="127"/>
    </row>
    <row r="76" spans="1:5" x14ac:dyDescent="0.2">
      <c r="A76" s="123" t="s">
        <v>228</v>
      </c>
      <c r="B76" s="119" t="s">
        <v>229</v>
      </c>
      <c r="C76" s="126"/>
      <c r="D76" s="126"/>
      <c r="E76" s="127"/>
    </row>
    <row r="77" spans="1:5" x14ac:dyDescent="0.2">
      <c r="A77" s="123" t="s">
        <v>230</v>
      </c>
      <c r="B77" s="119" t="s">
        <v>231</v>
      </c>
      <c r="C77" s="126"/>
      <c r="D77" s="126"/>
      <c r="E77" s="127"/>
    </row>
    <row r="78" spans="1:5" x14ac:dyDescent="0.2">
      <c r="A78" s="123" t="s">
        <v>232</v>
      </c>
      <c r="B78" s="119" t="s">
        <v>233</v>
      </c>
      <c r="C78" s="126"/>
      <c r="D78" s="126"/>
      <c r="E78" s="127"/>
    </row>
    <row r="79" spans="1:5" x14ac:dyDescent="0.2">
      <c r="A79" s="123" t="s">
        <v>234</v>
      </c>
      <c r="B79" s="119" t="s">
        <v>235</v>
      </c>
      <c r="C79" s="126"/>
      <c r="D79" s="126"/>
      <c r="E79" s="127"/>
    </row>
    <row r="80" spans="1:5" x14ac:dyDescent="0.2">
      <c r="A80" s="123" t="s">
        <v>236</v>
      </c>
      <c r="B80" s="119" t="s">
        <v>237</v>
      </c>
      <c r="C80" s="126"/>
      <c r="D80" s="126"/>
      <c r="E80" s="127"/>
    </row>
    <row r="81" spans="1:5" x14ac:dyDescent="0.2">
      <c r="A81" s="123" t="s">
        <v>238</v>
      </c>
      <c r="B81" s="119" t="s">
        <v>239</v>
      </c>
      <c r="C81" s="126"/>
      <c r="D81" s="126"/>
      <c r="E81" s="127"/>
    </row>
    <row r="82" spans="1:5" x14ac:dyDescent="0.2">
      <c r="A82" s="118" t="s">
        <v>240</v>
      </c>
      <c r="B82" s="119" t="s">
        <v>241</v>
      </c>
      <c r="C82" s="126"/>
      <c r="D82" s="126"/>
      <c r="E82" s="127"/>
    </row>
    <row r="83" spans="1:5" x14ac:dyDescent="0.2">
      <c r="A83" s="123" t="s">
        <v>242</v>
      </c>
      <c r="B83" s="119" t="s">
        <v>243</v>
      </c>
      <c r="C83" s="126"/>
      <c r="D83" s="126"/>
      <c r="E83" s="127"/>
    </row>
    <row r="84" spans="1:5" x14ac:dyDescent="0.2">
      <c r="A84" s="123" t="s">
        <v>244</v>
      </c>
      <c r="B84" s="119" t="s">
        <v>245</v>
      </c>
      <c r="C84" s="126"/>
      <c r="D84" s="126"/>
      <c r="E84" s="127"/>
    </row>
    <row r="85" spans="1:5" x14ac:dyDescent="0.2">
      <c r="A85" s="123" t="s">
        <v>246</v>
      </c>
      <c r="B85" s="119" t="s">
        <v>247</v>
      </c>
      <c r="C85" s="126"/>
      <c r="D85" s="126"/>
      <c r="E85" s="127"/>
    </row>
    <row r="86" spans="1:5" x14ac:dyDescent="0.2">
      <c r="A86" s="128" t="s">
        <v>248</v>
      </c>
      <c r="B86" s="119" t="s">
        <v>249</v>
      </c>
      <c r="C86" s="126"/>
      <c r="D86" s="126"/>
      <c r="E86" s="127"/>
    </row>
    <row r="87" spans="1:5" x14ac:dyDescent="0.2">
      <c r="A87" s="123" t="s">
        <v>250</v>
      </c>
      <c r="B87" s="119" t="s">
        <v>251</v>
      </c>
      <c r="C87" s="126"/>
      <c r="D87" s="126"/>
      <c r="E87" s="127"/>
    </row>
    <row r="88" spans="1:5" x14ac:dyDescent="0.2">
      <c r="A88" s="123"/>
      <c r="B88" s="125" t="s">
        <v>252</v>
      </c>
      <c r="C88" s="127"/>
      <c r="D88" s="129"/>
      <c r="E88" s="130"/>
    </row>
    <row r="89" spans="1:5" x14ac:dyDescent="0.2">
      <c r="A89" s="123" t="s">
        <v>253</v>
      </c>
      <c r="B89" s="119" t="s">
        <v>254</v>
      </c>
    </row>
    <row r="90" spans="1:5" x14ac:dyDescent="0.2">
      <c r="A90" s="118">
        <v>5105180100</v>
      </c>
      <c r="B90" s="119" t="s">
        <v>255</v>
      </c>
    </row>
    <row r="91" spans="1:5" x14ac:dyDescent="0.2">
      <c r="A91" s="120" t="s">
        <v>256</v>
      </c>
      <c r="B91" s="119" t="s">
        <v>257</v>
      </c>
    </row>
    <row r="92" spans="1:5" x14ac:dyDescent="0.2">
      <c r="A92" s="118">
        <v>5105480100</v>
      </c>
      <c r="B92" s="119" t="s">
        <v>258</v>
      </c>
    </row>
    <row r="93" spans="1:5" x14ac:dyDescent="0.2">
      <c r="A93" s="123" t="s">
        <v>259</v>
      </c>
      <c r="B93" s="119" t="s">
        <v>260</v>
      </c>
    </row>
    <row r="94" spans="1:5" x14ac:dyDescent="0.2">
      <c r="A94" s="123" t="s">
        <v>261</v>
      </c>
      <c r="B94" s="119" t="s">
        <v>262</v>
      </c>
    </row>
    <row r="95" spans="1:5" x14ac:dyDescent="0.2">
      <c r="A95" s="123"/>
      <c r="B95" s="125" t="s">
        <v>263</v>
      </c>
    </row>
    <row r="96" spans="1:5" x14ac:dyDescent="0.2">
      <c r="A96" s="118">
        <v>5105180000</v>
      </c>
      <c r="B96" s="119" t="s">
        <v>264</v>
      </c>
      <c r="C96" s="126"/>
      <c r="E96" s="127"/>
    </row>
    <row r="97" spans="1:5" x14ac:dyDescent="0.2">
      <c r="A97" s="123" t="s">
        <v>265</v>
      </c>
      <c r="B97" s="119" t="s">
        <v>266</v>
      </c>
      <c r="C97" s="126"/>
      <c r="E97" s="127"/>
    </row>
    <row r="98" spans="1:5" x14ac:dyDescent="0.2">
      <c r="A98" s="123" t="s">
        <v>267</v>
      </c>
      <c r="B98" s="119" t="s">
        <v>268</v>
      </c>
      <c r="C98" s="126"/>
      <c r="E98" s="127"/>
    </row>
    <row r="99" spans="1:5" x14ac:dyDescent="0.2">
      <c r="A99" s="123" t="s">
        <v>269</v>
      </c>
      <c r="B99" s="119" t="s">
        <v>270</v>
      </c>
      <c r="C99" s="126"/>
      <c r="E99" s="127"/>
    </row>
    <row r="100" spans="1:5" x14ac:dyDescent="0.2">
      <c r="A100" s="118" t="s">
        <v>271</v>
      </c>
      <c r="B100" s="119" t="s">
        <v>272</v>
      </c>
      <c r="C100" s="126"/>
      <c r="E100" s="127"/>
    </row>
    <row r="101" spans="1:5" x14ac:dyDescent="0.2">
      <c r="A101" s="123" t="s">
        <v>273</v>
      </c>
      <c r="B101" s="119" t="s">
        <v>274</v>
      </c>
      <c r="C101" s="126"/>
      <c r="E101" s="127"/>
    </row>
    <row r="102" spans="1:5" x14ac:dyDescent="0.2">
      <c r="A102" s="123" t="s">
        <v>275</v>
      </c>
      <c r="B102" s="119" t="s">
        <v>276</v>
      </c>
      <c r="C102" s="126"/>
      <c r="E102" s="127"/>
    </row>
    <row r="103" spans="1:5" x14ac:dyDescent="0.2">
      <c r="A103" s="118" t="s">
        <v>277</v>
      </c>
      <c r="B103" s="119" t="s">
        <v>278</v>
      </c>
      <c r="C103" s="126"/>
      <c r="E103" s="127"/>
    </row>
    <row r="104" spans="1:5" x14ac:dyDescent="0.2">
      <c r="A104" s="118" t="s">
        <v>279</v>
      </c>
      <c r="B104" s="119" t="s">
        <v>280</v>
      </c>
      <c r="C104" s="126"/>
      <c r="E104" s="127"/>
    </row>
    <row r="105" spans="1:5" x14ac:dyDescent="0.2">
      <c r="A105" s="118">
        <v>5120100000</v>
      </c>
      <c r="B105" s="119" t="s">
        <v>281</v>
      </c>
      <c r="C105" s="126"/>
      <c r="E105" s="127"/>
    </row>
    <row r="106" spans="1:5" x14ac:dyDescent="0.2">
      <c r="A106" s="123" t="s">
        <v>282</v>
      </c>
      <c r="B106" s="119" t="s">
        <v>283</v>
      </c>
      <c r="C106" s="126"/>
      <c r="E106" s="127"/>
    </row>
    <row r="107" spans="1:5" x14ac:dyDescent="0.2">
      <c r="A107" s="123" t="s">
        <v>284</v>
      </c>
      <c r="B107" s="119" t="s">
        <v>285</v>
      </c>
      <c r="C107" s="126"/>
      <c r="E107" s="127"/>
    </row>
    <row r="108" spans="1:5" x14ac:dyDescent="0.2">
      <c r="A108" s="123" t="s">
        <v>286</v>
      </c>
      <c r="B108" s="119" t="s">
        <v>287</v>
      </c>
      <c r="C108" s="126"/>
      <c r="E108" s="127"/>
    </row>
    <row r="109" spans="1:5" x14ac:dyDescent="0.2">
      <c r="A109" s="123" t="s">
        <v>288</v>
      </c>
      <c r="B109" s="119" t="s">
        <v>289</v>
      </c>
      <c r="C109" s="126"/>
      <c r="E109" s="127"/>
    </row>
    <row r="110" spans="1:5" x14ac:dyDescent="0.2">
      <c r="A110" s="123" t="s">
        <v>290</v>
      </c>
      <c r="B110" s="119" t="s">
        <v>291</v>
      </c>
      <c r="C110" s="126"/>
      <c r="E110" s="127"/>
    </row>
    <row r="111" spans="1:5" x14ac:dyDescent="0.2">
      <c r="A111" s="123" t="s">
        <v>292</v>
      </c>
      <c r="B111" s="119" t="s">
        <v>293</v>
      </c>
      <c r="C111" s="126"/>
      <c r="E111" s="127"/>
    </row>
    <row r="112" spans="1:5" x14ac:dyDescent="0.2">
      <c r="A112" s="123" t="s">
        <v>294</v>
      </c>
      <c r="B112" s="119" t="s">
        <v>295</v>
      </c>
      <c r="C112" s="126"/>
      <c r="E112" s="127"/>
    </row>
    <row r="113" spans="1:11" x14ac:dyDescent="0.2">
      <c r="A113" s="123" t="s">
        <v>296</v>
      </c>
      <c r="B113" s="119" t="s">
        <v>297</v>
      </c>
      <c r="C113" s="126"/>
      <c r="E113" s="127"/>
    </row>
    <row r="114" spans="1:11" x14ac:dyDescent="0.2">
      <c r="A114" s="123" t="s">
        <v>298</v>
      </c>
      <c r="B114" s="119" t="s">
        <v>299</v>
      </c>
      <c r="C114" s="126"/>
      <c r="E114" s="127"/>
    </row>
    <row r="115" spans="1:11" x14ac:dyDescent="0.2">
      <c r="A115" s="123" t="s">
        <v>300</v>
      </c>
      <c r="B115" s="119" t="s">
        <v>301</v>
      </c>
      <c r="C115" s="126"/>
      <c r="E115" s="127"/>
    </row>
    <row r="116" spans="1:11" x14ac:dyDescent="0.2">
      <c r="A116" s="118" t="s">
        <v>302</v>
      </c>
      <c r="B116" s="119" t="s">
        <v>303</v>
      </c>
      <c r="C116" s="126"/>
      <c r="E116" s="127"/>
    </row>
    <row r="117" spans="1:11" x14ac:dyDescent="0.2">
      <c r="A117" s="123" t="s">
        <v>304</v>
      </c>
      <c r="B117" s="119" t="s">
        <v>305</v>
      </c>
      <c r="C117" s="126"/>
      <c r="E117" s="127"/>
    </row>
    <row r="118" spans="1:11" x14ac:dyDescent="0.2">
      <c r="A118" s="123" t="s">
        <v>306</v>
      </c>
      <c r="B118" s="119" t="s">
        <v>307</v>
      </c>
      <c r="C118" s="126"/>
      <c r="E118" s="127"/>
    </row>
    <row r="119" spans="1:11" x14ac:dyDescent="0.2">
      <c r="A119" s="123" t="s">
        <v>308</v>
      </c>
      <c r="B119" s="119" t="s">
        <v>309</v>
      </c>
      <c r="C119" s="126"/>
      <c r="E119" s="127"/>
    </row>
    <row r="120" spans="1:11" x14ac:dyDescent="0.2">
      <c r="A120" s="123" t="s">
        <v>310</v>
      </c>
      <c r="B120" s="119" t="s">
        <v>311</v>
      </c>
      <c r="C120" s="126"/>
      <c r="E120" s="127"/>
    </row>
    <row r="121" spans="1:11" x14ac:dyDescent="0.2">
      <c r="A121" s="118" t="s">
        <v>312</v>
      </c>
      <c r="B121" s="119" t="s">
        <v>313</v>
      </c>
      <c r="C121" s="126"/>
      <c r="E121" s="127"/>
    </row>
    <row r="122" spans="1:11" x14ac:dyDescent="0.2">
      <c r="A122" s="123" t="s">
        <v>314</v>
      </c>
      <c r="B122" s="119" t="s">
        <v>315</v>
      </c>
      <c r="C122" s="126"/>
      <c r="E122" s="127"/>
    </row>
    <row r="123" spans="1:11" x14ac:dyDescent="0.2">
      <c r="A123" s="123" t="s">
        <v>316</v>
      </c>
      <c r="B123" s="119" t="s">
        <v>317</v>
      </c>
      <c r="C123" s="126"/>
      <c r="E123" s="127"/>
    </row>
    <row r="124" spans="1:11" x14ac:dyDescent="0.2">
      <c r="A124" s="123" t="s">
        <v>318</v>
      </c>
      <c r="B124" s="119" t="s">
        <v>319</v>
      </c>
      <c r="C124" s="126"/>
      <c r="E124" s="127"/>
    </row>
    <row r="125" spans="1:11" x14ac:dyDescent="0.2">
      <c r="A125" s="123" t="s">
        <v>320</v>
      </c>
      <c r="B125" s="119" t="s">
        <v>321</v>
      </c>
      <c r="C125" s="126"/>
      <c r="E125" s="127"/>
    </row>
    <row r="126" spans="1:11" x14ac:dyDescent="0.2">
      <c r="A126" s="123" t="s">
        <v>322</v>
      </c>
      <c r="B126" s="119" t="s">
        <v>323</v>
      </c>
      <c r="C126" s="126"/>
      <c r="E126" s="120" t="s">
        <v>324</v>
      </c>
      <c r="G126" s="120"/>
      <c r="H126" s="120"/>
      <c r="I126" s="120"/>
      <c r="J126" s="120"/>
      <c r="K126" s="120"/>
    </row>
    <row r="127" spans="1:11" x14ac:dyDescent="0.2">
      <c r="A127" s="123"/>
      <c r="B127" s="125" t="s">
        <v>325</v>
      </c>
      <c r="C127" s="127"/>
      <c r="D127" s="127"/>
      <c r="E127" s="120" t="s">
        <v>326</v>
      </c>
      <c r="F127" s="120" t="s">
        <v>327</v>
      </c>
      <c r="G127" s="120" t="s">
        <v>109</v>
      </c>
      <c r="H127" s="120"/>
      <c r="I127" s="120"/>
      <c r="J127" s="120"/>
      <c r="K127" s="120"/>
    </row>
    <row r="128" spans="1:11" x14ac:dyDescent="0.2">
      <c r="A128" s="123" t="s">
        <v>328</v>
      </c>
      <c r="B128" s="119" t="s">
        <v>329</v>
      </c>
      <c r="E128" s="120" t="s">
        <v>330</v>
      </c>
      <c r="F128" s="120" t="s">
        <v>331</v>
      </c>
      <c r="G128" s="131">
        <v>-2083333</v>
      </c>
      <c r="H128" s="120"/>
      <c r="I128" s="120"/>
      <c r="J128" s="120"/>
      <c r="K128" s="120"/>
    </row>
    <row r="129" spans="1:11" x14ac:dyDescent="0.2">
      <c r="A129" s="123" t="s">
        <v>332</v>
      </c>
      <c r="B129" s="119" t="s">
        <v>333</v>
      </c>
      <c r="E129" s="120" t="s">
        <v>334</v>
      </c>
      <c r="G129" s="131">
        <v>-2083333</v>
      </c>
      <c r="H129" s="120"/>
      <c r="I129" s="120"/>
      <c r="J129" s="120"/>
      <c r="K129" s="120"/>
    </row>
    <row r="130" spans="1:11" x14ac:dyDescent="0.2">
      <c r="A130" s="118">
        <v>5110358000</v>
      </c>
      <c r="B130" s="119" t="s">
        <v>335</v>
      </c>
      <c r="G130" s="120"/>
      <c r="H130" s="120"/>
      <c r="I130" s="120"/>
      <c r="J130" s="120"/>
      <c r="K130" s="120"/>
    </row>
    <row r="131" spans="1:11" x14ac:dyDescent="0.2">
      <c r="A131" s="123"/>
      <c r="B131" s="125" t="s">
        <v>336</v>
      </c>
      <c r="G131" s="120"/>
      <c r="H131" s="120"/>
      <c r="I131" s="120"/>
      <c r="J131" s="120"/>
      <c r="K131" s="120"/>
    </row>
    <row r="132" spans="1:11" x14ac:dyDescent="0.2">
      <c r="A132" s="123" t="s">
        <v>337</v>
      </c>
      <c r="B132" s="119" t="s">
        <v>338</v>
      </c>
      <c r="G132" s="120"/>
      <c r="H132" s="120"/>
      <c r="I132" s="120"/>
      <c r="J132" s="120"/>
      <c r="K132" s="120"/>
    </row>
    <row r="133" spans="1:11" x14ac:dyDescent="0.2">
      <c r="A133" s="123" t="s">
        <v>339</v>
      </c>
      <c r="B133" s="119" t="s">
        <v>340</v>
      </c>
      <c r="G133" s="120"/>
      <c r="H133" s="120"/>
      <c r="I133" s="120"/>
      <c r="J133" s="120"/>
      <c r="K133" s="120"/>
    </row>
    <row r="134" spans="1:11" x14ac:dyDescent="0.2">
      <c r="A134" s="123" t="s">
        <v>341</v>
      </c>
      <c r="B134" s="119" t="s">
        <v>342</v>
      </c>
      <c r="G134" s="120"/>
      <c r="H134" s="120"/>
      <c r="I134" s="120"/>
      <c r="J134" s="120"/>
      <c r="K134" s="120"/>
    </row>
    <row r="135" spans="1:11" x14ac:dyDescent="0.2">
      <c r="A135" s="123" t="s">
        <v>343</v>
      </c>
      <c r="B135" s="119" t="s">
        <v>344</v>
      </c>
      <c r="G135" s="120"/>
      <c r="H135" s="120"/>
      <c r="I135" s="120"/>
      <c r="J135" s="120"/>
      <c r="K135" s="120"/>
    </row>
    <row r="136" spans="1:11" x14ac:dyDescent="0.2">
      <c r="G136" s="120"/>
      <c r="H136" s="120"/>
      <c r="I136" s="120"/>
      <c r="J136" s="120"/>
      <c r="K136" s="120"/>
    </row>
    <row r="137" spans="1:11" x14ac:dyDescent="0.2">
      <c r="A137" s="123"/>
      <c r="B137" s="125" t="s">
        <v>345</v>
      </c>
      <c r="G137" s="120"/>
      <c r="H137" s="120"/>
      <c r="I137" s="120"/>
      <c r="J137" s="120"/>
      <c r="K137" s="120"/>
    </row>
    <row r="138" spans="1:11" x14ac:dyDescent="0.2">
      <c r="A138" s="123" t="s">
        <v>346</v>
      </c>
      <c r="B138" s="119" t="s">
        <v>347</v>
      </c>
      <c r="G138" s="120"/>
      <c r="H138" s="120"/>
      <c r="I138" s="120"/>
      <c r="J138" s="120"/>
      <c r="K138" s="120"/>
    </row>
    <row r="139" spans="1:11" x14ac:dyDescent="0.2">
      <c r="A139" s="123" t="s">
        <v>348</v>
      </c>
      <c r="B139" s="119" t="s">
        <v>349</v>
      </c>
      <c r="G139" s="120"/>
      <c r="H139" s="120"/>
      <c r="I139" s="120"/>
      <c r="J139" s="120"/>
      <c r="K139" s="120"/>
    </row>
    <row r="140" spans="1:11" x14ac:dyDescent="0.2">
      <c r="A140" s="123" t="s">
        <v>350</v>
      </c>
      <c r="B140" s="119" t="s">
        <v>351</v>
      </c>
      <c r="G140" s="120"/>
      <c r="H140" s="120"/>
      <c r="I140" s="120"/>
      <c r="J140" s="120"/>
      <c r="K140" s="120"/>
    </row>
    <row r="141" spans="1:11" x14ac:dyDescent="0.2">
      <c r="A141" s="132" t="s">
        <v>352</v>
      </c>
      <c r="B141" s="119" t="s">
        <v>353</v>
      </c>
      <c r="G141" s="120"/>
    </row>
    <row r="142" spans="1:11" x14ac:dyDescent="0.2">
      <c r="A142" s="132"/>
      <c r="B142" s="125" t="s">
        <v>354</v>
      </c>
      <c r="G142" s="120"/>
    </row>
    <row r="143" spans="1:11" x14ac:dyDescent="0.2">
      <c r="A143" s="123" t="s">
        <v>355</v>
      </c>
      <c r="B143" s="119" t="s">
        <v>356</v>
      </c>
      <c r="G143" s="120"/>
    </row>
    <row r="144" spans="1:11" x14ac:dyDescent="0.2">
      <c r="A144" s="123"/>
      <c r="B144" s="125" t="s">
        <v>357</v>
      </c>
      <c r="G144" s="120"/>
    </row>
    <row r="145" spans="1:7" x14ac:dyDescent="0.2">
      <c r="A145" s="123"/>
      <c r="B145" s="125" t="s">
        <v>358</v>
      </c>
      <c r="G145" s="120"/>
    </row>
    <row r="146" spans="1:7" x14ac:dyDescent="0.2">
      <c r="A146" s="123"/>
      <c r="B146" s="125" t="s">
        <v>359</v>
      </c>
      <c r="G146" s="120"/>
    </row>
    <row r="147" spans="1:7" x14ac:dyDescent="0.2">
      <c r="A147" s="123" t="s">
        <v>360</v>
      </c>
      <c r="B147" s="119" t="s">
        <v>361</v>
      </c>
      <c r="G147" s="120"/>
    </row>
    <row r="148" spans="1:7" x14ac:dyDescent="0.2">
      <c r="G148" s="120"/>
    </row>
    <row r="149" spans="1:7" x14ac:dyDescent="0.2">
      <c r="G149" s="120"/>
    </row>
    <row r="150" spans="1:7" x14ac:dyDescent="0.2">
      <c r="B150" s="120" t="s">
        <v>362</v>
      </c>
    </row>
    <row r="151" spans="1:7" x14ac:dyDescent="0.2">
      <c r="A151" s="123" t="s">
        <v>172</v>
      </c>
      <c r="B151" s="119" t="s">
        <v>173</v>
      </c>
    </row>
    <row r="152" spans="1:7" x14ac:dyDescent="0.2">
      <c r="A152" s="120" t="s">
        <v>174</v>
      </c>
      <c r="B152" s="119" t="s">
        <v>175</v>
      </c>
    </row>
    <row r="153" spans="1:7" x14ac:dyDescent="0.2">
      <c r="A153" s="123" t="s">
        <v>198</v>
      </c>
      <c r="B153" s="119" t="s">
        <v>199</v>
      </c>
    </row>
    <row r="154" spans="1:7" x14ac:dyDescent="0.2">
      <c r="A154" s="120" t="s">
        <v>200</v>
      </c>
      <c r="B154" s="119" t="s">
        <v>201</v>
      </c>
    </row>
    <row r="155" spans="1:7" x14ac:dyDescent="0.2">
      <c r="A155" s="123" t="s">
        <v>253</v>
      </c>
      <c r="B155" s="119" t="s">
        <v>254</v>
      </c>
    </row>
    <row r="156" spans="1:7" x14ac:dyDescent="0.2">
      <c r="A156" s="118">
        <v>5105180100</v>
      </c>
      <c r="B156" s="119" t="s">
        <v>255</v>
      </c>
    </row>
    <row r="157" spans="1:7" x14ac:dyDescent="0.2">
      <c r="A157" s="120" t="s">
        <v>256</v>
      </c>
      <c r="B157" s="119" t="s">
        <v>257</v>
      </c>
    </row>
    <row r="158" spans="1:7" x14ac:dyDescent="0.2">
      <c r="A158" s="118">
        <v>5105180000</v>
      </c>
      <c r="B158" s="119" t="s">
        <v>264</v>
      </c>
    </row>
    <row r="159" spans="1:7" x14ac:dyDescent="0.2">
      <c r="A159" s="123" t="s">
        <v>265</v>
      </c>
      <c r="B159" s="119" t="s">
        <v>266</v>
      </c>
    </row>
    <row r="160" spans="1:7" x14ac:dyDescent="0.2">
      <c r="A160" s="123" t="s">
        <v>267</v>
      </c>
      <c r="B160" s="119" t="s">
        <v>268</v>
      </c>
    </row>
    <row r="161" spans="1:5" x14ac:dyDescent="0.2">
      <c r="A161" s="123" t="s">
        <v>269</v>
      </c>
      <c r="B161" s="119" t="s">
        <v>270</v>
      </c>
    </row>
    <row r="164" spans="1:5" x14ac:dyDescent="0.2">
      <c r="B164" s="120" t="s">
        <v>363</v>
      </c>
    </row>
    <row r="165" spans="1:5" x14ac:dyDescent="0.2">
      <c r="A165" s="120" t="s">
        <v>180</v>
      </c>
      <c r="B165" s="120" t="s">
        <v>181</v>
      </c>
    </row>
    <row r="166" spans="1:5" x14ac:dyDescent="0.2">
      <c r="A166" s="120" t="s">
        <v>259</v>
      </c>
      <c r="B166" s="120" t="s">
        <v>260</v>
      </c>
    </row>
    <row r="167" spans="1:5" x14ac:dyDescent="0.2">
      <c r="A167" s="120" t="s">
        <v>261</v>
      </c>
      <c r="B167" s="120" t="s">
        <v>262</v>
      </c>
    </row>
    <row r="173" spans="1:5" x14ac:dyDescent="0.2">
      <c r="A173" s="133" t="s">
        <v>364</v>
      </c>
    </row>
    <row r="174" spans="1:5" x14ac:dyDescent="0.2">
      <c r="A174" s="121" t="s">
        <v>365</v>
      </c>
      <c r="E174" s="120" t="s">
        <v>366</v>
      </c>
    </row>
    <row r="175" spans="1:5" x14ac:dyDescent="0.2">
      <c r="A175" s="120" t="s">
        <v>367</v>
      </c>
      <c r="B175" s="120" t="s">
        <v>368</v>
      </c>
    </row>
    <row r="176" spans="1:5" x14ac:dyDescent="0.2">
      <c r="A176" s="120">
        <v>4155950000</v>
      </c>
      <c r="B176" s="120" t="s">
        <v>369</v>
      </c>
    </row>
    <row r="177" spans="1:5" x14ac:dyDescent="0.2">
      <c r="A177" s="120">
        <v>4155950100</v>
      </c>
      <c r="B177" s="120" t="s">
        <v>370</v>
      </c>
    </row>
    <row r="178" spans="1:5" x14ac:dyDescent="0.2">
      <c r="A178" s="120">
        <v>4155951500</v>
      </c>
      <c r="B178" s="120" t="s">
        <v>371</v>
      </c>
    </row>
    <row r="179" spans="1:5" x14ac:dyDescent="0.2">
      <c r="A179" s="120">
        <v>4135950900</v>
      </c>
      <c r="B179" s="120" t="s">
        <v>372</v>
      </c>
    </row>
    <row r="180" spans="1:5" x14ac:dyDescent="0.2">
      <c r="A180" s="120">
        <v>4135950000</v>
      </c>
      <c r="B180" s="120" t="s">
        <v>373</v>
      </c>
      <c r="E180" s="120">
        <v>4135950000</v>
      </c>
    </row>
    <row r="181" spans="1:5" x14ac:dyDescent="0.2">
      <c r="A181" s="120">
        <v>4155950500</v>
      </c>
      <c r="B181" s="120" t="s">
        <v>373</v>
      </c>
    </row>
    <row r="182" spans="1:5" x14ac:dyDescent="0.2">
      <c r="A182" s="120">
        <v>4170250300</v>
      </c>
      <c r="B182" s="120" t="s">
        <v>373</v>
      </c>
    </row>
    <row r="183" spans="1:5" x14ac:dyDescent="0.2">
      <c r="A183" s="120" t="s">
        <v>374</v>
      </c>
      <c r="B183" s="120" t="s">
        <v>375</v>
      </c>
    </row>
    <row r="184" spans="1:5" x14ac:dyDescent="0.2">
      <c r="A184" s="120">
        <v>6135950000</v>
      </c>
      <c r="B184" s="120" t="s">
        <v>376</v>
      </c>
    </row>
    <row r="186" spans="1:5" x14ac:dyDescent="0.2">
      <c r="B186" s="120" t="s">
        <v>377</v>
      </c>
    </row>
    <row r="187" spans="1:5" x14ac:dyDescent="0.2">
      <c r="A187" s="120">
        <v>5205180100</v>
      </c>
      <c r="B187" s="120" t="s">
        <v>378</v>
      </c>
      <c r="C187" s="120" t="s">
        <v>379</v>
      </c>
    </row>
    <row r="188" spans="1:5" x14ac:dyDescent="0.2">
      <c r="A188" s="120">
        <v>5205361000</v>
      </c>
      <c r="B188" s="120" t="s">
        <v>380</v>
      </c>
      <c r="C188" s="120" t="s">
        <v>381</v>
      </c>
      <c r="D188" s="120" t="s">
        <v>109</v>
      </c>
    </row>
    <row r="189" spans="1:5" x14ac:dyDescent="0.2">
      <c r="A189" s="120">
        <v>5205391000</v>
      </c>
      <c r="B189" s="120" t="s">
        <v>380</v>
      </c>
      <c r="C189" s="120" t="s">
        <v>382</v>
      </c>
      <c r="D189" s="120">
        <v>4638.9799999999996</v>
      </c>
    </row>
    <row r="190" spans="1:5" x14ac:dyDescent="0.2">
      <c r="A190" s="120">
        <v>5205422000</v>
      </c>
      <c r="B190" s="120" t="s">
        <v>380</v>
      </c>
      <c r="C190" s="120" t="s">
        <v>383</v>
      </c>
      <c r="D190" s="120">
        <v>1230.26</v>
      </c>
    </row>
    <row r="191" spans="1:5" x14ac:dyDescent="0.2">
      <c r="A191" s="120">
        <v>5205691000</v>
      </c>
      <c r="B191" s="120" t="s">
        <v>380</v>
      </c>
      <c r="C191" s="120" t="s">
        <v>384</v>
      </c>
      <c r="D191" s="120">
        <v>307.56</v>
      </c>
    </row>
    <row r="192" spans="1:5" x14ac:dyDescent="0.2">
      <c r="A192" s="120">
        <v>5205701000</v>
      </c>
      <c r="B192" s="120" t="s">
        <v>380</v>
      </c>
      <c r="C192" s="120" t="s">
        <v>385</v>
      </c>
      <c r="D192" s="120">
        <v>896.8</v>
      </c>
    </row>
    <row r="193" spans="1:4" x14ac:dyDescent="0.2">
      <c r="A193" s="120">
        <v>5160200000</v>
      </c>
      <c r="B193" s="120" t="s">
        <v>386</v>
      </c>
      <c r="C193" s="120" t="s">
        <v>387</v>
      </c>
      <c r="D193" s="120">
        <v>604.20000000000005</v>
      </c>
    </row>
    <row r="194" spans="1:4" x14ac:dyDescent="0.2">
      <c r="A194" s="120">
        <v>5260100000</v>
      </c>
      <c r="B194" s="120" t="s">
        <v>386</v>
      </c>
      <c r="C194" s="120" t="s">
        <v>388</v>
      </c>
      <c r="D194" s="120">
        <v>27.16</v>
      </c>
    </row>
    <row r="195" spans="1:4" x14ac:dyDescent="0.2">
      <c r="A195" s="120">
        <v>5260200000</v>
      </c>
      <c r="B195" s="120" t="s">
        <v>386</v>
      </c>
      <c r="C195" s="120" t="s">
        <v>334</v>
      </c>
      <c r="D195" s="120">
        <v>7704.96</v>
      </c>
    </row>
    <row r="196" spans="1:4" x14ac:dyDescent="0.2">
      <c r="A196" s="120">
        <v>5260150000</v>
      </c>
      <c r="B196" s="120" t="s">
        <v>386</v>
      </c>
    </row>
    <row r="197" spans="1:4" x14ac:dyDescent="0.2">
      <c r="A197" s="120">
        <v>5260350000</v>
      </c>
      <c r="B197" s="120" t="s">
        <v>386</v>
      </c>
    </row>
    <row r="198" spans="1:4" x14ac:dyDescent="0.2">
      <c r="A198" s="120">
        <v>5160150000</v>
      </c>
      <c r="B198" s="120" t="s">
        <v>389</v>
      </c>
    </row>
    <row r="199" spans="1:4" x14ac:dyDescent="0.2">
      <c r="A199" s="120">
        <v>5145150100</v>
      </c>
      <c r="B199" s="120" t="s">
        <v>390</v>
      </c>
    </row>
    <row r="200" spans="1:4" x14ac:dyDescent="0.2">
      <c r="A200" s="120">
        <v>5235300000</v>
      </c>
      <c r="B200" s="120" t="s">
        <v>390</v>
      </c>
    </row>
    <row r="201" spans="1:4" x14ac:dyDescent="0.2">
      <c r="A201" s="120">
        <v>5245100000</v>
      </c>
      <c r="B201" s="120" t="s">
        <v>390</v>
      </c>
    </row>
    <row r="202" spans="1:4" x14ac:dyDescent="0.2">
      <c r="A202" s="120">
        <v>5245150000</v>
      </c>
      <c r="B202" s="120" t="s">
        <v>390</v>
      </c>
    </row>
    <row r="203" spans="1:4" x14ac:dyDescent="0.2">
      <c r="A203" s="120">
        <v>5245150100</v>
      </c>
      <c r="B203" s="120" t="s">
        <v>390</v>
      </c>
    </row>
    <row r="204" spans="1:4" x14ac:dyDescent="0.2">
      <c r="A204" s="120">
        <v>5245200000</v>
      </c>
      <c r="B204" s="120" t="s">
        <v>390</v>
      </c>
    </row>
    <row r="205" spans="1:4" x14ac:dyDescent="0.2">
      <c r="A205" s="120">
        <v>5245250000</v>
      </c>
      <c r="B205" s="120" t="s">
        <v>390</v>
      </c>
    </row>
    <row r="206" spans="1:4" x14ac:dyDescent="0.2">
      <c r="A206" s="120">
        <v>5250050000</v>
      </c>
      <c r="B206" s="120" t="s">
        <v>390</v>
      </c>
    </row>
    <row r="207" spans="1:4" x14ac:dyDescent="0.2">
      <c r="A207" s="120">
        <v>5250100000</v>
      </c>
      <c r="B207" s="120" t="s">
        <v>390</v>
      </c>
    </row>
    <row r="208" spans="1:4" x14ac:dyDescent="0.2">
      <c r="A208" s="120">
        <v>5250950000</v>
      </c>
      <c r="B208" s="120" t="s">
        <v>390</v>
      </c>
    </row>
    <row r="209" spans="1:2" x14ac:dyDescent="0.2">
      <c r="A209" s="120">
        <v>5295250000</v>
      </c>
      <c r="B209" s="120" t="s">
        <v>390</v>
      </c>
    </row>
    <row r="210" spans="1:2" x14ac:dyDescent="0.2">
      <c r="A210" s="120">
        <v>5295950300</v>
      </c>
      <c r="B210" s="120" t="s">
        <v>390</v>
      </c>
    </row>
    <row r="211" spans="1:2" x14ac:dyDescent="0.2">
      <c r="A211" s="120">
        <v>5235050000</v>
      </c>
      <c r="B211" s="120" t="s">
        <v>391</v>
      </c>
    </row>
    <row r="212" spans="1:2" x14ac:dyDescent="0.2">
      <c r="A212" s="120">
        <v>5235200000</v>
      </c>
      <c r="B212" s="120" t="s">
        <v>391</v>
      </c>
    </row>
    <row r="213" spans="1:2" x14ac:dyDescent="0.2">
      <c r="A213" s="120">
        <v>5235950100</v>
      </c>
      <c r="B213" s="120" t="s">
        <v>391</v>
      </c>
    </row>
    <row r="214" spans="1:2" x14ac:dyDescent="0.2">
      <c r="A214" s="120">
        <v>5235950400</v>
      </c>
      <c r="B214" s="120" t="s">
        <v>391</v>
      </c>
    </row>
    <row r="215" spans="1:2" x14ac:dyDescent="0.2">
      <c r="A215" s="120">
        <v>5235950500</v>
      </c>
      <c r="B215" s="120" t="s">
        <v>391</v>
      </c>
    </row>
    <row r="216" spans="1:2" x14ac:dyDescent="0.2">
      <c r="A216" s="120">
        <v>5235950600</v>
      </c>
      <c r="B216" s="120" t="s">
        <v>391</v>
      </c>
    </row>
    <row r="217" spans="1:2" x14ac:dyDescent="0.2">
      <c r="A217" s="120">
        <v>5235950600</v>
      </c>
      <c r="B217" s="120" t="s">
        <v>391</v>
      </c>
    </row>
    <row r="218" spans="1:2" x14ac:dyDescent="0.2">
      <c r="A218" s="120">
        <v>5235950600</v>
      </c>
      <c r="B218" s="120" t="s">
        <v>391</v>
      </c>
    </row>
    <row r="219" spans="1:2" x14ac:dyDescent="0.2">
      <c r="A219" s="120">
        <v>5295950500</v>
      </c>
      <c r="B219" s="120" t="s">
        <v>391</v>
      </c>
    </row>
    <row r="220" spans="1:2" x14ac:dyDescent="0.2">
      <c r="A220" s="120">
        <v>5295950100</v>
      </c>
      <c r="B220" s="120" t="s">
        <v>392</v>
      </c>
    </row>
    <row r="221" spans="1:2" x14ac:dyDescent="0.2">
      <c r="A221" s="120">
        <v>5299100000</v>
      </c>
      <c r="B221" s="120" t="s">
        <v>393</v>
      </c>
    </row>
    <row r="222" spans="1:2" x14ac:dyDescent="0.2">
      <c r="A222" s="120">
        <v>5160100000</v>
      </c>
      <c r="B222" s="120" t="s">
        <v>394</v>
      </c>
    </row>
    <row r="223" spans="1:2" x14ac:dyDescent="0.2">
      <c r="B223" s="120" t="s">
        <v>395</v>
      </c>
    </row>
    <row r="224" spans="1:2" x14ac:dyDescent="0.2">
      <c r="A224" s="120">
        <v>5205630100</v>
      </c>
      <c r="B224" s="120" t="s">
        <v>396</v>
      </c>
    </row>
    <row r="225" spans="1:2" x14ac:dyDescent="0.2">
      <c r="A225" s="120">
        <v>5205630200</v>
      </c>
      <c r="B225" s="120" t="s">
        <v>396</v>
      </c>
    </row>
    <row r="226" spans="1:2" x14ac:dyDescent="0.2">
      <c r="A226" s="120">
        <v>5205060100</v>
      </c>
      <c r="B226" s="120" t="s">
        <v>397</v>
      </c>
    </row>
    <row r="227" spans="1:2" x14ac:dyDescent="0.2">
      <c r="A227" s="120">
        <v>5205150100</v>
      </c>
      <c r="B227" s="120" t="s">
        <v>397</v>
      </c>
    </row>
    <row r="228" spans="1:2" x14ac:dyDescent="0.2">
      <c r="A228" s="120">
        <v>5205360100</v>
      </c>
      <c r="B228" s="120" t="s">
        <v>398</v>
      </c>
    </row>
    <row r="229" spans="1:2" x14ac:dyDescent="0.2">
      <c r="A229" s="120">
        <v>5205390100</v>
      </c>
      <c r="B229" s="120" t="s">
        <v>398</v>
      </c>
    </row>
    <row r="230" spans="1:2" x14ac:dyDescent="0.2">
      <c r="A230" s="120">
        <v>5205600100</v>
      </c>
      <c r="B230" s="120" t="s">
        <v>398</v>
      </c>
    </row>
    <row r="231" spans="1:2" x14ac:dyDescent="0.2">
      <c r="A231" s="120">
        <v>5205690100</v>
      </c>
      <c r="B231" s="120" t="s">
        <v>398</v>
      </c>
    </row>
    <row r="232" spans="1:2" x14ac:dyDescent="0.2">
      <c r="A232" s="120">
        <v>5205700100</v>
      </c>
      <c r="B232" s="120" t="s">
        <v>398</v>
      </c>
    </row>
    <row r="233" spans="1:2" x14ac:dyDescent="0.2">
      <c r="A233" s="120">
        <v>5205700100</v>
      </c>
      <c r="B233" s="120" t="s">
        <v>398</v>
      </c>
    </row>
    <row r="234" spans="1:2" x14ac:dyDescent="0.2">
      <c r="A234" s="120">
        <v>5205700200</v>
      </c>
      <c r="B234" s="120" t="s">
        <v>398</v>
      </c>
    </row>
    <row r="235" spans="1:2" x14ac:dyDescent="0.2">
      <c r="A235" s="120">
        <v>5205780100</v>
      </c>
      <c r="B235" s="120" t="s">
        <v>398</v>
      </c>
    </row>
    <row r="236" spans="1:2" x14ac:dyDescent="0.2">
      <c r="A236" s="120">
        <v>5205660100</v>
      </c>
      <c r="B236" s="120" t="s">
        <v>399</v>
      </c>
    </row>
    <row r="237" spans="1:2" x14ac:dyDescent="0.2">
      <c r="A237" s="120">
        <v>5210250000</v>
      </c>
      <c r="B237" s="120" t="s">
        <v>400</v>
      </c>
    </row>
    <row r="238" spans="1:2" x14ac:dyDescent="0.2">
      <c r="A238" s="120">
        <v>5210350000</v>
      </c>
      <c r="B238" s="120" t="s">
        <v>400</v>
      </c>
    </row>
    <row r="239" spans="1:2" x14ac:dyDescent="0.2">
      <c r="A239" s="120">
        <v>5210950000</v>
      </c>
      <c r="B239" s="120" t="s">
        <v>400</v>
      </c>
    </row>
    <row r="240" spans="1:2" x14ac:dyDescent="0.2">
      <c r="A240" s="120">
        <v>5115950000</v>
      </c>
      <c r="B240" s="120" t="s">
        <v>401</v>
      </c>
    </row>
    <row r="241" spans="1:2" x14ac:dyDescent="0.2">
      <c r="A241" s="120">
        <v>5215100000</v>
      </c>
      <c r="B241" s="120" t="s">
        <v>401</v>
      </c>
    </row>
    <row r="242" spans="1:2" x14ac:dyDescent="0.2">
      <c r="A242" s="120">
        <v>5215950000</v>
      </c>
      <c r="B242" s="120" t="s">
        <v>401</v>
      </c>
    </row>
    <row r="243" spans="1:2" x14ac:dyDescent="0.2">
      <c r="A243" s="120">
        <v>5240100000</v>
      </c>
      <c r="B243" s="120" t="s">
        <v>401</v>
      </c>
    </row>
    <row r="244" spans="1:2" x14ac:dyDescent="0.2">
      <c r="A244" s="120">
        <v>5240150000</v>
      </c>
      <c r="B244" s="120" t="s">
        <v>401</v>
      </c>
    </row>
    <row r="245" spans="1:2" x14ac:dyDescent="0.2">
      <c r="A245" s="120">
        <v>5245400000</v>
      </c>
      <c r="B245" s="120" t="s">
        <v>402</v>
      </c>
    </row>
    <row r="246" spans="1:2" x14ac:dyDescent="0.2">
      <c r="A246" s="120">
        <v>5295350000</v>
      </c>
      <c r="B246" s="120" t="s">
        <v>402</v>
      </c>
    </row>
    <row r="247" spans="1:2" x14ac:dyDescent="0.2">
      <c r="A247" s="120">
        <v>5295100000</v>
      </c>
      <c r="B247" s="120" t="s">
        <v>403</v>
      </c>
    </row>
    <row r="248" spans="1:2" x14ac:dyDescent="0.2">
      <c r="A248" s="120">
        <v>5295300000</v>
      </c>
      <c r="B248" s="120" t="s">
        <v>403</v>
      </c>
    </row>
    <row r="249" spans="1:2" x14ac:dyDescent="0.2">
      <c r="A249" s="120">
        <v>5235600000</v>
      </c>
      <c r="B249" s="120" t="s">
        <v>404</v>
      </c>
    </row>
    <row r="250" spans="1:2" x14ac:dyDescent="0.2">
      <c r="A250" s="120">
        <v>5235350000</v>
      </c>
      <c r="B250" s="120" t="s">
        <v>405</v>
      </c>
    </row>
    <row r="251" spans="1:2" x14ac:dyDescent="0.2">
      <c r="A251" s="120">
        <v>5235400100</v>
      </c>
      <c r="B251" s="120" t="s">
        <v>405</v>
      </c>
    </row>
    <row r="252" spans="1:2" x14ac:dyDescent="0.2">
      <c r="A252" s="120">
        <v>5235400200</v>
      </c>
      <c r="B252" s="120" t="s">
        <v>405</v>
      </c>
    </row>
    <row r="253" spans="1:2" x14ac:dyDescent="0.2">
      <c r="A253" s="120">
        <v>5235450000</v>
      </c>
      <c r="B253" s="120" t="s">
        <v>405</v>
      </c>
    </row>
    <row r="254" spans="1:2" x14ac:dyDescent="0.2">
      <c r="A254" s="120">
        <v>5230250000</v>
      </c>
      <c r="B254" s="120" t="s">
        <v>406</v>
      </c>
    </row>
    <row r="255" spans="1:2" x14ac:dyDescent="0.2">
      <c r="A255" s="120">
        <v>5230950000</v>
      </c>
      <c r="B255" s="120" t="s">
        <v>406</v>
      </c>
    </row>
    <row r="256" spans="1:2" x14ac:dyDescent="0.2">
      <c r="A256" s="120">
        <v>5295700000</v>
      </c>
      <c r="B256" s="120" t="s">
        <v>406</v>
      </c>
    </row>
    <row r="257" spans="1:2" x14ac:dyDescent="0.2">
      <c r="A257" s="120">
        <v>5225100000</v>
      </c>
      <c r="B257" s="120" t="s">
        <v>407</v>
      </c>
    </row>
    <row r="258" spans="1:2" x14ac:dyDescent="0.2">
      <c r="A258" s="120">
        <v>5205480100</v>
      </c>
      <c r="B258" s="120" t="s">
        <v>408</v>
      </c>
    </row>
    <row r="259" spans="1:2" x14ac:dyDescent="0.2">
      <c r="A259" s="120">
        <v>5205480200</v>
      </c>
      <c r="B259" s="120" t="s">
        <v>408</v>
      </c>
    </row>
    <row r="260" spans="1:2" x14ac:dyDescent="0.2">
      <c r="A260" s="120">
        <v>5205481000</v>
      </c>
      <c r="B260" s="120" t="s">
        <v>408</v>
      </c>
    </row>
    <row r="261" spans="1:2" x14ac:dyDescent="0.2">
      <c r="A261" s="120">
        <v>5205481100</v>
      </c>
      <c r="B261" s="120" t="s">
        <v>408</v>
      </c>
    </row>
    <row r="262" spans="1:2" x14ac:dyDescent="0.2">
      <c r="A262" s="120">
        <v>5205210100</v>
      </c>
      <c r="B262" s="120" t="s">
        <v>409</v>
      </c>
    </row>
    <row r="263" spans="1:2" x14ac:dyDescent="0.2">
      <c r="A263" s="120">
        <v>5205210200</v>
      </c>
      <c r="B263" s="120" t="s">
        <v>409</v>
      </c>
    </row>
    <row r="264" spans="1:2" x14ac:dyDescent="0.2">
      <c r="A264" s="120">
        <v>5255050100</v>
      </c>
      <c r="B264" s="120" t="s">
        <v>409</v>
      </c>
    </row>
    <row r="265" spans="1:2" x14ac:dyDescent="0.2">
      <c r="A265" s="120">
        <v>5255060100</v>
      </c>
      <c r="B265" s="120" t="s">
        <v>409</v>
      </c>
    </row>
    <row r="266" spans="1:2" x14ac:dyDescent="0.2">
      <c r="A266" s="120">
        <v>5255150100</v>
      </c>
      <c r="B266" s="120" t="s">
        <v>409</v>
      </c>
    </row>
    <row r="267" spans="1:2" x14ac:dyDescent="0.2">
      <c r="A267" s="120">
        <v>5255200100</v>
      </c>
      <c r="B267" s="120" t="s">
        <v>409</v>
      </c>
    </row>
    <row r="268" spans="1:2" x14ac:dyDescent="0.2">
      <c r="A268" s="120">
        <v>5255200200</v>
      </c>
      <c r="B268" s="120" t="s">
        <v>409</v>
      </c>
    </row>
    <row r="269" spans="1:2" x14ac:dyDescent="0.2">
      <c r="A269" s="120">
        <v>5255950100</v>
      </c>
      <c r="B269" s="120" t="s">
        <v>409</v>
      </c>
    </row>
    <row r="270" spans="1:2" x14ac:dyDescent="0.2">
      <c r="A270" s="120">
        <v>5240050000</v>
      </c>
      <c r="B270" s="120" t="s">
        <v>410</v>
      </c>
    </row>
    <row r="271" spans="1:2" x14ac:dyDescent="0.2">
      <c r="A271" s="120">
        <v>5240200400</v>
      </c>
      <c r="B271" s="120" t="s">
        <v>410</v>
      </c>
    </row>
    <row r="272" spans="1:2" x14ac:dyDescent="0.2">
      <c r="A272" s="120">
        <v>5220050000</v>
      </c>
      <c r="B272" s="120" t="s">
        <v>411</v>
      </c>
    </row>
    <row r="273" spans="1:2" x14ac:dyDescent="0.2">
      <c r="A273" s="120">
        <v>5220100000</v>
      </c>
      <c r="B273" s="120" t="s">
        <v>411</v>
      </c>
    </row>
    <row r="274" spans="1:2" x14ac:dyDescent="0.2">
      <c r="A274" s="120">
        <v>5220100100</v>
      </c>
      <c r="B274" s="120" t="s">
        <v>411</v>
      </c>
    </row>
    <row r="275" spans="1:2" x14ac:dyDescent="0.2">
      <c r="A275" s="120">
        <v>5220950000</v>
      </c>
      <c r="B275" s="120" t="s">
        <v>411</v>
      </c>
    </row>
    <row r="278" spans="1:2" x14ac:dyDescent="0.2">
      <c r="B278" s="120" t="s">
        <v>412</v>
      </c>
    </row>
    <row r="279" spans="1:2" x14ac:dyDescent="0.2">
      <c r="A279" s="120">
        <v>5105060000</v>
      </c>
      <c r="B279" s="120" t="s">
        <v>413</v>
      </c>
    </row>
    <row r="280" spans="1:2" x14ac:dyDescent="0.2">
      <c r="A280" s="120">
        <v>5105150000</v>
      </c>
      <c r="B280" s="120" t="s">
        <v>413</v>
      </c>
    </row>
    <row r="281" spans="1:2" x14ac:dyDescent="0.2">
      <c r="A281" s="120">
        <v>5105360000</v>
      </c>
      <c r="B281" s="120" t="s">
        <v>414</v>
      </c>
    </row>
    <row r="282" spans="1:2" x14ac:dyDescent="0.2">
      <c r="A282" s="120">
        <v>5105390000</v>
      </c>
      <c r="B282" s="120" t="s">
        <v>414</v>
      </c>
    </row>
    <row r="283" spans="1:2" x14ac:dyDescent="0.2">
      <c r="A283" s="120">
        <v>5105600000</v>
      </c>
      <c r="B283" s="120" t="s">
        <v>414</v>
      </c>
    </row>
    <row r="284" spans="1:2" x14ac:dyDescent="0.2">
      <c r="A284" s="120">
        <v>5105690000</v>
      </c>
      <c r="B284" s="120" t="s">
        <v>414</v>
      </c>
    </row>
    <row r="285" spans="1:2" x14ac:dyDescent="0.2">
      <c r="A285" s="120">
        <v>5105700000</v>
      </c>
      <c r="B285" s="120" t="s">
        <v>414</v>
      </c>
    </row>
    <row r="286" spans="1:2" x14ac:dyDescent="0.2">
      <c r="A286" s="120">
        <v>5105780000</v>
      </c>
      <c r="B286" s="120" t="s">
        <v>414</v>
      </c>
    </row>
    <row r="287" spans="1:2" x14ac:dyDescent="0.2">
      <c r="A287" s="120">
        <v>5105950000</v>
      </c>
      <c r="B287" s="120" t="s">
        <v>414</v>
      </c>
    </row>
    <row r="288" spans="1:2" x14ac:dyDescent="0.2">
      <c r="A288" s="120">
        <v>5105180000</v>
      </c>
      <c r="B288" s="120" t="s">
        <v>415</v>
      </c>
    </row>
    <row r="289" spans="1:2" x14ac:dyDescent="0.2">
      <c r="A289" s="120">
        <v>5105630000</v>
      </c>
      <c r="B289" s="120" t="s">
        <v>416</v>
      </c>
    </row>
    <row r="290" spans="1:2" x14ac:dyDescent="0.2">
      <c r="A290" s="120">
        <v>5105391000</v>
      </c>
      <c r="B290" s="120" t="s">
        <v>417</v>
      </c>
    </row>
    <row r="291" spans="1:2" x14ac:dyDescent="0.2">
      <c r="A291" s="120">
        <v>5105691000</v>
      </c>
      <c r="B291" s="120" t="s">
        <v>417</v>
      </c>
    </row>
    <row r="292" spans="1:2" x14ac:dyDescent="0.2">
      <c r="A292" s="120">
        <v>5105701000</v>
      </c>
      <c r="B292" s="120" t="s">
        <v>417</v>
      </c>
    </row>
    <row r="293" spans="1:2" x14ac:dyDescent="0.2">
      <c r="A293" s="120">
        <v>5135050000</v>
      </c>
      <c r="B293" s="120" t="s">
        <v>391</v>
      </c>
    </row>
    <row r="294" spans="1:2" x14ac:dyDescent="0.2">
      <c r="A294" s="120">
        <v>5135150000</v>
      </c>
      <c r="B294" s="120" t="s">
        <v>391</v>
      </c>
    </row>
    <row r="295" spans="1:2" x14ac:dyDescent="0.2">
      <c r="A295" s="120">
        <v>5135200000</v>
      </c>
      <c r="B295" s="120" t="s">
        <v>391</v>
      </c>
    </row>
    <row r="296" spans="1:2" x14ac:dyDescent="0.2">
      <c r="A296" s="120">
        <v>5135950500</v>
      </c>
      <c r="B296" s="120" t="s">
        <v>391</v>
      </c>
    </row>
    <row r="297" spans="1:2" x14ac:dyDescent="0.2">
      <c r="A297" s="120">
        <v>5120100000</v>
      </c>
      <c r="B297" s="120" t="s">
        <v>418</v>
      </c>
    </row>
    <row r="298" spans="1:2" x14ac:dyDescent="0.2">
      <c r="A298" s="120">
        <v>5105660000</v>
      </c>
      <c r="B298" s="120" t="s">
        <v>419</v>
      </c>
    </row>
    <row r="299" spans="1:2" x14ac:dyDescent="0.2">
      <c r="A299" s="120">
        <v>5155960000</v>
      </c>
      <c r="B299" s="120" t="s">
        <v>419</v>
      </c>
    </row>
    <row r="300" spans="1:2" x14ac:dyDescent="0.2">
      <c r="A300" s="120">
        <v>5195950300</v>
      </c>
      <c r="B300" s="120" t="s">
        <v>420</v>
      </c>
    </row>
    <row r="301" spans="1:2" x14ac:dyDescent="0.2">
      <c r="A301" s="120">
        <v>5110100000</v>
      </c>
      <c r="B301" s="120" t="s">
        <v>421</v>
      </c>
    </row>
    <row r="302" spans="1:2" x14ac:dyDescent="0.2">
      <c r="A302" s="120">
        <v>5110200000</v>
      </c>
      <c r="B302" s="120" t="s">
        <v>421</v>
      </c>
    </row>
    <row r="303" spans="1:2" x14ac:dyDescent="0.2">
      <c r="A303" s="120">
        <v>5110250000</v>
      </c>
      <c r="B303" s="120" t="s">
        <v>421</v>
      </c>
    </row>
    <row r="304" spans="1:2" x14ac:dyDescent="0.2">
      <c r="A304" s="120">
        <v>5110300000</v>
      </c>
      <c r="B304" s="120" t="s">
        <v>421</v>
      </c>
    </row>
    <row r="305" spans="1:2" x14ac:dyDescent="0.2">
      <c r="A305" s="120">
        <v>5110350000</v>
      </c>
      <c r="B305" s="120" t="s">
        <v>421</v>
      </c>
    </row>
    <row r="306" spans="1:2" x14ac:dyDescent="0.2">
      <c r="A306" s="120">
        <v>5110950000</v>
      </c>
      <c r="B306" s="120" t="s">
        <v>421</v>
      </c>
    </row>
    <row r="307" spans="1:2" x14ac:dyDescent="0.2">
      <c r="A307" s="120">
        <v>5130</v>
      </c>
      <c r="B307" s="120" t="s">
        <v>422</v>
      </c>
    </row>
    <row r="308" spans="1:2" x14ac:dyDescent="0.2">
      <c r="A308" s="120">
        <v>5145400000</v>
      </c>
      <c r="B308" s="120" t="s">
        <v>423</v>
      </c>
    </row>
    <row r="309" spans="1:2" x14ac:dyDescent="0.2">
      <c r="A309" s="120">
        <v>5195350000</v>
      </c>
      <c r="B309" s="120" t="s">
        <v>423</v>
      </c>
    </row>
    <row r="310" spans="1:2" x14ac:dyDescent="0.2">
      <c r="A310" s="120">
        <v>5195300000</v>
      </c>
      <c r="B310" s="120" t="s">
        <v>403</v>
      </c>
    </row>
    <row r="311" spans="1:2" x14ac:dyDescent="0.2">
      <c r="A311" s="120">
        <v>5135350000</v>
      </c>
      <c r="B311" s="120" t="s">
        <v>424</v>
      </c>
    </row>
    <row r="312" spans="1:2" x14ac:dyDescent="0.2">
      <c r="A312" s="120">
        <v>5145050000</v>
      </c>
      <c r="B312" s="120" t="s">
        <v>425</v>
      </c>
    </row>
    <row r="313" spans="1:2" x14ac:dyDescent="0.2">
      <c r="A313" s="120">
        <v>5145100000</v>
      </c>
      <c r="B313" s="120" t="s">
        <v>425</v>
      </c>
    </row>
    <row r="314" spans="1:2" x14ac:dyDescent="0.2">
      <c r="A314" s="120">
        <v>5145200000</v>
      </c>
      <c r="B314" s="120" t="s">
        <v>425</v>
      </c>
    </row>
    <row r="315" spans="1:2" x14ac:dyDescent="0.2">
      <c r="A315" s="120">
        <v>5145250000</v>
      </c>
      <c r="B315" s="120" t="s">
        <v>425</v>
      </c>
    </row>
    <row r="316" spans="1:2" x14ac:dyDescent="0.2">
      <c r="A316" s="120">
        <v>5150050000</v>
      </c>
      <c r="B316" s="120" t="s">
        <v>425</v>
      </c>
    </row>
    <row r="317" spans="1:2" x14ac:dyDescent="0.2">
      <c r="A317" s="120">
        <v>5150100000</v>
      </c>
      <c r="B317" s="120" t="s">
        <v>425</v>
      </c>
    </row>
    <row r="318" spans="1:2" x14ac:dyDescent="0.2">
      <c r="A318" s="120">
        <v>5150150000</v>
      </c>
      <c r="B318" s="120" t="s">
        <v>425</v>
      </c>
    </row>
    <row r="319" spans="1:2" x14ac:dyDescent="0.2">
      <c r="A319" s="120">
        <v>5150950000</v>
      </c>
      <c r="B319" s="120" t="s">
        <v>425</v>
      </c>
    </row>
    <row r="320" spans="1:2" x14ac:dyDescent="0.2">
      <c r="A320" s="120">
        <v>5195150000</v>
      </c>
      <c r="B320" s="120" t="s">
        <v>425</v>
      </c>
    </row>
    <row r="321" spans="1:2" x14ac:dyDescent="0.2">
      <c r="A321" s="120">
        <v>5195250000</v>
      </c>
      <c r="B321" s="120" t="s">
        <v>425</v>
      </c>
    </row>
    <row r="322" spans="1:2" x14ac:dyDescent="0.2">
      <c r="A322" s="120">
        <v>5195400000</v>
      </c>
      <c r="B322" s="120" t="s">
        <v>425</v>
      </c>
    </row>
    <row r="323" spans="1:2" x14ac:dyDescent="0.2">
      <c r="A323" s="134">
        <v>5140050000</v>
      </c>
      <c r="B323" s="120" t="s">
        <v>426</v>
      </c>
    </row>
    <row r="324" spans="1:2" x14ac:dyDescent="0.2">
      <c r="A324" s="134">
        <v>5140100000</v>
      </c>
      <c r="B324" s="120" t="s">
        <v>427</v>
      </c>
    </row>
    <row r="325" spans="1:2" x14ac:dyDescent="0.2">
      <c r="A325" s="120">
        <v>5105210000</v>
      </c>
      <c r="B325" s="120" t="s">
        <v>428</v>
      </c>
    </row>
    <row r="326" spans="1:2" x14ac:dyDescent="0.2">
      <c r="A326" s="120">
        <v>5155050000</v>
      </c>
      <c r="B326" s="120" t="s">
        <v>428</v>
      </c>
    </row>
    <row r="327" spans="1:2" x14ac:dyDescent="0.2">
      <c r="A327" s="120">
        <v>5155060000</v>
      </c>
      <c r="B327" s="120" t="s">
        <v>428</v>
      </c>
    </row>
    <row r="328" spans="1:2" x14ac:dyDescent="0.2">
      <c r="A328" s="120">
        <v>5155150000</v>
      </c>
      <c r="B328" s="120" t="s">
        <v>428</v>
      </c>
    </row>
    <row r="329" spans="1:2" x14ac:dyDescent="0.2">
      <c r="A329" s="120">
        <v>5155200000</v>
      </c>
      <c r="B329" s="120" t="s">
        <v>428</v>
      </c>
    </row>
    <row r="330" spans="1:2" x14ac:dyDescent="0.2">
      <c r="A330" s="120">
        <v>5155950000</v>
      </c>
      <c r="B330" s="120" t="s">
        <v>428</v>
      </c>
    </row>
    <row r="332" spans="1:2" x14ac:dyDescent="0.2">
      <c r="B332" s="120" t="s">
        <v>429</v>
      </c>
    </row>
    <row r="333" spans="1:2" x14ac:dyDescent="0.2">
      <c r="A333" s="120">
        <v>5135950300</v>
      </c>
      <c r="B333" s="120" t="s">
        <v>430</v>
      </c>
    </row>
    <row r="334" spans="1:2" x14ac:dyDescent="0.2">
      <c r="A334" s="120">
        <v>5198530000</v>
      </c>
      <c r="B334" s="120" t="s">
        <v>430</v>
      </c>
    </row>
    <row r="335" spans="1:2" x14ac:dyDescent="0.2">
      <c r="A335" s="120">
        <v>5398050000</v>
      </c>
      <c r="B335" s="120" t="s">
        <v>430</v>
      </c>
    </row>
    <row r="336" spans="1:2" x14ac:dyDescent="0.2">
      <c r="A336" s="120">
        <v>5398210000</v>
      </c>
      <c r="B336" s="120" t="s">
        <v>431</v>
      </c>
    </row>
    <row r="337" spans="1:2" x14ac:dyDescent="0.2">
      <c r="A337" s="120">
        <v>5110358000</v>
      </c>
      <c r="B337" s="120" t="s">
        <v>432</v>
      </c>
    </row>
    <row r="338" spans="1:2" x14ac:dyDescent="0.2">
      <c r="A338" s="120">
        <v>5210358000</v>
      </c>
      <c r="B338" s="120" t="s">
        <v>432</v>
      </c>
    </row>
    <row r="340" spans="1:2" x14ac:dyDescent="0.2">
      <c r="B340" s="120" t="s">
        <v>433</v>
      </c>
    </row>
    <row r="341" spans="1:2" x14ac:dyDescent="0.2">
      <c r="A341" s="120">
        <v>4210200100</v>
      </c>
      <c r="B341" s="120" t="s">
        <v>434</v>
      </c>
    </row>
    <row r="342" spans="1:2" x14ac:dyDescent="0.2">
      <c r="A342" s="120">
        <v>4210200200</v>
      </c>
      <c r="B342" s="120" t="s">
        <v>434</v>
      </c>
    </row>
    <row r="343" spans="1:2" x14ac:dyDescent="0.2">
      <c r="A343" s="120">
        <v>4210200400</v>
      </c>
      <c r="B343" s="120" t="s">
        <v>435</v>
      </c>
    </row>
    <row r="344" spans="1:2" x14ac:dyDescent="0.2">
      <c r="A344" s="120">
        <v>4210200500</v>
      </c>
      <c r="B344" s="120" t="s">
        <v>435</v>
      </c>
    </row>
    <row r="345" spans="1:2" x14ac:dyDescent="0.2">
      <c r="A345" s="120">
        <v>4210200501</v>
      </c>
      <c r="B345" s="120" t="s">
        <v>435</v>
      </c>
    </row>
    <row r="346" spans="1:2" x14ac:dyDescent="0.2">
      <c r="A346" s="120">
        <v>4210201000</v>
      </c>
      <c r="B346" s="120" t="s">
        <v>435</v>
      </c>
    </row>
    <row r="347" spans="1:2" x14ac:dyDescent="0.2">
      <c r="A347" s="120">
        <v>4210201001</v>
      </c>
      <c r="B347" s="120" t="s">
        <v>435</v>
      </c>
    </row>
    <row r="348" spans="1:2" x14ac:dyDescent="0.2">
      <c r="A348" s="120">
        <v>4210201100</v>
      </c>
      <c r="B348" s="120" t="s">
        <v>435</v>
      </c>
    </row>
    <row r="349" spans="1:2" x14ac:dyDescent="0.2">
      <c r="A349" s="120">
        <v>4210051000</v>
      </c>
      <c r="B349" s="120" t="s">
        <v>436</v>
      </c>
    </row>
    <row r="350" spans="1:2" x14ac:dyDescent="0.2">
      <c r="A350" s="120">
        <v>4210201000</v>
      </c>
      <c r="B350" s="120" t="s">
        <v>436</v>
      </c>
    </row>
    <row r="351" spans="1:2" x14ac:dyDescent="0.2">
      <c r="A351" s="120">
        <v>4210400000</v>
      </c>
      <c r="B351" s="120" t="s">
        <v>436</v>
      </c>
    </row>
    <row r="352" spans="1:2" x14ac:dyDescent="0.2">
      <c r="A352" s="120">
        <v>4245010000</v>
      </c>
      <c r="B352" s="120" t="s">
        <v>436</v>
      </c>
    </row>
    <row r="353" spans="1:2" x14ac:dyDescent="0.2">
      <c r="A353" s="120">
        <v>4250500100</v>
      </c>
      <c r="B353" s="120" t="s">
        <v>436</v>
      </c>
    </row>
    <row r="354" spans="1:2" x14ac:dyDescent="0.2">
      <c r="A354" s="120">
        <v>4250500200</v>
      </c>
      <c r="B354" s="120" t="s">
        <v>436</v>
      </c>
    </row>
    <row r="355" spans="1:2" x14ac:dyDescent="0.2">
      <c r="A355" s="120">
        <v>4250500300</v>
      </c>
      <c r="B355" s="120" t="s">
        <v>436</v>
      </c>
    </row>
    <row r="356" spans="1:2" x14ac:dyDescent="0.2">
      <c r="A356" s="120">
        <v>4250506600</v>
      </c>
      <c r="B356" s="120" t="s">
        <v>436</v>
      </c>
    </row>
    <row r="357" spans="1:2" x14ac:dyDescent="0.2">
      <c r="A357" s="120">
        <v>4255200000</v>
      </c>
      <c r="B357" s="120" t="s">
        <v>436</v>
      </c>
    </row>
    <row r="358" spans="1:2" x14ac:dyDescent="0.2">
      <c r="A358" s="120">
        <v>4295050000</v>
      </c>
      <c r="B358" s="120" t="s">
        <v>436</v>
      </c>
    </row>
    <row r="359" spans="1:2" x14ac:dyDescent="0.2">
      <c r="A359" s="120">
        <v>4295810000</v>
      </c>
      <c r="B359" s="120" t="s">
        <v>436</v>
      </c>
    </row>
    <row r="361" spans="1:2" x14ac:dyDescent="0.2">
      <c r="B361" s="120" t="s">
        <v>437</v>
      </c>
    </row>
    <row r="362" spans="1:2" x14ac:dyDescent="0.2">
      <c r="A362" s="120">
        <v>5305350000</v>
      </c>
      <c r="B362" s="120" t="s">
        <v>438</v>
      </c>
    </row>
    <row r="363" spans="1:2" x14ac:dyDescent="0.2">
      <c r="A363" s="120">
        <v>5310150000</v>
      </c>
      <c r="B363" s="120" t="s">
        <v>438</v>
      </c>
    </row>
    <row r="364" spans="1:2" x14ac:dyDescent="0.2">
      <c r="A364" s="120">
        <v>5310300000</v>
      </c>
      <c r="B364" s="120" t="s">
        <v>438</v>
      </c>
    </row>
    <row r="365" spans="1:2" x14ac:dyDescent="0.2">
      <c r="A365" s="120">
        <v>5310350000</v>
      </c>
      <c r="B365" s="120" t="s">
        <v>438</v>
      </c>
    </row>
    <row r="366" spans="1:2" x14ac:dyDescent="0.2">
      <c r="A366" s="120">
        <v>5313050000</v>
      </c>
      <c r="B366" s="120" t="s">
        <v>438</v>
      </c>
    </row>
    <row r="367" spans="1:2" x14ac:dyDescent="0.2">
      <c r="A367" s="120">
        <v>5315150200</v>
      </c>
      <c r="B367" s="120" t="s">
        <v>438</v>
      </c>
    </row>
    <row r="368" spans="1:2" x14ac:dyDescent="0.2">
      <c r="A368" s="120">
        <v>5315160000</v>
      </c>
      <c r="B368" s="120" t="s">
        <v>438</v>
      </c>
    </row>
    <row r="369" spans="1:3" x14ac:dyDescent="0.2">
      <c r="A369" s="120">
        <v>5315200000</v>
      </c>
      <c r="B369" s="120" t="s">
        <v>438</v>
      </c>
    </row>
    <row r="370" spans="1:3" x14ac:dyDescent="0.2">
      <c r="A370" s="120">
        <v>5315200100</v>
      </c>
      <c r="B370" s="120" t="s">
        <v>438</v>
      </c>
    </row>
    <row r="371" spans="1:3" x14ac:dyDescent="0.2">
      <c r="A371" s="120">
        <v>5315950000</v>
      </c>
      <c r="B371" s="120" t="s">
        <v>438</v>
      </c>
    </row>
    <row r="372" spans="1:3" x14ac:dyDescent="0.2">
      <c r="A372" s="120">
        <v>5395200000</v>
      </c>
      <c r="B372" s="120" t="s">
        <v>438</v>
      </c>
    </row>
    <row r="373" spans="1:3" x14ac:dyDescent="0.2">
      <c r="A373" s="120">
        <v>5395300000</v>
      </c>
      <c r="B373" s="120" t="s">
        <v>438</v>
      </c>
    </row>
    <row r="374" spans="1:3" x14ac:dyDescent="0.2">
      <c r="A374" s="120">
        <v>5395950000</v>
      </c>
      <c r="B374" s="120" t="s">
        <v>438</v>
      </c>
    </row>
    <row r="375" spans="1:3" x14ac:dyDescent="0.2">
      <c r="A375" s="120">
        <v>5305250500</v>
      </c>
      <c r="B375" s="120" t="s">
        <v>439</v>
      </c>
    </row>
    <row r="376" spans="1:3" x14ac:dyDescent="0.2">
      <c r="A376" s="120">
        <v>5305050000</v>
      </c>
      <c r="B376" s="120" t="s">
        <v>440</v>
      </c>
      <c r="C376" s="120">
        <v>5305050000</v>
      </c>
    </row>
    <row r="377" spans="1:3" x14ac:dyDescent="0.2">
      <c r="A377" s="120">
        <v>5305150000</v>
      </c>
      <c r="B377" s="120" t="s">
        <v>440</v>
      </c>
      <c r="C377" s="120">
        <v>5305200100</v>
      </c>
    </row>
    <row r="378" spans="1:3" x14ac:dyDescent="0.2">
      <c r="A378" s="120">
        <v>5305200100</v>
      </c>
      <c r="B378" s="120" t="s">
        <v>440</v>
      </c>
      <c r="C378" s="120">
        <v>5305202200</v>
      </c>
    </row>
    <row r="379" spans="1:3" x14ac:dyDescent="0.2">
      <c r="A379" s="120">
        <v>5305200200</v>
      </c>
      <c r="B379" s="120" t="s">
        <v>440</v>
      </c>
      <c r="C379" s="120">
        <v>5305150000</v>
      </c>
    </row>
    <row r="380" spans="1:3" x14ac:dyDescent="0.2">
      <c r="A380" s="120">
        <v>5305200300</v>
      </c>
      <c r="B380" s="120" t="s">
        <v>440</v>
      </c>
      <c r="C380" s="120">
        <v>5305200101</v>
      </c>
    </row>
    <row r="381" spans="1:3" x14ac:dyDescent="0.2">
      <c r="A381" s="120">
        <v>5305200400</v>
      </c>
      <c r="B381" s="120" t="s">
        <v>440</v>
      </c>
    </row>
    <row r="382" spans="1:3" x14ac:dyDescent="0.2">
      <c r="A382" s="120">
        <v>5305950000</v>
      </c>
      <c r="B382" s="120" t="s">
        <v>440</v>
      </c>
    </row>
    <row r="383" spans="1:3" x14ac:dyDescent="0.2">
      <c r="A383" s="120">
        <v>5315150000</v>
      </c>
      <c r="B383" s="120" t="s">
        <v>440</v>
      </c>
    </row>
    <row r="385" spans="1:2" x14ac:dyDescent="0.2">
      <c r="A385" s="120">
        <v>5405050100</v>
      </c>
      <c r="B385" s="120" t="s">
        <v>441</v>
      </c>
    </row>
    <row r="389" spans="1:2" x14ac:dyDescent="0.2">
      <c r="B389" s="120" t="s">
        <v>362</v>
      </c>
    </row>
    <row r="390" spans="1:2" x14ac:dyDescent="0.2">
      <c r="A390" s="120">
        <v>5205180100</v>
      </c>
      <c r="B390" s="120" t="s">
        <v>378</v>
      </c>
    </row>
    <row r="391" spans="1:2" x14ac:dyDescent="0.2">
      <c r="A391" s="120">
        <v>5205361000</v>
      </c>
      <c r="B391" s="120" t="s">
        <v>380</v>
      </c>
    </row>
    <row r="392" spans="1:2" x14ac:dyDescent="0.2">
      <c r="A392" s="120">
        <v>5205391000</v>
      </c>
      <c r="B392" s="120" t="s">
        <v>380</v>
      </c>
    </row>
    <row r="393" spans="1:2" x14ac:dyDescent="0.2">
      <c r="A393" s="120">
        <v>5205422000</v>
      </c>
      <c r="B393" s="120" t="s">
        <v>380</v>
      </c>
    </row>
    <row r="394" spans="1:2" x14ac:dyDescent="0.2">
      <c r="A394" s="120">
        <v>5205691000</v>
      </c>
      <c r="B394" s="120" t="s">
        <v>380</v>
      </c>
    </row>
    <row r="395" spans="1:2" x14ac:dyDescent="0.2">
      <c r="A395" s="120">
        <v>5205701000</v>
      </c>
      <c r="B395" s="120" t="s">
        <v>380</v>
      </c>
    </row>
    <row r="396" spans="1:2" x14ac:dyDescent="0.2">
      <c r="A396" s="120">
        <v>5205060100</v>
      </c>
      <c r="B396" s="120" t="s">
        <v>397</v>
      </c>
    </row>
    <row r="397" spans="1:2" x14ac:dyDescent="0.2">
      <c r="A397" s="120">
        <v>5205150100</v>
      </c>
      <c r="B397" s="120" t="s">
        <v>397</v>
      </c>
    </row>
    <row r="398" spans="1:2" x14ac:dyDescent="0.2">
      <c r="A398" s="120">
        <v>5205360100</v>
      </c>
      <c r="B398" s="120" t="s">
        <v>398</v>
      </c>
    </row>
    <row r="399" spans="1:2" x14ac:dyDescent="0.2">
      <c r="A399" s="120">
        <v>5205390100</v>
      </c>
      <c r="B399" s="120" t="s">
        <v>398</v>
      </c>
    </row>
    <row r="400" spans="1:2" x14ac:dyDescent="0.2">
      <c r="A400" s="120">
        <v>5205600100</v>
      </c>
      <c r="B400" s="120" t="s">
        <v>398</v>
      </c>
    </row>
    <row r="401" spans="1:2" x14ac:dyDescent="0.2">
      <c r="A401" s="120">
        <v>5205690100</v>
      </c>
      <c r="B401" s="120" t="s">
        <v>398</v>
      </c>
    </row>
    <row r="402" spans="1:2" x14ac:dyDescent="0.2">
      <c r="A402" s="120">
        <v>5205700100</v>
      </c>
      <c r="B402" s="120" t="s">
        <v>398</v>
      </c>
    </row>
    <row r="403" spans="1:2" x14ac:dyDescent="0.2">
      <c r="A403" s="120">
        <v>5205700100</v>
      </c>
      <c r="B403" s="120" t="s">
        <v>398</v>
      </c>
    </row>
    <row r="404" spans="1:2" x14ac:dyDescent="0.2">
      <c r="A404" s="120">
        <v>5205700200</v>
      </c>
      <c r="B404" s="120" t="s">
        <v>398</v>
      </c>
    </row>
    <row r="405" spans="1:2" x14ac:dyDescent="0.2">
      <c r="A405" s="120">
        <v>5205780100</v>
      </c>
      <c r="B405" s="120" t="s">
        <v>398</v>
      </c>
    </row>
    <row r="406" spans="1:2" x14ac:dyDescent="0.2">
      <c r="A406" s="120">
        <v>5105060000</v>
      </c>
      <c r="B406" s="120" t="s">
        <v>413</v>
      </c>
    </row>
    <row r="407" spans="1:2" x14ac:dyDescent="0.2">
      <c r="A407" s="120">
        <v>5105150000</v>
      </c>
      <c r="B407" s="120" t="s">
        <v>413</v>
      </c>
    </row>
    <row r="408" spans="1:2" x14ac:dyDescent="0.2">
      <c r="A408" s="120">
        <v>5105360000</v>
      </c>
      <c r="B408" s="120" t="s">
        <v>414</v>
      </c>
    </row>
    <row r="409" spans="1:2" x14ac:dyDescent="0.2">
      <c r="A409" s="120">
        <v>5105390000</v>
      </c>
      <c r="B409" s="120" t="s">
        <v>414</v>
      </c>
    </row>
    <row r="410" spans="1:2" x14ac:dyDescent="0.2">
      <c r="A410" s="120">
        <v>5105600000</v>
      </c>
      <c r="B410" s="120" t="s">
        <v>414</v>
      </c>
    </row>
    <row r="411" spans="1:2" x14ac:dyDescent="0.2">
      <c r="A411" s="120">
        <v>5105690000</v>
      </c>
      <c r="B411" s="120" t="s">
        <v>414</v>
      </c>
    </row>
    <row r="412" spans="1:2" x14ac:dyDescent="0.2">
      <c r="A412" s="120">
        <v>5105700000</v>
      </c>
      <c r="B412" s="120" t="s">
        <v>414</v>
      </c>
    </row>
    <row r="413" spans="1:2" x14ac:dyDescent="0.2">
      <c r="A413" s="120">
        <v>5105780000</v>
      </c>
      <c r="B413" s="120" t="s">
        <v>414</v>
      </c>
    </row>
    <row r="414" spans="1:2" x14ac:dyDescent="0.2">
      <c r="A414" s="120">
        <v>5105950000</v>
      </c>
      <c r="B414" s="120" t="s">
        <v>414</v>
      </c>
    </row>
    <row r="415" spans="1:2" x14ac:dyDescent="0.2">
      <c r="A415" s="120">
        <v>5105180000</v>
      </c>
      <c r="B415" s="120" t="s">
        <v>415</v>
      </c>
    </row>
    <row r="416" spans="1:2" x14ac:dyDescent="0.2">
      <c r="A416" s="120">
        <v>5105391000</v>
      </c>
      <c r="B416" s="120" t="s">
        <v>417</v>
      </c>
    </row>
    <row r="417" spans="1:3" x14ac:dyDescent="0.2">
      <c r="A417" s="120">
        <v>5105691000</v>
      </c>
      <c r="B417" s="120" t="s">
        <v>417</v>
      </c>
    </row>
    <row r="418" spans="1:3" x14ac:dyDescent="0.2">
      <c r="A418" s="120">
        <v>5105701000</v>
      </c>
      <c r="B418" s="120" t="s">
        <v>417</v>
      </c>
    </row>
    <row r="421" spans="1:3" x14ac:dyDescent="0.2">
      <c r="A421" s="120">
        <v>5160100000</v>
      </c>
      <c r="B421" s="120" t="s">
        <v>442</v>
      </c>
      <c r="C421" s="120" t="s">
        <v>443</v>
      </c>
    </row>
    <row r="427" spans="1:3" x14ac:dyDescent="0.2">
      <c r="A427" s="121" t="s">
        <v>444</v>
      </c>
    </row>
    <row r="428" spans="1:3" x14ac:dyDescent="0.2">
      <c r="A428" s="120">
        <v>1105050100</v>
      </c>
      <c r="B428" s="120" t="s">
        <v>445</v>
      </c>
      <c r="C428" s="122">
        <v>0</v>
      </c>
    </row>
    <row r="429" spans="1:3" x14ac:dyDescent="0.2">
      <c r="A429" s="120">
        <v>1105100200</v>
      </c>
      <c r="B429" s="120" t="s">
        <v>446</v>
      </c>
      <c r="C429" s="122">
        <v>7650000</v>
      </c>
    </row>
    <row r="430" spans="1:3" x14ac:dyDescent="0.2">
      <c r="A430" s="120">
        <v>1110050101</v>
      </c>
      <c r="B430" s="120" t="s">
        <v>447</v>
      </c>
      <c r="C430" s="122">
        <v>87094833.519999996</v>
      </c>
    </row>
    <row r="431" spans="1:3" x14ac:dyDescent="0.2">
      <c r="A431" s="120">
        <v>1110050106</v>
      </c>
      <c r="B431" s="120" t="s">
        <v>448</v>
      </c>
      <c r="C431" s="122">
        <v>4020934.46</v>
      </c>
    </row>
    <row r="432" spans="1:3" x14ac:dyDescent="0.2">
      <c r="A432" s="120">
        <v>1110050108</v>
      </c>
      <c r="B432" s="120" t="s">
        <v>449</v>
      </c>
      <c r="C432" s="122">
        <v>2182803.0099999998</v>
      </c>
    </row>
    <row r="433" spans="1:3" x14ac:dyDescent="0.2">
      <c r="A433" s="120">
        <v>1110050110</v>
      </c>
      <c r="B433" s="120" t="s">
        <v>450</v>
      </c>
      <c r="C433" s="122">
        <v>562187.67000000004</v>
      </c>
    </row>
    <row r="434" spans="1:3" x14ac:dyDescent="0.2">
      <c r="A434" s="120">
        <v>1110050111</v>
      </c>
      <c r="B434" s="120" t="s">
        <v>451</v>
      </c>
      <c r="C434" s="122">
        <v>4855691.87</v>
      </c>
    </row>
    <row r="435" spans="1:3" x14ac:dyDescent="0.2">
      <c r="A435" s="120">
        <v>1110100101</v>
      </c>
      <c r="B435" s="120" t="s">
        <v>452</v>
      </c>
      <c r="C435" s="122">
        <v>6300643.9299999997</v>
      </c>
    </row>
    <row r="436" spans="1:3" x14ac:dyDescent="0.2">
      <c r="A436" s="120">
        <v>1125100200</v>
      </c>
      <c r="B436" s="120" t="s">
        <v>453</v>
      </c>
      <c r="C436" s="122">
        <v>1355004.36</v>
      </c>
    </row>
    <row r="437" spans="1:3" x14ac:dyDescent="0.2">
      <c r="A437" s="120">
        <v>1130050100</v>
      </c>
      <c r="B437" s="120" t="s">
        <v>454</v>
      </c>
      <c r="C437" s="122">
        <v>377428.44</v>
      </c>
    </row>
    <row r="438" spans="1:3" x14ac:dyDescent="0.2">
      <c r="A438" s="121"/>
      <c r="C438" s="122">
        <f>SUM(C428:C437)</f>
        <v>114399527.26000001</v>
      </c>
    </row>
    <row r="439" spans="1:3" x14ac:dyDescent="0.2">
      <c r="A439" s="121"/>
    </row>
    <row r="440" spans="1:3" x14ac:dyDescent="0.2">
      <c r="A440" s="120">
        <v>1101</v>
      </c>
      <c r="B440" s="120" t="s">
        <v>455</v>
      </c>
    </row>
    <row r="441" spans="1:3" x14ac:dyDescent="0.2">
      <c r="A441" s="120">
        <v>1102</v>
      </c>
      <c r="B441" s="120" t="s">
        <v>456</v>
      </c>
    </row>
    <row r="442" spans="1:3" x14ac:dyDescent="0.2">
      <c r="A442" s="120">
        <v>1103</v>
      </c>
      <c r="B442" s="120" t="s">
        <v>457</v>
      </c>
    </row>
    <row r="443" spans="1:3" x14ac:dyDescent="0.2">
      <c r="A443" s="120">
        <v>1104</v>
      </c>
      <c r="B443" s="120" t="s">
        <v>458</v>
      </c>
    </row>
    <row r="444" spans="1:3" x14ac:dyDescent="0.2">
      <c r="A444" s="120" t="s">
        <v>459</v>
      </c>
      <c r="B444" s="120" t="s">
        <v>460</v>
      </c>
    </row>
    <row r="445" spans="1:3" x14ac:dyDescent="0.2">
      <c r="A445" s="120">
        <v>1106</v>
      </c>
      <c r="B445" s="120" t="s">
        <v>461</v>
      </c>
    </row>
    <row r="446" spans="1:3" x14ac:dyDescent="0.2">
      <c r="B446" s="120" t="s">
        <v>462</v>
      </c>
    </row>
    <row r="448" spans="1:3" x14ac:dyDescent="0.2">
      <c r="B448" s="120" t="s">
        <v>463</v>
      </c>
    </row>
    <row r="450" spans="1:2" x14ac:dyDescent="0.2">
      <c r="B450" s="120" t="s">
        <v>96</v>
      </c>
    </row>
    <row r="451" spans="1:2" x14ac:dyDescent="0.2">
      <c r="A451" s="120">
        <v>1201</v>
      </c>
      <c r="B451" s="120" t="s">
        <v>464</v>
      </c>
    </row>
    <row r="452" spans="1:2" x14ac:dyDescent="0.2">
      <c r="A452" s="120">
        <v>1202</v>
      </c>
      <c r="B452" s="120" t="s">
        <v>465</v>
      </c>
    </row>
    <row r="453" spans="1:2" x14ac:dyDescent="0.2">
      <c r="A453" s="120">
        <v>1203</v>
      </c>
      <c r="B453" s="120" t="s">
        <v>466</v>
      </c>
    </row>
    <row r="454" spans="1:2" x14ac:dyDescent="0.2">
      <c r="A454" s="120">
        <v>1204</v>
      </c>
      <c r="B454" s="120" t="s">
        <v>467</v>
      </c>
    </row>
    <row r="455" spans="1:2" x14ac:dyDescent="0.2">
      <c r="A455" s="120">
        <v>1205</v>
      </c>
      <c r="B455" s="120" t="s">
        <v>468</v>
      </c>
    </row>
    <row r="456" spans="1:2" x14ac:dyDescent="0.2">
      <c r="A456" s="120">
        <v>1206</v>
      </c>
      <c r="B456" s="120" t="s">
        <v>469</v>
      </c>
    </row>
    <row r="458" spans="1:2" x14ac:dyDescent="0.2">
      <c r="B458" s="120" t="s">
        <v>470</v>
      </c>
    </row>
    <row r="460" spans="1:2" x14ac:dyDescent="0.2">
      <c r="B460" s="120" t="s">
        <v>471</v>
      </c>
    </row>
    <row r="461" spans="1:2" x14ac:dyDescent="0.2">
      <c r="A461" s="120">
        <v>1208</v>
      </c>
      <c r="B461" s="120" t="s">
        <v>472</v>
      </c>
    </row>
    <row r="463" spans="1:2" x14ac:dyDescent="0.2">
      <c r="B463" s="120" t="s">
        <v>97</v>
      </c>
    </row>
    <row r="464" spans="1:2" x14ac:dyDescent="0.2">
      <c r="A464" s="120" t="s">
        <v>473</v>
      </c>
      <c r="B464" s="120" t="s">
        <v>474</v>
      </c>
    </row>
    <row r="465" spans="1:2" x14ac:dyDescent="0.2">
      <c r="A465" s="120">
        <v>1210</v>
      </c>
      <c r="B465" s="120" t="s">
        <v>475</v>
      </c>
    </row>
    <row r="466" spans="1:2" x14ac:dyDescent="0.2">
      <c r="A466" s="120">
        <v>1211</v>
      </c>
      <c r="B466" s="120" t="s">
        <v>476</v>
      </c>
    </row>
    <row r="467" spans="1:2" x14ac:dyDescent="0.2">
      <c r="A467" s="120">
        <v>1212</v>
      </c>
      <c r="B467" s="120" t="s">
        <v>477</v>
      </c>
    </row>
    <row r="468" spans="1:2" x14ac:dyDescent="0.2">
      <c r="B468" s="120" t="s">
        <v>478</v>
      </c>
    </row>
    <row r="470" spans="1:2" x14ac:dyDescent="0.2">
      <c r="B470" s="120" t="s">
        <v>98</v>
      </c>
    </row>
    <row r="471" spans="1:2" x14ac:dyDescent="0.2">
      <c r="A471" s="120">
        <v>1214</v>
      </c>
      <c r="B471" s="120" t="s">
        <v>479</v>
      </c>
    </row>
    <row r="472" spans="1:2" x14ac:dyDescent="0.2">
      <c r="A472" s="120">
        <v>1242</v>
      </c>
      <c r="B472" s="120" t="s">
        <v>480</v>
      </c>
    </row>
    <row r="473" spans="1:2" x14ac:dyDescent="0.2">
      <c r="A473" s="120">
        <v>1243</v>
      </c>
      <c r="B473" s="120" t="s">
        <v>481</v>
      </c>
    </row>
    <row r="474" spans="1:2" x14ac:dyDescent="0.2">
      <c r="A474" s="120">
        <v>1244</v>
      </c>
      <c r="B474" s="120" t="s">
        <v>482</v>
      </c>
    </row>
    <row r="475" spans="1:2" x14ac:dyDescent="0.2">
      <c r="A475" s="120">
        <v>1245</v>
      </c>
      <c r="B475" s="120" t="s">
        <v>483</v>
      </c>
    </row>
    <row r="476" spans="1:2" x14ac:dyDescent="0.2">
      <c r="A476" s="120">
        <v>1246</v>
      </c>
      <c r="B476" s="120" t="s">
        <v>484</v>
      </c>
    </row>
    <row r="477" spans="1:2" x14ac:dyDescent="0.2">
      <c r="A477" s="120">
        <v>1215</v>
      </c>
      <c r="B477" s="120" t="s">
        <v>485</v>
      </c>
    </row>
    <row r="478" spans="1:2" x14ac:dyDescent="0.2">
      <c r="A478" s="120">
        <v>1216</v>
      </c>
      <c r="B478" s="120" t="s">
        <v>486</v>
      </c>
    </row>
    <row r="479" spans="1:2" x14ac:dyDescent="0.2">
      <c r="A479" s="120">
        <v>1217</v>
      </c>
      <c r="B479" s="120" t="s">
        <v>487</v>
      </c>
    </row>
    <row r="480" spans="1:2" x14ac:dyDescent="0.2">
      <c r="A480" s="120">
        <v>1218</v>
      </c>
      <c r="B480" s="120" t="s">
        <v>488</v>
      </c>
    </row>
    <row r="481" spans="1:2" x14ac:dyDescent="0.2">
      <c r="A481" s="120">
        <v>1219</v>
      </c>
      <c r="B481" s="120" t="s">
        <v>489</v>
      </c>
    </row>
    <row r="482" spans="1:2" x14ac:dyDescent="0.2">
      <c r="A482" s="120">
        <v>1220</v>
      </c>
      <c r="B482" s="120" t="s">
        <v>490</v>
      </c>
    </row>
    <row r="483" spans="1:2" x14ac:dyDescent="0.2">
      <c r="A483" s="120">
        <v>1221</v>
      </c>
      <c r="B483" s="120" t="s">
        <v>491</v>
      </c>
    </row>
    <row r="484" spans="1:2" x14ac:dyDescent="0.2">
      <c r="A484" s="120">
        <v>1222</v>
      </c>
      <c r="B484" s="120" t="s">
        <v>492</v>
      </c>
    </row>
    <row r="485" spans="1:2" x14ac:dyDescent="0.2">
      <c r="A485" s="120">
        <v>1223</v>
      </c>
      <c r="B485" s="120" t="s">
        <v>493</v>
      </c>
    </row>
    <row r="486" spans="1:2" x14ac:dyDescent="0.2">
      <c r="A486" s="120">
        <v>1224</v>
      </c>
      <c r="B486" s="120" t="s">
        <v>494</v>
      </c>
    </row>
    <row r="487" spans="1:2" x14ac:dyDescent="0.2">
      <c r="A487" s="120">
        <v>1225</v>
      </c>
      <c r="B487" s="120" t="s">
        <v>495</v>
      </c>
    </row>
    <row r="488" spans="1:2" x14ac:dyDescent="0.2">
      <c r="A488" s="120">
        <v>1226</v>
      </c>
      <c r="B488" s="120" t="s">
        <v>496</v>
      </c>
    </row>
    <row r="489" spans="1:2" x14ac:dyDescent="0.2">
      <c r="A489" s="120">
        <v>1227</v>
      </c>
      <c r="B489" s="120" t="s">
        <v>497</v>
      </c>
    </row>
    <row r="490" spans="1:2" x14ac:dyDescent="0.2">
      <c r="A490" s="120">
        <v>1228</v>
      </c>
      <c r="B490" s="120" t="s">
        <v>498</v>
      </c>
    </row>
    <row r="491" spans="1:2" x14ac:dyDescent="0.2">
      <c r="A491" s="120">
        <v>1229</v>
      </c>
      <c r="B491" s="120" t="s">
        <v>499</v>
      </c>
    </row>
    <row r="492" spans="1:2" x14ac:dyDescent="0.2">
      <c r="A492" s="120">
        <v>1230</v>
      </c>
      <c r="B492" s="120" t="s">
        <v>500</v>
      </c>
    </row>
    <row r="493" spans="1:2" x14ac:dyDescent="0.2">
      <c r="A493" s="120">
        <v>1231</v>
      </c>
      <c r="B493" s="120" t="s">
        <v>501</v>
      </c>
    </row>
    <row r="494" spans="1:2" x14ac:dyDescent="0.2">
      <c r="A494" s="120">
        <v>1232</v>
      </c>
      <c r="B494" s="120" t="s">
        <v>502</v>
      </c>
    </row>
    <row r="495" spans="1:2" x14ac:dyDescent="0.2">
      <c r="A495" s="120">
        <v>1233</v>
      </c>
      <c r="B495" s="120" t="s">
        <v>503</v>
      </c>
    </row>
    <row r="496" spans="1:2" x14ac:dyDescent="0.2">
      <c r="A496" s="120">
        <v>1234</v>
      </c>
      <c r="B496" s="120" t="s">
        <v>504</v>
      </c>
    </row>
    <row r="497" spans="1:2" x14ac:dyDescent="0.2">
      <c r="A497" s="120">
        <v>1235</v>
      </c>
      <c r="B497" s="120" t="s">
        <v>505</v>
      </c>
    </row>
    <row r="498" spans="1:2" x14ac:dyDescent="0.2">
      <c r="A498" s="120">
        <v>1236</v>
      </c>
      <c r="B498" s="120" t="s">
        <v>506</v>
      </c>
    </row>
    <row r="499" spans="1:2" x14ac:dyDescent="0.2">
      <c r="A499" s="120">
        <v>1237</v>
      </c>
      <c r="B499" s="120" t="s">
        <v>507</v>
      </c>
    </row>
    <row r="500" spans="1:2" x14ac:dyDescent="0.2">
      <c r="A500" s="120">
        <v>1238</v>
      </c>
      <c r="B500" s="120" t="s">
        <v>508</v>
      </c>
    </row>
    <row r="501" spans="1:2" x14ac:dyDescent="0.2">
      <c r="A501" s="120">
        <v>1239</v>
      </c>
      <c r="B501" s="120" t="s">
        <v>509</v>
      </c>
    </row>
    <row r="502" spans="1:2" x14ac:dyDescent="0.2">
      <c r="A502" s="120">
        <v>1240</v>
      </c>
      <c r="B502" s="120" t="s">
        <v>510</v>
      </c>
    </row>
    <row r="503" spans="1:2" x14ac:dyDescent="0.2">
      <c r="A503" s="120">
        <v>1241</v>
      </c>
      <c r="B503" s="120" t="s">
        <v>511</v>
      </c>
    </row>
    <row r="504" spans="1:2" x14ac:dyDescent="0.2">
      <c r="B504" s="120" t="s">
        <v>512</v>
      </c>
    </row>
    <row r="506" spans="1:2" x14ac:dyDescent="0.2">
      <c r="B506" s="120" t="s">
        <v>513</v>
      </c>
    </row>
    <row r="508" spans="1:2" x14ac:dyDescent="0.2">
      <c r="B508" s="120" t="s">
        <v>514</v>
      </c>
    </row>
    <row r="510" spans="1:2" x14ac:dyDescent="0.2">
      <c r="B510" s="120" t="s">
        <v>515</v>
      </c>
    </row>
    <row r="512" spans="1:2" x14ac:dyDescent="0.2">
      <c r="B512" s="120" t="s">
        <v>516</v>
      </c>
    </row>
    <row r="513" spans="1:2" x14ac:dyDescent="0.2">
      <c r="A513" s="120">
        <v>2101</v>
      </c>
      <c r="B513" s="120" t="s">
        <v>517</v>
      </c>
    </row>
    <row r="514" spans="1:2" x14ac:dyDescent="0.2">
      <c r="A514" s="120">
        <v>2102</v>
      </c>
      <c r="B514" s="120" t="s">
        <v>518</v>
      </c>
    </row>
    <row r="515" spans="1:2" x14ac:dyDescent="0.2">
      <c r="A515" s="120">
        <v>2103</v>
      </c>
      <c r="B515" s="120" t="s">
        <v>519</v>
      </c>
    </row>
    <row r="516" spans="1:2" x14ac:dyDescent="0.2">
      <c r="A516" s="120">
        <v>1207</v>
      </c>
      <c r="B516" s="120" t="s">
        <v>520</v>
      </c>
    </row>
    <row r="517" spans="1:2" x14ac:dyDescent="0.2">
      <c r="B517" s="120" t="s">
        <v>521</v>
      </c>
    </row>
    <row r="519" spans="1:2" x14ac:dyDescent="0.2">
      <c r="B519" s="120" t="s">
        <v>99</v>
      </c>
    </row>
    <row r="520" spans="1:2" x14ac:dyDescent="0.2">
      <c r="A520" s="120">
        <v>3101</v>
      </c>
      <c r="B520" s="120" t="s">
        <v>522</v>
      </c>
    </row>
    <row r="521" spans="1:2" x14ac:dyDescent="0.2">
      <c r="A521" s="120" t="s">
        <v>523</v>
      </c>
      <c r="B521" s="120" t="s">
        <v>524</v>
      </c>
    </row>
    <row r="522" spans="1:2" x14ac:dyDescent="0.2">
      <c r="A522" s="120">
        <v>3103</v>
      </c>
      <c r="B522" s="120" t="s">
        <v>525</v>
      </c>
    </row>
    <row r="523" spans="1:2" x14ac:dyDescent="0.2">
      <c r="A523" s="120">
        <v>3104</v>
      </c>
      <c r="B523" s="120" t="s">
        <v>526</v>
      </c>
    </row>
    <row r="524" spans="1:2" x14ac:dyDescent="0.2">
      <c r="B524" s="120" t="s">
        <v>527</v>
      </c>
    </row>
    <row r="526" spans="1:2" x14ac:dyDescent="0.2">
      <c r="B526" s="120" t="s">
        <v>528</v>
      </c>
    </row>
    <row r="534" spans="1:12" x14ac:dyDescent="0.2">
      <c r="B534" s="120" t="s">
        <v>529</v>
      </c>
    </row>
    <row r="535" spans="1:12" x14ac:dyDescent="0.2">
      <c r="B535" s="120" t="s">
        <v>530</v>
      </c>
    </row>
    <row r="536" spans="1:12" x14ac:dyDescent="0.2">
      <c r="A536" s="120">
        <v>5101</v>
      </c>
      <c r="B536" s="120" t="s">
        <v>531</v>
      </c>
    </row>
    <row r="537" spans="1:12" x14ac:dyDescent="0.2">
      <c r="A537" s="120">
        <v>5102</v>
      </c>
      <c r="B537" s="120" t="s">
        <v>532</v>
      </c>
    </row>
    <row r="538" spans="1:12" x14ac:dyDescent="0.2">
      <c r="A538" s="120">
        <v>5103</v>
      </c>
      <c r="B538" s="120" t="s">
        <v>533</v>
      </c>
    </row>
    <row r="539" spans="1:12" x14ac:dyDescent="0.2">
      <c r="A539" s="120">
        <v>5104</v>
      </c>
      <c r="B539" s="120" t="s">
        <v>534</v>
      </c>
    </row>
    <row r="540" spans="1:12" x14ac:dyDescent="0.2">
      <c r="A540" s="120">
        <v>5105</v>
      </c>
      <c r="B540" s="120" t="s">
        <v>535</v>
      </c>
      <c r="E540" s="120" t="s">
        <v>536</v>
      </c>
      <c r="F540" s="120" t="s">
        <v>537</v>
      </c>
    </row>
    <row r="541" spans="1:12" x14ac:dyDescent="0.2">
      <c r="B541" s="120" t="s">
        <v>538</v>
      </c>
    </row>
    <row r="542" spans="1:12" x14ac:dyDescent="0.2">
      <c r="E542" s="120" t="s">
        <v>539</v>
      </c>
      <c r="G542" s="120"/>
      <c r="H542" s="120"/>
      <c r="I542" s="120"/>
      <c r="J542" s="120"/>
      <c r="K542" s="120"/>
      <c r="L542" s="120"/>
    </row>
    <row r="543" spans="1:12" x14ac:dyDescent="0.2">
      <c r="B543" s="120" t="s">
        <v>528</v>
      </c>
      <c r="E543" s="120" t="s">
        <v>540</v>
      </c>
      <c r="F543" s="120" t="s">
        <v>541</v>
      </c>
      <c r="G543" s="120" t="s">
        <v>109</v>
      </c>
      <c r="H543" s="120"/>
      <c r="I543" s="120"/>
      <c r="J543" s="120"/>
      <c r="K543" s="120"/>
      <c r="L543" s="120"/>
    </row>
    <row r="544" spans="1:12" x14ac:dyDescent="0.2">
      <c r="A544" s="120">
        <v>6190</v>
      </c>
      <c r="B544" s="120" t="s">
        <v>542</v>
      </c>
      <c r="E544" s="120" t="s">
        <v>543</v>
      </c>
      <c r="F544" s="120" t="s">
        <v>544</v>
      </c>
      <c r="G544" s="131">
        <v>157866000</v>
      </c>
      <c r="H544" s="120"/>
      <c r="I544" s="120"/>
      <c r="J544" s="120"/>
      <c r="K544" s="120"/>
      <c r="L544" s="120"/>
    </row>
    <row r="545" spans="1:12" x14ac:dyDescent="0.2">
      <c r="A545" s="120">
        <v>7101</v>
      </c>
      <c r="B545" s="120" t="s">
        <v>545</v>
      </c>
      <c r="E545" s="120" t="s">
        <v>546</v>
      </c>
      <c r="F545" s="120" t="s">
        <v>547</v>
      </c>
      <c r="G545" s="131">
        <v>487283000</v>
      </c>
      <c r="H545" s="120"/>
      <c r="I545" s="120"/>
      <c r="J545" s="120"/>
      <c r="K545" s="120"/>
      <c r="L545" s="120"/>
    </row>
    <row r="546" spans="1:12" x14ac:dyDescent="0.2">
      <c r="A546" s="120">
        <v>7102</v>
      </c>
      <c r="B546" s="120" t="s">
        <v>547</v>
      </c>
      <c r="E546" s="120" t="s">
        <v>548</v>
      </c>
      <c r="F546" s="120" t="s">
        <v>549</v>
      </c>
      <c r="G546" s="131">
        <v>821000000</v>
      </c>
      <c r="H546" s="120"/>
      <c r="I546" s="120"/>
      <c r="J546" s="120"/>
      <c r="K546" s="120"/>
      <c r="L546" s="120"/>
    </row>
    <row r="547" spans="1:12" x14ac:dyDescent="0.2">
      <c r="A547" s="120">
        <v>7103</v>
      </c>
      <c r="B547" s="120" t="s">
        <v>550</v>
      </c>
      <c r="E547" s="120" t="s">
        <v>334</v>
      </c>
      <c r="G547" s="131">
        <v>1466149000</v>
      </c>
      <c r="H547" s="120"/>
      <c r="I547" s="120"/>
      <c r="J547" s="120"/>
      <c r="K547" s="120"/>
      <c r="L547" s="120"/>
    </row>
    <row r="548" spans="1:12" x14ac:dyDescent="0.2">
      <c r="A548" s="120">
        <v>7105</v>
      </c>
      <c r="B548" s="120" t="s">
        <v>551</v>
      </c>
      <c r="G548" s="120"/>
      <c r="H548" s="120"/>
      <c r="I548" s="120"/>
      <c r="J548" s="120"/>
      <c r="K548" s="120"/>
      <c r="L548" s="120"/>
    </row>
    <row r="549" spans="1:12" x14ac:dyDescent="0.2">
      <c r="A549" s="120" t="s">
        <v>552</v>
      </c>
      <c r="B549" s="120" t="s">
        <v>553</v>
      </c>
      <c r="G549" s="120"/>
      <c r="H549" s="120"/>
      <c r="I549" s="120"/>
      <c r="J549" s="120"/>
      <c r="K549" s="120"/>
      <c r="L549" s="120"/>
    </row>
    <row r="550" spans="1:12" x14ac:dyDescent="0.2">
      <c r="A550" s="120">
        <v>4101</v>
      </c>
      <c r="B550" s="120" t="s">
        <v>554</v>
      </c>
      <c r="G550" s="120"/>
      <c r="H550" s="120"/>
      <c r="I550" s="120"/>
      <c r="J550" s="120"/>
      <c r="K550" s="120"/>
    </row>
    <row r="551" spans="1:12" x14ac:dyDescent="0.2">
      <c r="A551" s="120">
        <v>4102</v>
      </c>
      <c r="B551" s="120" t="s">
        <v>544</v>
      </c>
      <c r="G551" s="120"/>
      <c r="H551" s="120"/>
      <c r="I551" s="120"/>
      <c r="J551" s="120"/>
      <c r="K551" s="120"/>
    </row>
    <row r="552" spans="1:12" x14ac:dyDescent="0.2">
      <c r="A552" s="120">
        <v>7104</v>
      </c>
      <c r="B552" s="120" t="s">
        <v>555</v>
      </c>
      <c r="E552" s="120">
        <v>6190</v>
      </c>
      <c r="F552" s="120" t="s">
        <v>542</v>
      </c>
      <c r="G552" s="120"/>
      <c r="H552" s="120"/>
      <c r="I552" s="120"/>
      <c r="J552" s="120"/>
      <c r="K552" s="120"/>
    </row>
    <row r="553" spans="1:12" x14ac:dyDescent="0.2">
      <c r="G553" s="120"/>
      <c r="H553" s="120"/>
      <c r="I553" s="120"/>
      <c r="J553" s="120"/>
      <c r="K553" s="120"/>
    </row>
    <row r="554" spans="1:12" x14ac:dyDescent="0.2">
      <c r="B554" s="120" t="s">
        <v>556</v>
      </c>
      <c r="G554" s="120"/>
      <c r="H554" s="120"/>
      <c r="I554" s="120"/>
      <c r="J554" s="120"/>
      <c r="K554" s="120"/>
    </row>
    <row r="555" spans="1:12" x14ac:dyDescent="0.2">
      <c r="A555" s="121" t="s">
        <v>557</v>
      </c>
      <c r="G555" s="120"/>
    </row>
    <row r="556" spans="1:12" x14ac:dyDescent="0.2">
      <c r="A556" s="135">
        <v>1110050100</v>
      </c>
      <c r="B556" s="136" t="s">
        <v>558</v>
      </c>
      <c r="G556" s="120"/>
    </row>
    <row r="557" spans="1:12" x14ac:dyDescent="0.2">
      <c r="A557" s="135">
        <v>1110050200</v>
      </c>
      <c r="B557" s="120" t="s">
        <v>559</v>
      </c>
      <c r="G557" s="120"/>
    </row>
    <row r="558" spans="1:12" x14ac:dyDescent="0.2">
      <c r="G558" s="120"/>
    </row>
    <row r="562" spans="1:2" x14ac:dyDescent="0.2">
      <c r="A562" s="120">
        <v>4170250000</v>
      </c>
      <c r="B562" s="120" t="s">
        <v>560</v>
      </c>
    </row>
    <row r="564" spans="1:2" x14ac:dyDescent="0.2">
      <c r="A564" s="120">
        <v>4218050000</v>
      </c>
      <c r="B564" s="120" t="s">
        <v>561</v>
      </c>
    </row>
    <row r="567" spans="1:2" x14ac:dyDescent="0.2">
      <c r="A567" s="120">
        <v>5210350000</v>
      </c>
      <c r="B567" s="120" t="s">
        <v>562</v>
      </c>
    </row>
    <row r="568" spans="1:2" x14ac:dyDescent="0.2">
      <c r="A568" s="120">
        <v>5140950000</v>
      </c>
    </row>
    <row r="570" spans="1:2" x14ac:dyDescent="0.2">
      <c r="A570" s="135">
        <v>5305950000</v>
      </c>
      <c r="B570" s="120" t="s">
        <v>563</v>
      </c>
    </row>
    <row r="571" spans="1:2" x14ac:dyDescent="0.2">
      <c r="A571" s="135">
        <v>5313050000</v>
      </c>
      <c r="B571" s="120" t="s">
        <v>561</v>
      </c>
    </row>
    <row r="572" spans="1:2" x14ac:dyDescent="0.2">
      <c r="A572" s="120">
        <v>5310950000</v>
      </c>
      <c r="B572" s="120" t="s">
        <v>564</v>
      </c>
    </row>
    <row r="576" spans="1:2" x14ac:dyDescent="0.2">
      <c r="A576" s="120">
        <v>1101</v>
      </c>
      <c r="B576" s="120" t="s">
        <v>565</v>
      </c>
    </row>
    <row r="577" spans="1:3" x14ac:dyDescent="0.2">
      <c r="A577" s="120">
        <v>1102</v>
      </c>
      <c r="B577" s="120" t="s">
        <v>566</v>
      </c>
    </row>
    <row r="578" spans="1:3" x14ac:dyDescent="0.2">
      <c r="A578" s="120">
        <v>1103</v>
      </c>
      <c r="B578" s="120" t="s">
        <v>567</v>
      </c>
    </row>
    <row r="579" spans="1:3" x14ac:dyDescent="0.2">
      <c r="A579" s="120">
        <v>1104</v>
      </c>
      <c r="B579" s="120" t="s">
        <v>568</v>
      </c>
    </row>
    <row r="580" spans="1:3" x14ac:dyDescent="0.2">
      <c r="A580" s="120">
        <v>1106</v>
      </c>
      <c r="B580" s="120" t="s">
        <v>569</v>
      </c>
    </row>
    <row r="581" spans="1:3" x14ac:dyDescent="0.2">
      <c r="A581" s="120">
        <v>9999</v>
      </c>
      <c r="B581" s="120" t="s">
        <v>570</v>
      </c>
      <c r="C581" s="120" t="s">
        <v>571</v>
      </c>
    </row>
    <row r="583" spans="1:3" x14ac:dyDescent="0.2">
      <c r="A583" s="120">
        <v>1218</v>
      </c>
      <c r="B583" s="120" t="s">
        <v>572</v>
      </c>
    </row>
    <row r="584" spans="1:3" x14ac:dyDescent="0.2">
      <c r="A584" s="120">
        <v>1223</v>
      </c>
      <c r="B584" s="120" t="s">
        <v>573</v>
      </c>
    </row>
    <row r="585" spans="1:3" x14ac:dyDescent="0.2">
      <c r="A585" s="120">
        <v>1231</v>
      </c>
      <c r="B585" s="120" t="s">
        <v>574</v>
      </c>
    </row>
    <row r="586" spans="1:3" x14ac:dyDescent="0.2">
      <c r="A586" s="120">
        <v>1235</v>
      </c>
      <c r="B586" s="120" t="s">
        <v>575</v>
      </c>
    </row>
    <row r="587" spans="1:3" x14ac:dyDescent="0.2">
      <c r="A587" s="120">
        <v>1201</v>
      </c>
      <c r="B587" s="120" t="s">
        <v>576</v>
      </c>
    </row>
    <row r="590" spans="1:3" x14ac:dyDescent="0.2">
      <c r="A590" s="120">
        <v>5103</v>
      </c>
      <c r="B590" s="120" t="s">
        <v>533</v>
      </c>
      <c r="C590" s="120" t="s">
        <v>577</v>
      </c>
    </row>
    <row r="591" spans="1:3" x14ac:dyDescent="0.2">
      <c r="A591" s="120">
        <v>5104</v>
      </c>
      <c r="B591" s="120" t="s">
        <v>534</v>
      </c>
      <c r="C591" s="120" t="s">
        <v>571</v>
      </c>
    </row>
    <row r="592" spans="1:3" x14ac:dyDescent="0.2">
      <c r="A592" s="120">
        <v>5105</v>
      </c>
      <c r="B592" s="120" t="s">
        <v>578</v>
      </c>
      <c r="C592" s="120" t="s">
        <v>571</v>
      </c>
    </row>
    <row r="593" spans="1:3" x14ac:dyDescent="0.2">
      <c r="A593" s="120">
        <v>5106</v>
      </c>
      <c r="B593" s="120" t="s">
        <v>579</v>
      </c>
      <c r="C593" s="120" t="s">
        <v>577</v>
      </c>
    </row>
    <row r="594" spans="1:3" x14ac:dyDescent="0.2">
      <c r="A594" s="120">
        <v>7101</v>
      </c>
      <c r="B594" s="120" t="s">
        <v>580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E15F-9D5F-4F5E-B29D-A671867A3C93}">
  <sheetPr>
    <tabColor theme="2" tint="-0.749992370372631"/>
  </sheetPr>
  <dimension ref="A1:AG50"/>
  <sheetViews>
    <sheetView showGridLines="0" tabSelected="1" topLeftCell="L1" zoomScaleNormal="100" workbookViewId="0">
      <selection activeCell="U39" sqref="U39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9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NOVIEMBRE de 2024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NOVIEMBRE de 2024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2024</v>
      </c>
      <c r="E7" s="13" t="str">
        <f>+'COLOMB$ '!F7:F7</f>
        <v>Real 2024</v>
      </c>
      <c r="G7" s="10" t="s">
        <v>24</v>
      </c>
      <c r="H7" s="13" t="str">
        <f>+'COLOMB$ '!I7:I7</f>
        <v>Real 2023</v>
      </c>
      <c r="J7" s="10" t="s">
        <v>25</v>
      </c>
      <c r="K7" s="13" t="str">
        <f>+C7</f>
        <v>Ppto 2024</v>
      </c>
      <c r="M7" s="23" t="str">
        <f>+E7</f>
        <v>Real 2024</v>
      </c>
      <c r="N7" s="23"/>
      <c r="O7" s="10" t="s">
        <v>24</v>
      </c>
      <c r="P7" s="13" t="str">
        <f>+H7</f>
        <v>Real 2023</v>
      </c>
      <c r="R7" s="10" t="s">
        <v>25</v>
      </c>
      <c r="S7" s="24"/>
      <c r="T7" s="15"/>
      <c r="U7" s="15" t="str">
        <f>+C7</f>
        <v>Ppto 2024</v>
      </c>
      <c r="V7" s="15" t="str">
        <f>+M7</f>
        <v>Real 2024</v>
      </c>
      <c r="W7" s="15" t="str">
        <f>+H7</f>
        <v>Real 2023</v>
      </c>
      <c r="X7" s="15" t="str">
        <f>+U7</f>
        <v>Ppto 2024</v>
      </c>
      <c r="Y7" s="15" t="str">
        <f>+V7</f>
        <v>Real 2024</v>
      </c>
      <c r="Z7" s="15" t="s">
        <v>26</v>
      </c>
      <c r="AA7" s="15" t="s">
        <v>24</v>
      </c>
      <c r="AB7" s="15" t="str">
        <f>+W7</f>
        <v>Real 2023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449771</v>
      </c>
      <c r="D10" s="33">
        <f t="shared" ref="D10:D20" si="0">+C10/$C$20</f>
        <v>0.42805125145016709</v>
      </c>
      <c r="E10" s="32">
        <v>380473.79300000001</v>
      </c>
      <c r="F10" s="33">
        <f t="shared" ref="F10:F20" si="1">+E10/$E$20</f>
        <v>0.41176111013298938</v>
      </c>
      <c r="G10" s="33">
        <f t="shared" ref="G10:G20" si="2">IF(C10=0,"",(E10-C10)/ABS(C10)+1)</f>
        <v>0.84592780103652743</v>
      </c>
      <c r="H10" s="32">
        <v>404160.32400000002</v>
      </c>
      <c r="I10" s="33">
        <f t="shared" ref="I10:I19" si="3">+H10/$H$20</f>
        <v>0.44820606315788608</v>
      </c>
      <c r="J10" s="34">
        <f t="shared" ref="J10:J20" si="4">IF(H10=0,"",(E10-H10)/ABS(H10))</f>
        <v>-5.8606769624422649E-2</v>
      </c>
      <c r="K10" s="32">
        <v>4722975</v>
      </c>
      <c r="L10" s="33">
        <f t="shared" ref="L10:L20" si="5">+K10/$K$20</f>
        <v>0.41108848067055737</v>
      </c>
      <c r="M10" s="32">
        <v>4280502.26</v>
      </c>
      <c r="N10" s="33">
        <f t="shared" ref="N10:N20" si="6">+M10/$M$20</f>
        <v>0.39661483272445897</v>
      </c>
      <c r="O10" s="33">
        <f t="shared" ref="O10:O20" si="7">IF(K10=0,"",(M10-K10)/ABS(K10)+1)</f>
        <v>0.90631482487203507</v>
      </c>
      <c r="P10" s="32">
        <v>4366326.7010000004</v>
      </c>
      <c r="Q10" s="33">
        <f t="shared" ref="Q10:Q20" si="8">+P10/$P$20</f>
        <v>0.42152614662090859</v>
      </c>
      <c r="R10" s="34">
        <f t="shared" ref="R10:R20" si="9">IF(P10=0,"",(M10-P10)/ABS(P10))</f>
        <v>-1.9655982448666651E-2</v>
      </c>
      <c r="S10" s="24"/>
      <c r="T10" s="19" t="s">
        <v>31</v>
      </c>
      <c r="U10" s="35">
        <f>+'COLOMB$ '!U10</f>
        <v>6006</v>
      </c>
      <c r="V10" s="35">
        <f>+'COLOMB$ '!V10</f>
        <v>16195</v>
      </c>
      <c r="W10" s="35">
        <f>+'COLOMB$ '!W10</f>
        <v>151782</v>
      </c>
      <c r="X10" s="35">
        <f>+'COLOMB$ '!X10</f>
        <v>45751</v>
      </c>
      <c r="Y10" s="35">
        <f>+'COLOMB$ '!Y10</f>
        <v>35896</v>
      </c>
      <c r="Z10" s="36">
        <f>+Y10-X10</f>
        <v>-9855</v>
      </c>
      <c r="AA10" s="37">
        <f>IF(X10=0,"",(Y10-X10)/ABS(X10)+1)</f>
        <v>0.78459487224322966</v>
      </c>
      <c r="AB10" s="35">
        <f>+'COLOMB$ '!AB10</f>
        <v>32108</v>
      </c>
      <c r="AC10" s="34">
        <f>IF(W10=0,"",(Y10-AB10)/ABS(AB10))</f>
        <v>0.11797682820480877</v>
      </c>
    </row>
    <row r="11" spans="1:33" x14ac:dyDescent="0.2">
      <c r="A11" s="38"/>
      <c r="B11" s="19" t="str">
        <f>+'COLOMB$ '!B11</f>
        <v>Instalaciones</v>
      </c>
      <c r="C11" s="32">
        <v>36325</v>
      </c>
      <c r="D11" s="33">
        <f t="shared" si="0"/>
        <v>3.4570840958904239E-2</v>
      </c>
      <c r="E11" s="32">
        <v>51744.360999999997</v>
      </c>
      <c r="F11" s="33">
        <f t="shared" si="1"/>
        <v>5.5999429975147223E-2</v>
      </c>
      <c r="G11" s="33">
        <f t="shared" si="2"/>
        <v>1.4244834411562284</v>
      </c>
      <c r="H11" s="32">
        <v>25725.756000000001</v>
      </c>
      <c r="I11" s="33">
        <f t="shared" si="3"/>
        <v>2.8529370979325439E-2</v>
      </c>
      <c r="J11" s="34">
        <f t="shared" si="4"/>
        <v>1.011383494424809</v>
      </c>
      <c r="K11" s="32">
        <v>482595</v>
      </c>
      <c r="L11" s="33">
        <f t="shared" si="5"/>
        <v>4.2005144073218176E-2</v>
      </c>
      <c r="M11" s="32">
        <v>551556.31999999995</v>
      </c>
      <c r="N11" s="33">
        <f t="shared" si="6"/>
        <v>5.1105081672102225E-2</v>
      </c>
      <c r="O11" s="33">
        <f t="shared" si="7"/>
        <v>1.1428968804069664</v>
      </c>
      <c r="P11" s="32">
        <v>372437.446</v>
      </c>
      <c r="Q11" s="33">
        <f t="shared" si="8"/>
        <v>3.5955193511689701E-2</v>
      </c>
      <c r="R11" s="34">
        <f t="shared" si="9"/>
        <v>0.48093680139778416</v>
      </c>
      <c r="S11" s="24"/>
      <c r="T11" s="19" t="s">
        <v>32</v>
      </c>
      <c r="U11" s="35">
        <f>+'COLOMB$ '!U11</f>
        <v>1294585</v>
      </c>
      <c r="V11" s="35">
        <f>+'COLOMB$ '!V11</f>
        <v>919083.91071000008</v>
      </c>
      <c r="W11" s="35">
        <f>+'COLOMB$ '!W11</f>
        <v>1098490.3316300001</v>
      </c>
      <c r="X11" s="35">
        <f>+'COLOMB$ '!X11</f>
        <v>13338908</v>
      </c>
      <c r="Y11" s="35">
        <f>+'COLOMB$ '!Y11</f>
        <v>12238046.68602</v>
      </c>
      <c r="Z11" s="36">
        <f>+Y11-X11</f>
        <v>-1100861.3139800001</v>
      </c>
      <c r="AA11" s="37">
        <f>IF(X11=0,"",(Y11-X11)/ABS(X11)+1)</f>
        <v>0.91746990728326483</v>
      </c>
      <c r="AB11" s="35">
        <f>+'COLOMB$ '!AB11</f>
        <v>12464941.136430001</v>
      </c>
      <c r="AC11" s="34">
        <f>IF(AB11=0,"",(Y11-AB11)/ABS(AB11))</f>
        <v>-1.8202609055800505E-2</v>
      </c>
    </row>
    <row r="12" spans="1:33" x14ac:dyDescent="0.2">
      <c r="A12" s="38"/>
      <c r="B12" s="19" t="str">
        <f>+'COLOMB$ '!B12</f>
        <v>Voice Experience (Publihold)</v>
      </c>
      <c r="C12" s="32">
        <v>66800</v>
      </c>
      <c r="D12" s="33">
        <f t="shared" si="0"/>
        <v>6.357418241031805E-2</v>
      </c>
      <c r="E12" s="32">
        <v>48011.048000000003</v>
      </c>
      <c r="F12" s="33">
        <f t="shared" si="1"/>
        <v>5.1959117255490551E-2</v>
      </c>
      <c r="G12" s="33">
        <f t="shared" si="2"/>
        <v>0.71872826347305385</v>
      </c>
      <c r="H12" s="32">
        <v>62906.39</v>
      </c>
      <c r="I12" s="33">
        <f t="shared" si="3"/>
        <v>6.9761982399278291E-2</v>
      </c>
      <c r="J12" s="34">
        <f t="shared" si="4"/>
        <v>-0.23678583368080727</v>
      </c>
      <c r="K12" s="32">
        <v>802438</v>
      </c>
      <c r="L12" s="33">
        <f t="shared" si="5"/>
        <v>6.9844328681037002E-2</v>
      </c>
      <c r="M12" s="32">
        <v>695786.81200000003</v>
      </c>
      <c r="N12" s="33">
        <f t="shared" si="6"/>
        <v>6.4468922871977322E-2</v>
      </c>
      <c r="O12" s="33">
        <f t="shared" si="7"/>
        <v>0.8670910550098575</v>
      </c>
      <c r="P12" s="32">
        <v>910857.80260000005</v>
      </c>
      <c r="Q12" s="33">
        <f t="shared" si="8"/>
        <v>8.7934413968984909E-2</v>
      </c>
      <c r="R12" s="34">
        <f t="shared" si="9"/>
        <v>-0.2361191724834438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81591</v>
      </c>
      <c r="D13" s="33">
        <f t="shared" si="0"/>
        <v>7.7650914925752393E-2</v>
      </c>
      <c r="E13" s="32">
        <v>51352.786999999997</v>
      </c>
      <c r="F13" s="33">
        <f t="shared" si="1"/>
        <v>5.5575655860068511E-2</v>
      </c>
      <c r="G13" s="33">
        <f t="shared" si="2"/>
        <v>0.62939278842029145</v>
      </c>
      <c r="H13" s="32">
        <v>80389.732000000004</v>
      </c>
      <c r="I13" s="33">
        <f t="shared" si="3"/>
        <v>8.9150674023206533E-2</v>
      </c>
      <c r="J13" s="34">
        <f t="shared" si="4"/>
        <v>-0.36120216198755339</v>
      </c>
      <c r="K13" s="32">
        <v>1083323</v>
      </c>
      <c r="L13" s="33">
        <f t="shared" si="5"/>
        <v>9.4292602892344382E-2</v>
      </c>
      <c r="M13" s="32">
        <v>1006005.7781799999</v>
      </c>
      <c r="N13" s="33">
        <f t="shared" si="6"/>
        <v>9.3212615996305967E-2</v>
      </c>
      <c r="O13" s="33">
        <f t="shared" si="7"/>
        <v>0.9286295760174943</v>
      </c>
      <c r="P13" s="32">
        <v>922526.25800000003</v>
      </c>
      <c r="Q13" s="33">
        <f t="shared" si="8"/>
        <v>8.9060889237235777E-2</v>
      </c>
      <c r="R13" s="34">
        <f t="shared" si="9"/>
        <v>9.049012909505702E-2</v>
      </c>
      <c r="S13" s="24"/>
      <c r="T13" s="19" t="s">
        <v>33</v>
      </c>
      <c r="U13" s="35">
        <f>+'COLOMB$ '!U13</f>
        <v>121728</v>
      </c>
      <c r="V13" s="35">
        <f>+'COLOMB$ '!V13</f>
        <v>194984.535</v>
      </c>
      <c r="W13" s="35">
        <f>+'COLOMB$ '!W13</f>
        <v>134153.212</v>
      </c>
      <c r="X13" s="35">
        <f>+'COLOMB$ '!X13</f>
        <v>1728121</v>
      </c>
      <c r="Y13" s="35">
        <f>+'COLOMB$ '!Y13</f>
        <v>1994636.602</v>
      </c>
      <c r="Z13" s="36">
        <f>+X13-Y13</f>
        <v>-266515.60199999996</v>
      </c>
      <c r="AA13" s="37">
        <f>IF(X13=0,"",(Y13-X13)/ABS(X13)+1)</f>
        <v>1.1542227668085741</v>
      </c>
      <c r="AB13" s="35">
        <f>+'COLOMB$ '!AB13</f>
        <v>1407066.5490000001</v>
      </c>
      <c r="AC13" s="34">
        <f>IF(AB13=0,"",(Y13-AB13)/ABS(AB13))</f>
        <v>0.41758511949387533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12131</v>
      </c>
      <c r="V14" s="35">
        <f>+'COLOMB$ '!V14</f>
        <v>3250.4720000000002</v>
      </c>
      <c r="W14" s="35">
        <f>+'COLOMB$ '!W14</f>
        <v>11678.036</v>
      </c>
      <c r="X14" s="35">
        <f>+'COLOMB$ '!X14</f>
        <v>133021</v>
      </c>
      <c r="Y14" s="35">
        <f>+'COLOMB$ '!Y14</f>
        <v>126290.717</v>
      </c>
      <c r="Z14" s="36">
        <f>+X14-Y14</f>
        <v>6730.2829999999958</v>
      </c>
      <c r="AA14" s="37">
        <f>IF(X14=0,"",(Y14-X14)/ABS(X14)+1)</f>
        <v>0.94940435720675687</v>
      </c>
      <c r="AB14" s="35">
        <f>+'COLOMB$ '!AB14</f>
        <v>113541.799</v>
      </c>
      <c r="AC14" s="34">
        <f>IF(AB14=0,"",(Y14-AB14)/ABS(AB14))</f>
        <v>0.11228391757294602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149071</v>
      </c>
      <c r="D15" s="33">
        <f t="shared" si="0"/>
        <v>0.14187225967198386</v>
      </c>
      <c r="E15" s="32">
        <v>137304.36199999999</v>
      </c>
      <c r="F15" s="33">
        <f t="shared" si="1"/>
        <v>0.14859524509542721</v>
      </c>
      <c r="G15" s="33">
        <f t="shared" si="2"/>
        <v>0.92106688759047695</v>
      </c>
      <c r="H15" s="32">
        <v>116636.42</v>
      </c>
      <c r="I15" s="33">
        <f t="shared" si="3"/>
        <v>0.12934755720610944</v>
      </c>
      <c r="J15" s="34">
        <f t="shared" si="4"/>
        <v>0.17719972886684962</v>
      </c>
      <c r="K15" s="32">
        <v>1595574</v>
      </c>
      <c r="L15" s="33">
        <f t="shared" si="5"/>
        <v>0.13887900983118562</v>
      </c>
      <c r="M15" s="32">
        <v>1472356.19</v>
      </c>
      <c r="N15" s="33">
        <f t="shared" si="6"/>
        <v>0.1364228467917388</v>
      </c>
      <c r="O15" s="33">
        <f t="shared" si="7"/>
        <v>0.92277524577362124</v>
      </c>
      <c r="P15" s="32">
        <v>1467603.091</v>
      </c>
      <c r="Q15" s="33">
        <f t="shared" si="8"/>
        <v>0.14168272740023824</v>
      </c>
      <c r="R15" s="34">
        <f t="shared" si="9"/>
        <v>3.2386815135155159E-3</v>
      </c>
      <c r="S15" s="24"/>
      <c r="T15" s="19" t="s">
        <v>35</v>
      </c>
      <c r="U15" s="35">
        <f>+'COLOMB$ '!U15</f>
        <v>408533</v>
      </c>
      <c r="V15" s="35">
        <f>+'COLOMB$ '!V15</f>
        <v>421892.261</v>
      </c>
      <c r="W15" s="35">
        <f>+'COLOMB$ '!W15</f>
        <v>418115.35</v>
      </c>
      <c r="X15" s="35">
        <f>+'COLOMB$ '!X15</f>
        <v>4812686</v>
      </c>
      <c r="Y15" s="35">
        <f>+'COLOMB$ '!Y15</f>
        <v>4881323.1100000003</v>
      </c>
      <c r="Z15" s="36">
        <f>+X15-Y15</f>
        <v>-68637.110000000335</v>
      </c>
      <c r="AA15" s="37">
        <f>IF(X15=0,"",(Y15-X15)/ABS(X15)+1)</f>
        <v>1.0142617054177232</v>
      </c>
      <c r="AB15" s="35">
        <f>+'COLOMB$ '!AB15</f>
        <v>4350271.0829999996</v>
      </c>
      <c r="AC15" s="34">
        <f>IF(AB15=0,"",(Y15-AB15)/ABS(AB15))</f>
        <v>0.12207331839049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319681</v>
      </c>
      <c r="V16" s="35">
        <f>+'COLOMB$ '!V16</f>
        <v>229201.34904</v>
      </c>
      <c r="W16" s="35">
        <f>+'COLOMB$ '!W16</f>
        <v>244593.73288999998</v>
      </c>
      <c r="X16" s="35">
        <f>+'COLOMB$ '!X16</f>
        <v>3390272</v>
      </c>
      <c r="Y16" s="35">
        <f>+'COLOMB$ '!Y16</f>
        <v>2719215.3380999998</v>
      </c>
      <c r="Z16" s="36">
        <f>+X16-Y16</f>
        <v>671056.66190000018</v>
      </c>
      <c r="AA16" s="37">
        <f>IF(X16=0,"",(Y16-X16)/ABS(X16)+1)</f>
        <v>0.80206406391581553</v>
      </c>
      <c r="AB16" s="35">
        <f>+'COLOMB$ '!AB16</f>
        <v>2811280.63717</v>
      </c>
      <c r="AC16" s="34">
        <f>IF(AB16=0,"",(Y16-AB16)/ABS(AB16))</f>
        <v>-3.274852672221245E-2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17114</v>
      </c>
      <c r="D17" s="33">
        <f t="shared" si="0"/>
        <v>1.6287553260032683E-2</v>
      </c>
      <c r="E17" s="32">
        <v>16565.468000000001</v>
      </c>
      <c r="F17" s="33">
        <f t="shared" si="1"/>
        <v>1.7927688106372446E-2</v>
      </c>
      <c r="G17" s="33">
        <f t="shared" si="2"/>
        <v>0.96794834638307825</v>
      </c>
      <c r="H17" s="32">
        <v>13345.119000000001</v>
      </c>
      <c r="I17" s="33">
        <f t="shared" si="3"/>
        <v>1.4799481527938169E-2</v>
      </c>
      <c r="J17" s="34">
        <f t="shared" si="4"/>
        <v>0.24131287251915851</v>
      </c>
      <c r="K17" s="32">
        <v>187079</v>
      </c>
      <c r="L17" s="33">
        <f t="shared" si="5"/>
        <v>1.6283385339826529E-2</v>
      </c>
      <c r="M17" s="32">
        <v>182136.18900000001</v>
      </c>
      <c r="N17" s="33">
        <f t="shared" si="6"/>
        <v>1.6876036910048367E-2</v>
      </c>
      <c r="O17" s="33">
        <f t="shared" si="7"/>
        <v>0.97357901742044817</v>
      </c>
      <c r="P17" s="32">
        <v>163927.505</v>
      </c>
      <c r="Q17" s="33">
        <f t="shared" si="8"/>
        <v>1.5825597633819778E-2</v>
      </c>
      <c r="R17" s="34">
        <f t="shared" si="9"/>
        <v>0.11107766204335269</v>
      </c>
      <c r="S17" s="24"/>
      <c r="T17" s="19" t="s">
        <v>37</v>
      </c>
      <c r="U17" s="35">
        <f>U13+U14+U15+U16</f>
        <v>862073</v>
      </c>
      <c r="V17" s="35">
        <f>V13+V14+V15+V16</f>
        <v>849328.61704000004</v>
      </c>
      <c r="W17" s="35">
        <f>W13+W14+W15+W16</f>
        <v>808540.33088999998</v>
      </c>
      <c r="X17" s="35">
        <f>X13+X14+X15+X16</f>
        <v>10064100</v>
      </c>
      <c r="Y17" s="35">
        <f>Y13+Y14+Y15+Y16</f>
        <v>9721465.7671000008</v>
      </c>
      <c r="Z17" s="36">
        <f>+Y17-X17</f>
        <v>-342634.23289999925</v>
      </c>
      <c r="AA17" s="37">
        <f>IF(X17=0,"",(Y17-X17)/ABS(X17)+1)</f>
        <v>0.96595480640096987</v>
      </c>
      <c r="AB17" s="35">
        <f>+'COLOMB$ '!AB17</f>
        <v>8682160.0681699999</v>
      </c>
      <c r="AC17" s="34">
        <f>IF(AB17=0,"",(Y17-AB17)/ABS(AB17))</f>
        <v>0.11970589009758521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187827</v>
      </c>
      <c r="D18" s="33">
        <f t="shared" si="0"/>
        <v>0.17875670598177856</v>
      </c>
      <c r="E18" s="32">
        <v>183709.155</v>
      </c>
      <c r="F18" s="33">
        <f t="shared" si="1"/>
        <v>0.19881602096151052</v>
      </c>
      <c r="G18" s="33">
        <f t="shared" si="2"/>
        <v>0.97807639476752539</v>
      </c>
      <c r="H18" s="32">
        <v>141966.872</v>
      </c>
      <c r="I18" s="33">
        <f t="shared" si="3"/>
        <v>0.15743854361607135</v>
      </c>
      <c r="J18" s="41">
        <f t="shared" si="4"/>
        <v>0.29402833500480308</v>
      </c>
      <c r="K18" s="32">
        <v>1928334</v>
      </c>
      <c r="L18" s="33">
        <f t="shared" si="5"/>
        <v>0.16784249213374591</v>
      </c>
      <c r="M18" s="32">
        <v>1989835.9639999999</v>
      </c>
      <c r="N18" s="33">
        <f t="shared" si="6"/>
        <v>0.18437052711916393</v>
      </c>
      <c r="O18" s="33">
        <f t="shared" si="7"/>
        <v>1.0318938337445691</v>
      </c>
      <c r="P18" s="32">
        <v>1522287.6340000001</v>
      </c>
      <c r="Q18" s="33">
        <f t="shared" si="8"/>
        <v>0.14696198529114141</v>
      </c>
      <c r="R18" s="34">
        <f t="shared" si="9"/>
        <v>0.30713533996952891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62242</v>
      </c>
      <c r="D19" s="33">
        <f t="shared" si="0"/>
        <v>5.9236291341063119E-2</v>
      </c>
      <c r="E19" s="32">
        <v>54854.877999999997</v>
      </c>
      <c r="F19" s="33">
        <f t="shared" si="1"/>
        <v>5.9365732612994174E-2</v>
      </c>
      <c r="G19" s="33">
        <f t="shared" si="2"/>
        <v>0.8813161209472703</v>
      </c>
      <c r="H19" s="32">
        <v>56598.205999999998</v>
      </c>
      <c r="I19" s="33">
        <f t="shared" si="3"/>
        <v>6.2766327090184745E-2</v>
      </c>
      <c r="J19" s="34">
        <f t="shared" si="4"/>
        <v>-3.0801824354644763E-2</v>
      </c>
      <c r="K19" s="32">
        <v>686632</v>
      </c>
      <c r="L19" s="33">
        <f t="shared" si="5"/>
        <v>5.9764556378085032E-2</v>
      </c>
      <c r="M19" s="32">
        <v>614412.96400000004</v>
      </c>
      <c r="N19" s="33">
        <f t="shared" si="6"/>
        <v>5.6929135914204385E-2</v>
      </c>
      <c r="O19" s="33">
        <f t="shared" si="7"/>
        <v>0.8948213366111688</v>
      </c>
      <c r="P19" s="32">
        <v>632410.46499999997</v>
      </c>
      <c r="Q19" s="33">
        <f t="shared" si="8"/>
        <v>6.1053046335981659E-2</v>
      </c>
      <c r="R19" s="34">
        <f t="shared" si="9"/>
        <v>-2.8458575555039136E-2</v>
      </c>
      <c r="S19" s="24"/>
      <c r="T19" s="19" t="s">
        <v>38</v>
      </c>
      <c r="U19" s="35">
        <f>U11-U17</f>
        <v>432512</v>
      </c>
      <c r="V19" s="35">
        <f>V11-V17</f>
        <v>69755.293670000043</v>
      </c>
      <c r="W19" s="35">
        <f>W11-W17</f>
        <v>289950.00074000016</v>
      </c>
      <c r="X19" s="35">
        <f>X11-X17</f>
        <v>3274808</v>
      </c>
      <c r="Y19" s="35">
        <f>Y11-Y17</f>
        <v>2516580.9189199992</v>
      </c>
      <c r="Z19" s="36">
        <f>+Y19-X19</f>
        <v>-758227.08108000085</v>
      </c>
      <c r="AA19" s="37">
        <f>IF(X19=0,"",(Y19-X19)/ABS(X19)+1)</f>
        <v>0.76846670672601236</v>
      </c>
      <c r="AB19" s="35">
        <f>AB11-AB17</f>
        <v>3782781.068260001</v>
      </c>
      <c r="AC19" s="34">
        <f>IF(AB19=0,"",(Y19-AB19)/ABS(AB19))</f>
        <v>-0.33472731476961393</v>
      </c>
      <c r="AE19" s="40"/>
    </row>
    <row r="20" spans="1:32" x14ac:dyDescent="0.2">
      <c r="B20" s="42" t="s">
        <v>39</v>
      </c>
      <c r="C20" s="43">
        <f>SUM(C10:C19)</f>
        <v>1050741</v>
      </c>
      <c r="D20" s="44">
        <f t="shared" si="0"/>
        <v>1</v>
      </c>
      <c r="E20" s="43">
        <f>SUM(E10:E19)</f>
        <v>924015.85199999996</v>
      </c>
      <c r="F20" s="44">
        <f t="shared" si="1"/>
        <v>1</v>
      </c>
      <c r="G20" s="44">
        <f t="shared" si="2"/>
        <v>0.87939449588433305</v>
      </c>
      <c r="H20" s="43">
        <f>SUM(H10:H19)</f>
        <v>901728.81900000002</v>
      </c>
      <c r="I20" s="44">
        <f>+H22/$H$22</f>
        <v>1</v>
      </c>
      <c r="J20" s="45">
        <f t="shared" si="4"/>
        <v>2.4715892993988846E-2</v>
      </c>
      <c r="K20" s="43">
        <f>SUM(K10:K19)</f>
        <v>11488950</v>
      </c>
      <c r="L20" s="44">
        <f t="shared" si="5"/>
        <v>1</v>
      </c>
      <c r="M20" s="43">
        <f>SUM(M10:M19)</f>
        <v>10792592.47718</v>
      </c>
      <c r="N20" s="44">
        <f t="shared" si="6"/>
        <v>1</v>
      </c>
      <c r="O20" s="44">
        <f t="shared" si="7"/>
        <v>0.93938893259871448</v>
      </c>
      <c r="P20" s="43">
        <f>SUM(P10:P19)</f>
        <v>10358376.9026</v>
      </c>
      <c r="Q20" s="44">
        <f t="shared" si="8"/>
        <v>1</v>
      </c>
      <c r="R20" s="45">
        <f t="shared" si="9"/>
        <v>4.1919267725333553E-2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438518</v>
      </c>
      <c r="V21" s="35">
        <f>+V10+V19</f>
        <v>85950.293670000043</v>
      </c>
      <c r="W21" s="35">
        <f>+'COLOMB$ '!W21</f>
        <v>441732.00074000016</v>
      </c>
      <c r="X21" s="35">
        <f>+X10+X19</f>
        <v>3320559</v>
      </c>
      <c r="Y21" s="35">
        <f>+Y10+Y19</f>
        <v>2552476.9189199992</v>
      </c>
      <c r="Z21" s="36">
        <f>+Y21-X21</f>
        <v>-768082.08108000085</v>
      </c>
      <c r="AA21" s="37">
        <f>IF(X21=0,"",(Y21-X21)/ABS(X21)+1)</f>
        <v>0.76868892223267204</v>
      </c>
      <c r="AB21" s="35">
        <f>+'COLOMB$ '!AB21</f>
        <v>3814889.068260001</v>
      </c>
      <c r="AC21" s="34">
        <f>IF(AB21=0,"",(Y21-AB21)/ABS(AB21))</f>
        <v>-0.330917131992988</v>
      </c>
    </row>
    <row r="22" spans="1:32" x14ac:dyDescent="0.2">
      <c r="B22" s="19" t="s">
        <v>41</v>
      </c>
      <c r="C22" s="32">
        <v>100612</v>
      </c>
      <c r="D22" s="33">
        <f>+C22/$C$20</f>
        <v>9.5753377854295205E-2</v>
      </c>
      <c r="E22" s="32">
        <v>83940.549620000005</v>
      </c>
      <c r="F22" s="33">
        <f>+E22/$E$20</f>
        <v>9.084319217934804E-2</v>
      </c>
      <c r="G22" s="33">
        <f>IF(C22=0,"",(E22-C22)/ABS(C22)+1)</f>
        <v>0.83429958275354832</v>
      </c>
      <c r="H22" s="32">
        <v>91901.79565</v>
      </c>
      <c r="I22" s="33">
        <f>+H22/$H$20</f>
        <v>0.10191733225507568</v>
      </c>
      <c r="J22" s="34">
        <f>IF(H22=0,"",(E22-H22)/ABS(H22))</f>
        <v>-8.6627752740759373E-2</v>
      </c>
      <c r="K22" s="32">
        <v>1127656</v>
      </c>
      <c r="L22" s="33">
        <f>+K22/$K$20</f>
        <v>9.81513541272266E-2</v>
      </c>
      <c r="M22" s="32">
        <v>1262866.3192700001</v>
      </c>
      <c r="N22" s="33">
        <f>+M22/$M$20</f>
        <v>0.11701232321522574</v>
      </c>
      <c r="O22" s="33">
        <f>IF(K22=0,"",(M22-K22)/ABS(K22)+1)</f>
        <v>1.1199038707460431</v>
      </c>
      <c r="P22" s="32">
        <v>933214.69627999992</v>
      </c>
      <c r="Q22" s="33">
        <f>+P22/$P$20</f>
        <v>9.0092753435700793E-2</v>
      </c>
      <c r="R22" s="34">
        <f>IF(P22=0,"",(M22-P22)/ABS(P22))</f>
        <v>0.35324306861439753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0</v>
      </c>
      <c r="V23" s="35">
        <f>+'COLOMB$ '!V23</f>
        <v>9574.5460000000003</v>
      </c>
      <c r="W23" s="35">
        <f>+'COLOMB$ '!W23</f>
        <v>120.65900000000001</v>
      </c>
      <c r="X23" s="35">
        <f>+'COLOMB$ '!X23</f>
        <v>115236</v>
      </c>
      <c r="Y23" s="35">
        <f>+'COLOMB$ '!Y23</f>
        <v>441189.49214999995</v>
      </c>
      <c r="Z23" s="36">
        <f>+Y23-X23</f>
        <v>325953.49214999995</v>
      </c>
      <c r="AA23" s="37">
        <f>IF(X23=0,"",(Y23-X23)/ABS(X23)+1)</f>
        <v>3.828573467926689</v>
      </c>
      <c r="AB23" s="35">
        <f>+'COLOMB$ '!AB23</f>
        <v>196141.56221999999</v>
      </c>
      <c r="AC23" s="34">
        <f>IF(AB23=0,"",(Y23-AB23)/ABS(AB23))</f>
        <v>1.2493421952821233</v>
      </c>
    </row>
    <row r="24" spans="1:32" x14ac:dyDescent="0.2">
      <c r="B24" s="46" t="s">
        <v>43</v>
      </c>
      <c r="C24" s="35">
        <f>+C20-C22</f>
        <v>950129</v>
      </c>
      <c r="D24" s="33">
        <f>+C24/$C$20</f>
        <v>0.90424662214570484</v>
      </c>
      <c r="E24" s="35">
        <f>+E20-E22</f>
        <v>840075.30238000001</v>
      </c>
      <c r="F24" s="33">
        <f>+E24/$E$20</f>
        <v>0.909156807820652</v>
      </c>
      <c r="G24" s="33">
        <f>IF(C24=0,"",(E24-C24)/ABS(C24)+1)</f>
        <v>0.88416973103652241</v>
      </c>
      <c r="H24" s="35">
        <f>+H20-H22</f>
        <v>809827.02335000003</v>
      </c>
      <c r="I24" s="33">
        <f>+H24/$H$20</f>
        <v>0.89808266774492429</v>
      </c>
      <c r="J24" s="34">
        <f>IF(H24=0,"",(E24-H24)/ABS(H24))</f>
        <v>3.7351530830463456E-2</v>
      </c>
      <c r="K24" s="35">
        <f>+K20-K22</f>
        <v>10361294</v>
      </c>
      <c r="L24" s="33">
        <f>+K24/$K$20</f>
        <v>0.90184864587277336</v>
      </c>
      <c r="M24" s="35">
        <f>+M20-M22</f>
        <v>9529726.1579100005</v>
      </c>
      <c r="N24" s="33">
        <f>+M24/$M$20</f>
        <v>0.8829876767847743</v>
      </c>
      <c r="O24" s="33">
        <f>IF(K24=0,"",(M24-K24)/ABS(K24)+1)</f>
        <v>0.91974285817099688</v>
      </c>
      <c r="P24" s="35">
        <f>+P20-P22</f>
        <v>9425162.2063199989</v>
      </c>
      <c r="Q24" s="33">
        <f>+P24/$P$20</f>
        <v>0.90990724656429911</v>
      </c>
      <c r="R24" s="34">
        <f>IF(P24=0,"",(M24-P24)/ABS(P24))</f>
        <v>1.1094127538716173E-2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333405</v>
      </c>
      <c r="V25" s="35">
        <f>+'COLOMB$ '!V25</f>
        <v>299056.09948000003</v>
      </c>
      <c r="W25" s="35">
        <f>+'COLOMB$ '!W25</f>
        <v>296074.19151999999</v>
      </c>
      <c r="X25" s="35">
        <f>+'COLOMB$ '!X25</f>
        <v>2265099</v>
      </c>
      <c r="Y25" s="35">
        <f>+'COLOMB$ '!Y25</f>
        <v>2130597.94631</v>
      </c>
      <c r="Z25" s="36">
        <f>+Y25-X25</f>
        <v>-134501.05368999997</v>
      </c>
      <c r="AA25" s="37">
        <f>IF(X25=0,"",(Y25-X25)/ABS(X25)+1)</f>
        <v>0.94062023174704512</v>
      </c>
      <c r="AB25" s="35">
        <f>+'COLOMB$ '!AB25</f>
        <v>2127526.1432099999</v>
      </c>
      <c r="AC25" s="34">
        <f>IF(AB25=0,"",(Y25-AB25)/ABS(AB25))</f>
        <v>1.4438380039670938E-3</v>
      </c>
    </row>
    <row r="26" spans="1:32" x14ac:dyDescent="0.2">
      <c r="B26" s="19" t="s">
        <v>45</v>
      </c>
      <c r="C26" s="32">
        <v>217122</v>
      </c>
      <c r="D26" s="33">
        <f>+C26/$C$20</f>
        <v>0.20663703043851911</v>
      </c>
      <c r="E26" s="32">
        <v>232098.98254</v>
      </c>
      <c r="F26" s="33">
        <f>+E26/$E$20</f>
        <v>0.25118506575144772</v>
      </c>
      <c r="G26" s="33">
        <f>IF(C26=0,"",(E26-C26)/ABS(C26)+1)</f>
        <v>1.0689795715772699</v>
      </c>
      <c r="H26" s="32">
        <v>234643.09387000001</v>
      </c>
      <c r="I26" s="33">
        <f>+H26/$H$20</f>
        <v>0.26021469972559458</v>
      </c>
      <c r="J26" s="34">
        <f>IF(H26=0,"",(E26-H26)/ABS(H26))</f>
        <v>-1.0842472659389394E-2</v>
      </c>
      <c r="K26" s="32">
        <v>2456842</v>
      </c>
      <c r="L26" s="33">
        <f>+K26/$K$20</f>
        <v>0.2138439108882883</v>
      </c>
      <c r="M26" s="32">
        <v>2355897.0392100001</v>
      </c>
      <c r="N26" s="33">
        <f>+M26/$M$20</f>
        <v>0.21828833472507553</v>
      </c>
      <c r="O26" s="33">
        <f>IF(K26=0,"",(M26-K26)/ABS(K26)+1)</f>
        <v>0.95891271771241293</v>
      </c>
      <c r="P26" s="32">
        <v>2236725.5563300001</v>
      </c>
      <c r="Q26" s="33">
        <f>+P26/$P$20</f>
        <v>0.21593398052242835</v>
      </c>
      <c r="R26" s="34">
        <f>IF(P26=0,"",(M26-P26)/ABS(P26))</f>
        <v>5.3279439018676732E-2</v>
      </c>
      <c r="S26" s="24"/>
      <c r="AC26" s="34"/>
    </row>
    <row r="27" spans="1:32" x14ac:dyDescent="0.2">
      <c r="B27" s="19" t="s">
        <v>46</v>
      </c>
      <c r="C27" s="32">
        <v>329195</v>
      </c>
      <c r="D27" s="33">
        <f>+C27/$C$20</f>
        <v>0.31329794878090794</v>
      </c>
      <c r="E27" s="32">
        <v>341819.42492999998</v>
      </c>
      <c r="F27" s="33">
        <f>+E27/$E$20</f>
        <v>0.36992809613616889</v>
      </c>
      <c r="G27" s="33">
        <f>IF(C27=0,"",(E27-C27)/ABS(C27)+1)</f>
        <v>1.0383493823721501</v>
      </c>
      <c r="H27" s="32">
        <v>342623.21824999998</v>
      </c>
      <c r="I27" s="33">
        <f>+H27/$H$20</f>
        <v>0.37996259078196321</v>
      </c>
      <c r="J27" s="34">
        <f>IF(H27=0,"",(E27-H27)/ABS(H27))</f>
        <v>-2.3459978109641642E-3</v>
      </c>
      <c r="K27" s="32">
        <v>3748813</v>
      </c>
      <c r="L27" s="33">
        <f>+K27/$K$20</f>
        <v>0.32629726824470467</v>
      </c>
      <c r="M27" s="32">
        <v>3754864.9047300001</v>
      </c>
      <c r="N27" s="33">
        <f>+M27/$M$20</f>
        <v>0.34791130237422896</v>
      </c>
      <c r="O27" s="33">
        <f>IF(K27=0,"",(M27-K27)/ABS(K27)+1)</f>
        <v>1.0016143522576346</v>
      </c>
      <c r="P27" s="32">
        <v>3408660.2933100001</v>
      </c>
      <c r="Q27" s="33">
        <f>+P27/$P$20</f>
        <v>0.32907281955094825</v>
      </c>
      <c r="R27" s="34">
        <f>IF(P27=0,"",(M27-P27)/ABS(P27))</f>
        <v>0.10156618191008289</v>
      </c>
      <c r="S27" s="24"/>
      <c r="T27" s="19" t="s">
        <v>47</v>
      </c>
      <c r="U27" s="35">
        <f>+'COLOMB$ '!U27</f>
        <v>23115</v>
      </c>
      <c r="V27" s="35">
        <f>+'COLOMB$ '!V27</f>
        <v>-153809.68922999999</v>
      </c>
      <c r="W27" s="35">
        <f>+'COLOMB$ '!W27</f>
        <v>12448</v>
      </c>
      <c r="X27" s="35">
        <f>+'COLOMB$ '!X27</f>
        <v>289476</v>
      </c>
      <c r="Y27" s="35">
        <f>+'COLOMB$ '!Y27</f>
        <v>-509332</v>
      </c>
      <c r="Z27" s="36">
        <f>+Y27-X27</f>
        <v>-798808</v>
      </c>
      <c r="AA27" s="37">
        <f>IF(X27=0,"",(Y27-X27)/ABS(X27)+1)</f>
        <v>-1.7594964694827895</v>
      </c>
      <c r="AB27" s="35">
        <f>+'COLOMB$ '!AB27</f>
        <v>843208</v>
      </c>
      <c r="AC27" s="34">
        <f>IF(AB27=0,"",(Y27-AB27)/ABS(AB27))</f>
        <v>-1.6040407586265786</v>
      </c>
    </row>
    <row r="28" spans="1:32" x14ac:dyDescent="0.2">
      <c r="B28" s="19" t="s">
        <v>48</v>
      </c>
      <c r="C28" s="35">
        <f>SUM(C26:C27)</f>
        <v>546317</v>
      </c>
      <c r="D28" s="33">
        <f>+C28/$C$20</f>
        <v>0.51993497921942711</v>
      </c>
      <c r="E28" s="35">
        <f>SUM(E26:E27)</f>
        <v>573918.40746999998</v>
      </c>
      <c r="F28" s="33">
        <f>+E28/$E$20</f>
        <v>0.62111316188761667</v>
      </c>
      <c r="G28" s="33">
        <f>IF(C28=0,"",(E28-C28)/ABS(C28)+1)</f>
        <v>1.0505226955595377</v>
      </c>
      <c r="H28" s="35">
        <f>SUM(H26:H27)</f>
        <v>577266.31212000002</v>
      </c>
      <c r="I28" s="33">
        <f>+H28/$H$20</f>
        <v>0.64017729050755778</v>
      </c>
      <c r="J28" s="34">
        <f>IF(H28=0,"",(E28-H28)/ABS(H28))</f>
        <v>-5.7995843161277186E-3</v>
      </c>
      <c r="K28" s="35">
        <f>SUM(K26:K27)</f>
        <v>6205655</v>
      </c>
      <c r="L28" s="33">
        <f>+K28/$K$20</f>
        <v>0.54014117913299298</v>
      </c>
      <c r="M28" s="35">
        <f>SUM(M26:M27)</f>
        <v>6110761.9439400006</v>
      </c>
      <c r="N28" s="33">
        <f>+M28/$M$20</f>
        <v>0.56619963709930454</v>
      </c>
      <c r="O28" s="33">
        <f>IF(K28=0,"",(M28-K28)/ABS(K28)+1)</f>
        <v>0.98470861559980383</v>
      </c>
      <c r="P28" s="35">
        <f>SUM(P26:P27)</f>
        <v>5645385.8496400006</v>
      </c>
      <c r="Q28" s="33">
        <f>+P28/$P$20</f>
        <v>0.54500680007337665</v>
      </c>
      <c r="R28" s="34">
        <f>IF(P28=0,"",(M28-P28)/ABS(P28))</f>
        <v>8.2434771810978427E-2</v>
      </c>
      <c r="S28" s="24"/>
      <c r="T28" s="19" t="s">
        <v>49</v>
      </c>
      <c r="U28" s="35">
        <f>+'COLOMB$ '!U28</f>
        <v>81250</v>
      </c>
      <c r="V28" s="35">
        <f>+'COLOMB$ '!V28</f>
        <v>77794.481040000013</v>
      </c>
      <c r="W28" s="35">
        <f>+'COLOMB$ '!W28</f>
        <v>76386.498999999996</v>
      </c>
      <c r="X28" s="35">
        <f>+'COLOMB$ '!X28</f>
        <v>650000</v>
      </c>
      <c r="Y28" s="35">
        <f>+'COLOMB$ '!Y28</f>
        <v>636686.92088999995</v>
      </c>
      <c r="Z28" s="36">
        <f>+Y28-X28</f>
        <v>-13313.07911000005</v>
      </c>
      <c r="AA28" s="37">
        <f>IF(X28=0,"",(Y28-X28)/ABS(X28)+1)</f>
        <v>0.97951833983076919</v>
      </c>
      <c r="AB28" s="35">
        <f>+'COLOMB$ '!AB28</f>
        <v>591311.10629999998</v>
      </c>
      <c r="AC28" s="34">
        <f>IF(AB28=0,"",(Y28-AB28)/ABS(AB28))</f>
        <v>7.6737632874730205E-2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56990</v>
      </c>
      <c r="D30" s="33">
        <f>+C30/$C$20</f>
        <v>5.4237914005449486E-2</v>
      </c>
      <c r="E30" s="35">
        <v>61693.180999999997</v>
      </c>
      <c r="F30" s="33">
        <f>+E30/$E$20</f>
        <v>6.676636647138387E-2</v>
      </c>
      <c r="G30" s="33">
        <f>IF(C30=0,"",(E30-C30)/ABS(C30)+1)</f>
        <v>1.0825264256887173</v>
      </c>
      <c r="H30" s="35">
        <v>58976.982000000004</v>
      </c>
      <c r="I30" s="33">
        <f>+H30/$H$20</f>
        <v>6.5404344141295548E-2</v>
      </c>
      <c r="J30" s="34">
        <f>IF(H30=0,"",(E30-H30)/ABS(H30))</f>
        <v>4.6055238974418752E-2</v>
      </c>
      <c r="K30" s="35">
        <v>651918</v>
      </c>
      <c r="L30" s="33">
        <f>+K30/$K$20</f>
        <v>5.6743044403535572E-2</v>
      </c>
      <c r="M30" s="35">
        <v>626757.04963000002</v>
      </c>
      <c r="N30" s="33">
        <f>+M30/$M$20</f>
        <v>5.8072891286799107E-2</v>
      </c>
      <c r="O30" s="33">
        <f>IF(K30=0,"",(M30-K30)/ABS(K30)+1)</f>
        <v>0.96140473131590176</v>
      </c>
      <c r="P30" s="35">
        <v>600735.06907000009</v>
      </c>
      <c r="Q30" s="33">
        <f>+P30/$P$20</f>
        <v>5.7995096598504041E-2</v>
      </c>
      <c r="R30" s="34">
        <f>IF(P30=0,"",(M30-P30)/ABS(P30))</f>
        <v>4.331689941172346E-2</v>
      </c>
      <c r="S30" s="24"/>
      <c r="T30" s="42" t="s">
        <v>51</v>
      </c>
      <c r="U30" s="43">
        <f>U21-U23-U25-U27-U28</f>
        <v>748</v>
      </c>
      <c r="V30" s="43">
        <f>V21-V23-V25-V27-V28</f>
        <v>-146665.14362000002</v>
      </c>
      <c r="W30" s="43">
        <f>W21-W23-W25-W27-W28</f>
        <v>56702.651220000189</v>
      </c>
      <c r="X30" s="43">
        <f>X21-X23-X25-X27-X28</f>
        <v>748</v>
      </c>
      <c r="Y30" s="43">
        <f>Y21-Y23-Y25-Y27-Y28</f>
        <v>-146665.44043000066</v>
      </c>
      <c r="Z30" s="47">
        <f>+Y30-X30</f>
        <v>-147413.44043000066</v>
      </c>
      <c r="AA30" s="48">
        <f>IF(U30=0,"",(V30-U30)/ABS(U30)+1)</f>
        <v>-196.07639521390377</v>
      </c>
      <c r="AB30" s="43">
        <f>AB21-AB23-AB25-AB27-AB28</f>
        <v>56702.256530000945</v>
      </c>
      <c r="AC30" s="34">
        <f>IF(AB30=0,"",(Y30-AB30)/ABS(AB30))</f>
        <v>-3.5865891307588531</v>
      </c>
    </row>
    <row r="31" spans="1:32" x14ac:dyDescent="0.2">
      <c r="B31" s="19" t="s">
        <v>52</v>
      </c>
      <c r="C31" s="35">
        <v>209359</v>
      </c>
      <c r="D31" s="33">
        <f>+C31/$C$20</f>
        <v>0.19924891100661343</v>
      </c>
      <c r="E31" s="35">
        <v>213366.09722</v>
      </c>
      <c r="F31" s="33">
        <f>+E31/$E$20</f>
        <v>0.23091172814641281</v>
      </c>
      <c r="G31" s="33">
        <f>IF(C31=0,"",(E31-C31)/ABS(C31)+1)</f>
        <v>1.0191398374084706</v>
      </c>
      <c r="H31" s="35">
        <v>192540.67415000001</v>
      </c>
      <c r="I31" s="33">
        <f>+H31/$H$20</f>
        <v>0.21352392215158869</v>
      </c>
      <c r="J31" s="34">
        <f>IF(H31=0,"",(E31-H31)/ABS(H31))</f>
        <v>0.10816116211256128</v>
      </c>
      <c r="K31" s="35">
        <v>2178255</v>
      </c>
      <c r="L31" s="33">
        <f>+K31/$K$20</f>
        <v>0.18959565495541367</v>
      </c>
      <c r="M31" s="35">
        <v>2132116.3618699997</v>
      </c>
      <c r="N31" s="33">
        <f>+M31/$M$20</f>
        <v>0.19755368011700383</v>
      </c>
      <c r="O31" s="33">
        <f>IF(K31=0,"",(M31-K31)/ABS(K31)+1)</f>
        <v>0.97881853220582515</v>
      </c>
      <c r="P31" s="35">
        <v>2039603.341</v>
      </c>
      <c r="Q31" s="33">
        <f>+P31/$P$20</f>
        <v>0.19690375820250858</v>
      </c>
      <c r="R31" s="34">
        <f>IF(P31=0,"",(M31-P31)/ABS(P31))</f>
        <v>4.535833954098218E-2</v>
      </c>
      <c r="S31" s="24"/>
    </row>
    <row r="32" spans="1:32" x14ac:dyDescent="0.2">
      <c r="B32" s="19" t="s">
        <v>53</v>
      </c>
      <c r="C32" s="35">
        <f>SUM(C30:C31)</f>
        <v>266349</v>
      </c>
      <c r="D32" s="33">
        <f>+C32/$C$20</f>
        <v>0.25348682501206293</v>
      </c>
      <c r="E32" s="35">
        <f>SUM(E30:E31)</f>
        <v>275059.27821999998</v>
      </c>
      <c r="F32" s="33">
        <f>+E32/$E$20</f>
        <v>0.29767809461779665</v>
      </c>
      <c r="G32" s="33">
        <f>IF(C32=0,"",(E32-C32)/ABS(C32)+1)</f>
        <v>1.0327025001783374</v>
      </c>
      <c r="H32" s="35">
        <f>SUM(H30:H31)</f>
        <v>251517.65615</v>
      </c>
      <c r="I32" s="33">
        <f>+H32/$H$20</f>
        <v>0.2789282662928842</v>
      </c>
      <c r="J32" s="34">
        <f>IF(H32=0,"",(E32-H32)/ABS(H32))</f>
        <v>9.3598288209080005E-2</v>
      </c>
      <c r="K32" s="35">
        <f>SUM(K30:K31)</f>
        <v>2830173</v>
      </c>
      <c r="L32" s="33">
        <f>+K32/$K$20</f>
        <v>0.24633869935894925</v>
      </c>
      <c r="M32" s="35">
        <f>SUM(M30:M31)</f>
        <v>2758873.4114999995</v>
      </c>
      <c r="N32" s="33">
        <f>+M32/$M$20</f>
        <v>0.2556265714038029</v>
      </c>
      <c r="O32" s="33">
        <f>IF(K32=0,"",(M32-K32)/ABS(K32)+1)</f>
        <v>0.97480733916265883</v>
      </c>
      <c r="P32" s="35">
        <f t="shared" ref="P32" si="10">SUM(P30:P31)</f>
        <v>2640338.4100700002</v>
      </c>
      <c r="Q32" s="33">
        <f>+P32/$P$20</f>
        <v>0.2548988548010126</v>
      </c>
      <c r="R32" s="34">
        <f>IF(P32=0,"",(M32-P32)/ABS(P32))</f>
        <v>4.4893867005046779E-2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812666</v>
      </c>
      <c r="D34" s="33">
        <f>+C34/$C$20</f>
        <v>0.77342180423148998</v>
      </c>
      <c r="E34" s="35">
        <f>E28+E32</f>
        <v>848977.68568999995</v>
      </c>
      <c r="F34" s="33">
        <f>+E34/$E$20</f>
        <v>0.91879125650541327</v>
      </c>
      <c r="G34" s="33">
        <f>IF(C34=0,"",(E34-C34)/ABS(C34)+1)</f>
        <v>1.0446821765522367</v>
      </c>
      <c r="H34" s="35">
        <f>H28+H32</f>
        <v>828783.96827000007</v>
      </c>
      <c r="I34" s="33">
        <f>+H34/$H$20</f>
        <v>0.91910555680044204</v>
      </c>
      <c r="J34" s="34">
        <f>IF(H34=0,"",(E34-H34)/ABS(H34))</f>
        <v>2.4365477848409832E-2</v>
      </c>
      <c r="K34" s="35">
        <f>K28+K32</f>
        <v>9035828</v>
      </c>
      <c r="L34" s="33">
        <f>+K34/$K$20</f>
        <v>0.78647987849194223</v>
      </c>
      <c r="M34" s="35">
        <f>M28+M32</f>
        <v>8869635.3554400001</v>
      </c>
      <c r="N34" s="33">
        <f>+M34/$M$20</f>
        <v>0.8218262085031075</v>
      </c>
      <c r="O34" s="33">
        <f>IF(K34=0,"",(M34-K34)/ABS(K34)+1)</f>
        <v>0.98160736962235229</v>
      </c>
      <c r="P34" s="35">
        <f>P28+P32</f>
        <v>8285724.2597100008</v>
      </c>
      <c r="Q34" s="33">
        <f>+P34/$P$20</f>
        <v>0.79990565487438925</v>
      </c>
      <c r="R34" s="34">
        <f>IF(P34=0,"",(M34-P34)/ABS(P34))</f>
        <v>7.0471943963826292E-2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137463</v>
      </c>
      <c r="D36" s="44">
        <f>+C36/$C$20</f>
        <v>0.13082481791421482</v>
      </c>
      <c r="E36" s="43">
        <f>E24-E34</f>
        <v>-8902.3833099999465</v>
      </c>
      <c r="F36" s="44">
        <f>+E36/$E$20</f>
        <v>-9.6344486847612515E-3</v>
      </c>
      <c r="G36" s="44">
        <f>IF(C36=0,"",(E36-C36)/ABS(C36)+1)</f>
        <v>-6.4762032765180111E-2</v>
      </c>
      <c r="H36" s="43">
        <f>H24-H34</f>
        <v>-18956.944920000038</v>
      </c>
      <c r="I36" s="44">
        <f>+H36/$H$20</f>
        <v>-2.1022889055517739E-2</v>
      </c>
      <c r="J36" s="45">
        <f>IF(H36=0,"",(E36-H36)/ABS(H36))</f>
        <v>0.53038934556339212</v>
      </c>
      <c r="K36" s="43">
        <f>K24-K34</f>
        <v>1325466</v>
      </c>
      <c r="L36" s="44">
        <f>+K36/$K$20</f>
        <v>0.11536876738083114</v>
      </c>
      <c r="M36" s="43">
        <f>+M24-M34</f>
        <v>660090.80247000046</v>
      </c>
      <c r="N36" s="44">
        <f>+M36/$M$20</f>
        <v>6.1161468281666811E-2</v>
      </c>
      <c r="O36" s="44">
        <f>IF(K36=0,"",(M36-K36)/ABS(K36)+1)</f>
        <v>0.49800658973523304</v>
      </c>
      <c r="P36" s="43">
        <f>P24-P34</f>
        <v>1139437.9466099981</v>
      </c>
      <c r="Q36" s="44">
        <f>+P36/$P$20</f>
        <v>0.11000159168990983</v>
      </c>
      <c r="R36" s="45">
        <f>IF(P36=0,"",(M36-P36)/ABS(P36))</f>
        <v>-0.42068736219127034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321</v>
      </c>
      <c r="D38" s="33">
        <f>+C38/$C$20</f>
        <v>3.0549869092383374E-4</v>
      </c>
      <c r="E38" s="32">
        <v>770.36265000000003</v>
      </c>
      <c r="F38" s="33">
        <f>+E38/$E$20</f>
        <v>8.3371150866359822E-4</v>
      </c>
      <c r="G38" s="33">
        <f>IF(C38=0,"",(E38-C38)/ABS(C38)+1)</f>
        <v>2.3998836448598131</v>
      </c>
      <c r="H38" s="32">
        <v>216.24870000000001</v>
      </c>
      <c r="I38" s="33">
        <f>+H38/$H$20</f>
        <v>2.3981566901656274E-4</v>
      </c>
      <c r="J38" s="34">
        <f>IF(H38=0,"",(E38-H38)/ABS(H38))</f>
        <v>2.5623920513741818</v>
      </c>
      <c r="K38" s="32">
        <v>3531</v>
      </c>
      <c r="L38" s="33">
        <f>+K38/$K$20</f>
        <v>3.0733879075111302E-4</v>
      </c>
      <c r="M38" s="32">
        <v>17864.950089999998</v>
      </c>
      <c r="N38" s="33">
        <f>+M38/$M$20</f>
        <v>1.6552973836243593E-3</v>
      </c>
      <c r="O38" s="33">
        <f>IF(K38=0,"",(M38-K38)/ABS(K38)+1)</f>
        <v>5.0594591022373265</v>
      </c>
      <c r="P38" s="32">
        <v>8474.2044700000006</v>
      </c>
      <c r="Q38" s="33">
        <f>+P38/$P$20</f>
        <v>8.1810157611400839E-4</v>
      </c>
      <c r="R38" s="34">
        <f>IF(P38=0,"",(M38-P38)/ABS(P38))</f>
        <v>1.1081566008047947</v>
      </c>
      <c r="S38" s="24"/>
    </row>
    <row r="39" spans="2:20" x14ac:dyDescent="0.2">
      <c r="B39" s="19" t="s">
        <v>57</v>
      </c>
      <c r="C39" s="32">
        <v>29350</v>
      </c>
      <c r="D39" s="33">
        <f>+C39/$C$20</f>
        <v>2.7932668469204114E-2</v>
      </c>
      <c r="E39" s="32">
        <v>32969.111369999999</v>
      </c>
      <c r="F39" s="33">
        <f>+E39/$E$20</f>
        <v>3.5680244336327688E-2</v>
      </c>
      <c r="G39" s="33">
        <f>IF(C39=0,"",(E39-C39)/ABS(C39)+1)</f>
        <v>1.123308734923339</v>
      </c>
      <c r="H39" s="32">
        <v>25749.052319999999</v>
      </c>
      <c r="I39" s="33">
        <f>+H39/$H$20</f>
        <v>2.8555206152283349E-2</v>
      </c>
      <c r="J39" s="34">
        <f>IF(H39=0,"",(E39-H39)/ABS(H39))</f>
        <v>0.28040096234500955</v>
      </c>
      <c r="K39" s="32">
        <v>351740</v>
      </c>
      <c r="L39" s="33">
        <f>+K39/$K$20</f>
        <v>3.0615504462983997E-2</v>
      </c>
      <c r="M39" s="32">
        <v>347907.72558999999</v>
      </c>
      <c r="N39" s="33">
        <f>+M39/$M$20</f>
        <v>3.2235788233978137E-2</v>
      </c>
      <c r="O39" s="33">
        <f>IF(K39=0,"",(M39-K39)/ABS(K39)+1)</f>
        <v>0.98910480920566324</v>
      </c>
      <c r="P39" s="32">
        <v>329417.54326000001</v>
      </c>
      <c r="Q39" s="33">
        <f>+P39/$P$20</f>
        <v>3.1802042574576979E-2</v>
      </c>
      <c r="R39" s="34">
        <f>IF(P39=0,"",(M39-P39)/ABS(P39))</f>
        <v>5.6129926011275609E-2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108434</v>
      </c>
      <c r="D41" s="33">
        <f>+C41/$C$20</f>
        <v>0.10319764813593454</v>
      </c>
      <c r="E41" s="35">
        <f>E36+E38-E39</f>
        <v>-41101.132029999942</v>
      </c>
      <c r="F41" s="33">
        <f>+E41/$E$20</f>
        <v>-4.4480981512425334E-2</v>
      </c>
      <c r="G41" s="33">
        <f>IF(C41=0,"",(E41-C41)/ABS(C41)+1)</f>
        <v>-0.37904284661637444</v>
      </c>
      <c r="H41" s="35">
        <f>H36+H38-H39</f>
        <v>-44489.748540000037</v>
      </c>
      <c r="I41" s="33">
        <f>+H41/$H$20</f>
        <v>-4.933827953878453E-2</v>
      </c>
      <c r="J41" s="34">
        <f>IF(H41=0,"",(E41-H41)/ABS(H41))</f>
        <v>7.6166232024293026E-2</v>
      </c>
      <c r="K41" s="35">
        <f>K36+K38-K39</f>
        <v>977257</v>
      </c>
      <c r="L41" s="33">
        <f>+K41/$K$20</f>
        <v>8.5060601708598263E-2</v>
      </c>
      <c r="M41" s="35">
        <f>M36+M38-M39</f>
        <v>330048.02697000041</v>
      </c>
      <c r="N41" s="33">
        <f>+M41/$M$20</f>
        <v>3.0580977431313033E-2</v>
      </c>
      <c r="O41" s="33">
        <f>IF(K41=0,"",(M41-K41)/ABS(K41)+1)</f>
        <v>0.33772899756154262</v>
      </c>
      <c r="P41" s="35">
        <f>P36+P38-P39</f>
        <v>818494.60781999817</v>
      </c>
      <c r="Q41" s="33">
        <f>+P41/$P$20</f>
        <v>7.9017650691446867E-2</v>
      </c>
      <c r="R41" s="34">
        <f>IF(P41=0,"",(M41-P41)/ABS(P41))</f>
        <v>-0.59676212425020159</v>
      </c>
    </row>
    <row r="42" spans="2:20" x14ac:dyDescent="0.2">
      <c r="B42" s="19" t="s">
        <v>44</v>
      </c>
      <c r="C42" s="32">
        <v>42573</v>
      </c>
      <c r="D42" s="33">
        <f>+C42/$C$20</f>
        <v>4.0517120774767525E-2</v>
      </c>
      <c r="E42" s="32">
        <v>-11472.157999999999</v>
      </c>
      <c r="F42" s="33">
        <f>+E42/$E$20</f>
        <v>-1.2415542412144678E-2</v>
      </c>
      <c r="G42" s="33">
        <f>IF(C42=0,"",(E42-C42)/ABS(C42)+1)</f>
        <v>-0.26947027458717954</v>
      </c>
      <c r="H42" s="32">
        <v>-12431.227000000001</v>
      </c>
      <c r="I42" s="33">
        <f>+H42/$H$20</f>
        <v>-1.3785992793028388E-2</v>
      </c>
      <c r="J42" s="34">
        <f>IF(H42=0,"",(E42-H42)/ABS(H42))</f>
        <v>7.7149986883837077E-2</v>
      </c>
      <c r="K42" s="32">
        <v>391887</v>
      </c>
      <c r="L42" s="33">
        <f>+K42/$K$20</f>
        <v>3.4109905604950842E-2</v>
      </c>
      <c r="M42" s="32">
        <v>127522.659</v>
      </c>
      <c r="N42" s="33">
        <f>+M42/$M$20</f>
        <v>1.1815757823677267E-2</v>
      </c>
      <c r="O42" s="33">
        <f>IF(K42=0,"",(M42-K42)/ABS(K42)+1)</f>
        <v>0.32540670907685121</v>
      </c>
      <c r="P42" s="32">
        <v>300723.01500000001</v>
      </c>
      <c r="Q42" s="33">
        <f>+P42/$P$20</f>
        <v>2.9031866462062909E-2</v>
      </c>
      <c r="R42" s="34">
        <f>IF(P42=0,"",(M42-P42)/ABS(P42))</f>
        <v>-0.57594646023351426</v>
      </c>
    </row>
    <row r="43" spans="2:20" x14ac:dyDescent="0.2">
      <c r="B43" s="42" t="s">
        <v>59</v>
      </c>
      <c r="C43" s="43">
        <f>C41-C42</f>
        <v>65861</v>
      </c>
      <c r="D43" s="44">
        <f>+C43/$C$20</f>
        <v>6.2680527361167027E-2</v>
      </c>
      <c r="E43" s="43">
        <f>E41-E42</f>
        <v>-29628.974029999943</v>
      </c>
      <c r="F43" s="44">
        <f>+E43/$E$20</f>
        <v>-3.206543910028066E-2</v>
      </c>
      <c r="G43" s="44">
        <f>IF(C43=0,"",(E43-C43)/ABS(C43)+1)</f>
        <v>-0.44987130517301499</v>
      </c>
      <c r="H43" s="43">
        <f>H41-H42</f>
        <v>-32058.521540000038</v>
      </c>
      <c r="I43" s="44">
        <f>+H43/$H$20</f>
        <v>-3.555228674575614E-2</v>
      </c>
      <c r="J43" s="45">
        <f>IF(H43=0,"",(E43-H43)/ABS(H43))</f>
        <v>7.5784764652003719E-2</v>
      </c>
      <c r="K43" s="43">
        <f>+K41-K42</f>
        <v>585370</v>
      </c>
      <c r="L43" s="44">
        <f>+K43/$K$20</f>
        <v>5.0950696103647421E-2</v>
      </c>
      <c r="M43" s="43">
        <f>+M41-M42</f>
        <v>202525.36797000043</v>
      </c>
      <c r="N43" s="44">
        <f>+M43/$M$20</f>
        <v>1.8765219607635768E-2</v>
      </c>
      <c r="O43" s="44">
        <f>IF(K43=0,"",(M43-K43)/ABS(K43)+1)</f>
        <v>0.34597838626851463</v>
      </c>
      <c r="P43" s="43">
        <f>+P41-P42</f>
        <v>517771.59281999816</v>
      </c>
      <c r="Q43" s="44">
        <f>+P43/$P$20</f>
        <v>4.9985784229383962E-2</v>
      </c>
      <c r="R43" s="45">
        <f>IF(P43=0,"",(M43-P43)/ABS(P43))</f>
        <v>-0.6088519131245429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184809</v>
      </c>
      <c r="D45" s="33">
        <f>+C45/$C$20</f>
        <v>0.17588444726150401</v>
      </c>
      <c r="E45" s="32">
        <v>39388.763340000049</v>
      </c>
      <c r="F45" s="33">
        <f>+E45/$E$20</f>
        <v>4.2627800437345799E-2</v>
      </c>
      <c r="G45" s="33">
        <f>IF(C45=0,"",(E45-C45)/ABS(C45)+1)</f>
        <v>0.21313227894745423</v>
      </c>
      <c r="H45" s="32">
        <v>26653.353569999963</v>
      </c>
      <c r="I45" s="33">
        <f>+H45/$H$20</f>
        <v>2.955805892902261E-2</v>
      </c>
      <c r="J45" s="34">
        <f>IF(H45=0,"",(E45-H45)/ABS(H45))</f>
        <v>0.47781641197806329</v>
      </c>
      <c r="K45" s="32">
        <v>1864615</v>
      </c>
      <c r="L45" s="33">
        <f>+K45/$K$20</f>
        <v>0.16229638043511374</v>
      </c>
      <c r="M45" s="32">
        <v>1186448.9975100006</v>
      </c>
      <c r="N45" s="33">
        <f>+M45/$M$20</f>
        <v>0.1099317888652466</v>
      </c>
      <c r="O45" s="33">
        <f>IF(K45=0,"",(M45-K45)/ABS(K45)+1)</f>
        <v>0.63629703585458697</v>
      </c>
      <c r="P45" s="32">
        <v>1641755.0941699981</v>
      </c>
      <c r="Q45" s="33">
        <f>+P45/$P$20</f>
        <v>0.1584954003515657</v>
      </c>
      <c r="R45" s="34">
        <f>IF(P45=0,"",(M45-P45)/ABS(P45))</f>
        <v>-0.27732887705165365</v>
      </c>
      <c r="T45" s="40"/>
    </row>
    <row r="46" spans="2:20" x14ac:dyDescent="0.2">
      <c r="B46" s="19" t="s">
        <v>35</v>
      </c>
      <c r="C46" s="32">
        <v>439443</v>
      </c>
      <c r="D46" s="34">
        <f t="shared" ref="D46" si="11">+C46/$C$20</f>
        <v>0.41822199761882328</v>
      </c>
      <c r="E46" s="32">
        <v>453485.8</v>
      </c>
      <c r="F46" s="34">
        <f>+E46/$E$20</f>
        <v>0.49077707814043003</v>
      </c>
      <c r="G46" s="34">
        <f>IF(C46=0,"",(E46-C46)/ABS(C46)+1)</f>
        <v>1.0319559078196716</v>
      </c>
      <c r="H46" s="32">
        <v>453212.81400000001</v>
      </c>
      <c r="I46" s="34">
        <f t="shared" ref="I46" si="12">+H46/$H$20</f>
        <v>0.50260433563896112</v>
      </c>
      <c r="J46" s="34">
        <f>IF(H46=0,"",(E46-H46)/ABS(H46))</f>
        <v>6.0233513168048971E-4</v>
      </c>
      <c r="K46" s="32">
        <v>4750557</v>
      </c>
      <c r="L46" s="34">
        <f t="shared" ref="L46" si="13">+K46/$K$20</f>
        <v>0.41348922225268625</v>
      </c>
      <c r="M46" s="32">
        <v>4733571.13</v>
      </c>
      <c r="N46" s="34">
        <f>+M46/$M$20</f>
        <v>0.43859444707179718</v>
      </c>
      <c r="O46" s="34">
        <f>IF(K46=0,"",(M46-K46)/ABS(K46)+1)</f>
        <v>0.99642444664909813</v>
      </c>
      <c r="P46" s="32">
        <v>4334351.5774499997</v>
      </c>
      <c r="Q46" s="34">
        <f t="shared" ref="Q46" si="14">+P46/$P$20</f>
        <v>0.41843926111262258</v>
      </c>
      <c r="R46" s="34">
        <f>IF(P46=0,"",(M46-P46)/ABS(P46))</f>
        <v>9.2105946048998244E-2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12" priority="2" operator="lessThan">
      <formula>0</formula>
    </cfRule>
  </conditionalFormatting>
  <conditionalFormatting sqref="R10:R46">
    <cfRule type="cellIs" dxfId="11" priority="1" operator="lessThan">
      <formula>0</formula>
    </cfRule>
  </conditionalFormatting>
  <conditionalFormatting sqref="AC10:AC11 AC13:AC17 AC19:AC28 AC30">
    <cfRule type="cellIs" dxfId="1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826-B3D4-4A51-B46B-AAE9E130D040}">
  <sheetPr>
    <tabColor theme="2" tint="-0.499984740745262"/>
  </sheetPr>
  <dimension ref="A1:AI56"/>
  <sheetViews>
    <sheetView showGridLines="0" topLeftCell="L11" zoomScale="95" zoomScaleNormal="95" workbookViewId="0">
      <selection activeCell="AB32" sqref="AB32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NOVIEMBRE de 2024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NOVIEMBRE de 2024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2024</v>
      </c>
      <c r="F7" s="61" t="str">
        <f>"Real "&amp;Paramet!F3</f>
        <v>Real 2024</v>
      </c>
      <c r="G7" s="62" t="s">
        <v>24</v>
      </c>
      <c r="I7" s="61" t="str">
        <f>"Real "&amp;Paramet!F4</f>
        <v>Real 2023</v>
      </c>
      <c r="J7" s="62" t="s">
        <v>25</v>
      </c>
      <c r="K7" s="62"/>
      <c r="L7" s="61" t="str">
        <f>+D7</f>
        <v>Ppto 2024</v>
      </c>
      <c r="M7" s="62"/>
      <c r="N7" s="61" t="str">
        <f>+F7</f>
        <v>Real 2024</v>
      </c>
      <c r="O7" s="62" t="s">
        <v>24</v>
      </c>
      <c r="P7" s="62" t="str">
        <f>+I7</f>
        <v>Real 2023</v>
      </c>
      <c r="Q7" s="62"/>
      <c r="R7" s="62" t="s">
        <v>25</v>
      </c>
      <c r="S7" s="63"/>
      <c r="U7" s="61" t="str">
        <f>+D7</f>
        <v>Ppto 2024</v>
      </c>
      <c r="V7" s="61" t="str">
        <f>+N7</f>
        <v>Real 2024</v>
      </c>
      <c r="W7" s="61" t="str">
        <f>+I7</f>
        <v>Real 2023</v>
      </c>
      <c r="X7" s="61" t="str">
        <f>+U7</f>
        <v>Ppto 2024</v>
      </c>
      <c r="Y7" s="61" t="str">
        <f>+V7</f>
        <v>Real 2024</v>
      </c>
      <c r="Z7" s="61" t="s">
        <v>26</v>
      </c>
      <c r="AA7" s="61" t="s">
        <v>24</v>
      </c>
      <c r="AB7" s="61" t="str">
        <f>+W7</f>
        <v>Real 2023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449771</v>
      </c>
      <c r="D10" s="34">
        <f t="shared" ref="D10:D15" si="0">+C10/$C$20</f>
        <v>0.42943018063391342</v>
      </c>
      <c r="E10" s="32">
        <v>380473.79300000001</v>
      </c>
      <c r="F10" s="34">
        <f t="shared" ref="F10:F20" si="1">+E10/$E$20</f>
        <v>0.41176111013298938</v>
      </c>
      <c r="G10" s="34">
        <f t="shared" ref="G10:G20" si="2">IF(C10=0,"",(E10-C10)/ABS(C10)+1)</f>
        <v>0.84592780103652743</v>
      </c>
      <c r="H10" s="32">
        <v>392402.46500000003</v>
      </c>
      <c r="I10" s="34">
        <f t="shared" ref="I10:I18" si="3">+H10/$H$20</f>
        <v>0.44772899712759923</v>
      </c>
      <c r="J10" s="34">
        <f t="shared" ref="J10:J20" si="4">IF(H10=0,"",(E10-H10)/ABS(H10))</f>
        <v>-3.0399075092456464E-2</v>
      </c>
      <c r="K10" s="32">
        <v>4722975</v>
      </c>
      <c r="L10" s="34">
        <f t="shared" ref="L10:L46" si="5">+K10/$K$20</f>
        <v>0.41263689037010659</v>
      </c>
      <c r="M10" s="32">
        <v>4172451.01</v>
      </c>
      <c r="N10" s="34">
        <f t="shared" ref="N10:N20" si="6">+M10/$M$20</f>
        <v>0.39433376621750238</v>
      </c>
      <c r="O10" s="34">
        <f t="shared" ref="O10:O19" si="7">IF(K10=0,"",(M10-K10)/ABS(K10)+1)</f>
        <v>0.88343703068510837</v>
      </c>
      <c r="P10" s="32">
        <v>4366326.7010000004</v>
      </c>
      <c r="Q10" s="34">
        <f t="shared" ref="Q10:Q46" si="8">+P10/$P$20</f>
        <v>0.42162155686459024</v>
      </c>
      <c r="R10" s="34">
        <f t="shared" ref="R10:R18" si="9">IF(P10=0,"",(M10-P10)/ABS(P10))</f>
        <v>-4.4402470148557159E-2</v>
      </c>
      <c r="S10" s="67"/>
      <c r="T10" s="3" t="s">
        <v>31</v>
      </c>
      <c r="U10" s="32">
        <v>6006</v>
      </c>
      <c r="V10" s="32">
        <v>16195</v>
      </c>
      <c r="W10" s="32">
        <v>151782</v>
      </c>
      <c r="X10" s="32">
        <v>45751</v>
      </c>
      <c r="Y10" s="32">
        <v>35896</v>
      </c>
      <c r="Z10" s="63">
        <f>+Y10-X10</f>
        <v>-9855</v>
      </c>
      <c r="AA10" s="68">
        <f>IF(X10=0,"",(Y10-X10)/ABS(X10)+1)</f>
        <v>0.78459487224322966</v>
      </c>
      <c r="AB10" s="32">
        <v>32108</v>
      </c>
      <c r="AC10" s="34">
        <f>IF(W10=0,"",(Y10-AB10)/ABS(AB10))</f>
        <v>0.11797682820480877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36325</v>
      </c>
      <c r="D11" s="34">
        <f t="shared" si="0"/>
        <v>3.4682207860282019E-2</v>
      </c>
      <c r="E11" s="32">
        <v>51744.360999999997</v>
      </c>
      <c r="F11" s="34">
        <f t="shared" si="1"/>
        <v>5.5999429975147223E-2</v>
      </c>
      <c r="G11" s="34">
        <f t="shared" si="2"/>
        <v>1.4244834411562284</v>
      </c>
      <c r="H11" s="32">
        <v>25619.632000000001</v>
      </c>
      <c r="I11" s="34">
        <f t="shared" si="3"/>
        <v>2.923185546792666E-2</v>
      </c>
      <c r="J11" s="34">
        <f t="shared" si="4"/>
        <v>1.0197152324436196</v>
      </c>
      <c r="K11" s="32">
        <v>482595</v>
      </c>
      <c r="L11" s="34">
        <f t="shared" si="5"/>
        <v>4.2163361040056656E-2</v>
      </c>
      <c r="M11" s="32">
        <v>551440.348</v>
      </c>
      <c r="N11" s="34">
        <f t="shared" si="6"/>
        <v>5.2116022153398556E-2</v>
      </c>
      <c r="O11" s="34">
        <f t="shared" si="7"/>
        <v>1.1426565712450398</v>
      </c>
      <c r="P11" s="32">
        <v>372437.446</v>
      </c>
      <c r="Q11" s="34">
        <f t="shared" si="8"/>
        <v>3.5963331782119835E-2</v>
      </c>
      <c r="R11" s="34">
        <f t="shared" si="9"/>
        <v>0.48062541487839544</v>
      </c>
      <c r="S11" s="67"/>
      <c r="T11" s="3" t="s">
        <v>32</v>
      </c>
      <c r="U11" s="32">
        <v>1294585</v>
      </c>
      <c r="V11" s="32">
        <v>919083.91071000008</v>
      </c>
      <c r="W11" s="32">
        <v>1098490.3316300001</v>
      </c>
      <c r="X11" s="32">
        <v>13338908</v>
      </c>
      <c r="Y11" s="32">
        <v>12238046.68602</v>
      </c>
      <c r="Z11" s="63">
        <f>+Y11-X11</f>
        <v>-1100861.3139800001</v>
      </c>
      <c r="AA11" s="68">
        <f>IF(X11=0,"",(Y11-X11)/ABS(X11)+1)</f>
        <v>0.91746990728326483</v>
      </c>
      <c r="AB11" s="32">
        <v>12464941.136430001</v>
      </c>
      <c r="AC11" s="34">
        <f>IF(AB11=0,"",(Y11-AB11)/ABS(AB11))</f>
        <v>-1.8202609055800505E-2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66800</v>
      </c>
      <c r="D12" s="34">
        <f t="shared" si="0"/>
        <v>6.3778981006657645E-2</v>
      </c>
      <c r="E12" s="32">
        <v>48011.048000000003</v>
      </c>
      <c r="F12" s="34">
        <f t="shared" si="1"/>
        <v>5.1959117255490551E-2</v>
      </c>
      <c r="G12" s="34">
        <f t="shared" si="2"/>
        <v>0.71872826347305385</v>
      </c>
      <c r="H12" s="32">
        <v>62425.038</v>
      </c>
      <c r="I12" s="34">
        <f t="shared" si="3"/>
        <v>7.1226615916880828E-2</v>
      </c>
      <c r="J12" s="34">
        <f t="shared" si="4"/>
        <v>-0.23090078054898416</v>
      </c>
      <c r="K12" s="32">
        <v>802438</v>
      </c>
      <c r="L12" s="34">
        <f t="shared" si="5"/>
        <v>7.010740497987128E-2</v>
      </c>
      <c r="M12" s="32">
        <v>690836.647</v>
      </c>
      <c r="N12" s="34">
        <f t="shared" si="6"/>
        <v>6.5290213402069697E-2</v>
      </c>
      <c r="O12" s="34">
        <f t="shared" si="7"/>
        <v>0.86092214850243876</v>
      </c>
      <c r="P12" s="32">
        <v>910857.80260000005</v>
      </c>
      <c r="Q12" s="34">
        <f t="shared" si="8"/>
        <v>8.7954317464727802E-2</v>
      </c>
      <c r="R12" s="34">
        <f t="shared" si="9"/>
        <v>-0.24155379135136151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81591</v>
      </c>
      <c r="D13" s="34">
        <f t="shared" si="0"/>
        <v>7.7901060468775513E-2</v>
      </c>
      <c r="E13" s="32">
        <v>51352.786999999997</v>
      </c>
      <c r="F13" s="34">
        <f t="shared" si="1"/>
        <v>5.5575655860068511E-2</v>
      </c>
      <c r="G13" s="34">
        <f t="shared" si="2"/>
        <v>0.62939278842029145</v>
      </c>
      <c r="H13" s="32">
        <v>79589.732000000004</v>
      </c>
      <c r="I13" s="34">
        <f t="shared" si="3"/>
        <v>9.0811434861945609E-2</v>
      </c>
      <c r="J13" s="34">
        <f t="shared" si="4"/>
        <v>-0.35478125494881685</v>
      </c>
      <c r="K13" s="32">
        <v>1079010</v>
      </c>
      <c r="L13" s="34">
        <f t="shared" si="5"/>
        <v>9.4270948094844612E-2</v>
      </c>
      <c r="M13" s="32">
        <v>1002888.32918</v>
      </c>
      <c r="N13" s="34">
        <f t="shared" si="6"/>
        <v>9.4781875447622746E-2</v>
      </c>
      <c r="O13" s="34">
        <f t="shared" si="7"/>
        <v>0.92945230274047508</v>
      </c>
      <c r="P13" s="32">
        <v>920182.22400000005</v>
      </c>
      <c r="Q13" s="34">
        <f t="shared" si="8"/>
        <v>8.8854702922973303E-2</v>
      </c>
      <c r="R13" s="34">
        <f t="shared" si="9"/>
        <v>8.9880137893209242E-2</v>
      </c>
      <c r="S13" s="67"/>
      <c r="T13" s="3" t="s">
        <v>33</v>
      </c>
      <c r="U13" s="32">
        <v>121728</v>
      </c>
      <c r="V13" s="32">
        <v>194984.535</v>
      </c>
      <c r="W13" s="32">
        <v>134153.212</v>
      </c>
      <c r="X13" s="32">
        <v>1728121</v>
      </c>
      <c r="Y13" s="32">
        <v>1994636.602</v>
      </c>
      <c r="Z13" s="63">
        <f>+X13-Y13</f>
        <v>-266515.60199999996</v>
      </c>
      <c r="AA13" s="68">
        <f>IF(X13=0,"",(Y13-X13)/ABS(X13)+1)</f>
        <v>1.1542227668085741</v>
      </c>
      <c r="AB13" s="32">
        <v>1407066.5490000001</v>
      </c>
      <c r="AC13" s="34">
        <f>IF(AB13=0,"",(Y13-AB13)/ABS(AB13))</f>
        <v>0.41758511949387533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12131</v>
      </c>
      <c r="V14" s="32">
        <v>3250.4720000000002</v>
      </c>
      <c r="W14" s="32">
        <v>11678.036</v>
      </c>
      <c r="X14" s="32">
        <v>133021</v>
      </c>
      <c r="Y14" s="32">
        <v>126290.717</v>
      </c>
      <c r="Z14" s="63">
        <f>+X14-Y14</f>
        <v>6730.2829999999958</v>
      </c>
      <c r="AA14" s="68">
        <f>IF(X14=0,"",(Y14-X14)/ABS(X14)+1)</f>
        <v>0.94940435720675687</v>
      </c>
      <c r="AB14" s="32">
        <v>113541.799</v>
      </c>
      <c r="AC14" s="34">
        <f>IF(AB14=0,"",(Y14-AB14)/ABS(AB14))</f>
        <v>0.11228391757294602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149071</v>
      </c>
      <c r="D15" s="34">
        <f t="shared" si="0"/>
        <v>0.14232928858747698</v>
      </c>
      <c r="E15" s="32">
        <v>137304.36199999999</v>
      </c>
      <c r="F15" s="34">
        <f t="shared" si="1"/>
        <v>0.14859524509542721</v>
      </c>
      <c r="G15" s="34">
        <f t="shared" si="2"/>
        <v>0.92106688759047695</v>
      </c>
      <c r="H15" s="32">
        <v>114193.26700000001</v>
      </c>
      <c r="I15" s="34">
        <f t="shared" si="3"/>
        <v>0.13029387293128797</v>
      </c>
      <c r="J15" s="34">
        <f t="shared" si="4"/>
        <v>0.20238579390149145</v>
      </c>
      <c r="K15" s="32">
        <v>1595574</v>
      </c>
      <c r="L15" s="34">
        <f t="shared" si="5"/>
        <v>0.13940211280292453</v>
      </c>
      <c r="M15" s="32">
        <v>1451031.2339999999</v>
      </c>
      <c r="N15" s="34">
        <f t="shared" si="6"/>
        <v>0.13713536960196687</v>
      </c>
      <c r="O15" s="34">
        <f t="shared" si="7"/>
        <v>0.90941017715254824</v>
      </c>
      <c r="P15" s="32">
        <v>1467603.091</v>
      </c>
      <c r="Q15" s="34">
        <f t="shared" si="8"/>
        <v>0.14171479654625707</v>
      </c>
      <c r="R15" s="34">
        <f t="shared" si="9"/>
        <v>-1.1291783930972981E-2</v>
      </c>
      <c r="S15" s="67"/>
      <c r="T15" s="3" t="s">
        <v>35</v>
      </c>
      <c r="U15" s="32">
        <v>408533</v>
      </c>
      <c r="V15" s="32">
        <v>421892.261</v>
      </c>
      <c r="W15" s="32">
        <v>418115.35</v>
      </c>
      <c r="X15" s="32">
        <v>4812686</v>
      </c>
      <c r="Y15" s="32">
        <v>4881323.1100000003</v>
      </c>
      <c r="Z15" s="63">
        <f>+X15-Y15</f>
        <v>-68637.110000000335</v>
      </c>
      <c r="AA15" s="68">
        <f>IF(X15=0,"",(Y15-X15)/ABS(X15)+1)</f>
        <v>1.0142617054177232</v>
      </c>
      <c r="AB15" s="32">
        <v>4350271.0829999996</v>
      </c>
      <c r="AC15" s="34">
        <f>IF(AB15=0,"",(Y15-AB15)/ABS(AB15))</f>
        <v>0.12207331839049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319681</v>
      </c>
      <c r="V16" s="32">
        <v>229201.34904</v>
      </c>
      <c r="W16" s="32">
        <v>244593.73288999998</v>
      </c>
      <c r="X16" s="32">
        <v>3390272</v>
      </c>
      <c r="Y16" s="32">
        <v>2719215.3380999998</v>
      </c>
      <c r="Z16" s="63">
        <f>+X16-Y16</f>
        <v>671056.66190000018</v>
      </c>
      <c r="AA16" s="68">
        <f>IF(X16=0,"",(Y16-X16)/ABS(X16)+1)</f>
        <v>0.80206406391581553</v>
      </c>
      <c r="AB16" s="32">
        <v>2811280.63717</v>
      </c>
      <c r="AC16" s="34">
        <f>IF(AB16=0,"",(Y16-AB16)/ABS(AB16))</f>
        <v>-3.274852672221245E-2</v>
      </c>
      <c r="AD16" s="53"/>
      <c r="AE16" s="53"/>
      <c r="AF16" s="53"/>
      <c r="AG16" s="53"/>
      <c r="AH16" s="53"/>
      <c r="AI16" s="55"/>
    </row>
    <row r="17" spans="1:35" x14ac:dyDescent="0.2">
      <c r="A17" s="38">
        <v>4155951500</v>
      </c>
      <c r="B17" s="3" t="s">
        <v>76</v>
      </c>
      <c r="C17" s="32">
        <v>17114</v>
      </c>
      <c r="D17" s="34">
        <f>+C17/$C$20</f>
        <v>1.6340022169879325E-2</v>
      </c>
      <c r="E17" s="32">
        <v>16565.468000000001</v>
      </c>
      <c r="F17" s="34">
        <f t="shared" si="1"/>
        <v>1.7927688106372446E-2</v>
      </c>
      <c r="G17" s="34">
        <f t="shared" si="2"/>
        <v>0.96794834638307825</v>
      </c>
      <c r="H17" s="32">
        <v>13345.119000000001</v>
      </c>
      <c r="I17" s="34">
        <f t="shared" si="3"/>
        <v>1.5226705434733877E-2</v>
      </c>
      <c r="J17" s="34">
        <f t="shared" si="4"/>
        <v>0.24131287251915851</v>
      </c>
      <c r="K17" s="32">
        <v>187079</v>
      </c>
      <c r="L17" s="34">
        <f t="shared" si="5"/>
        <v>1.6344718490686309E-2</v>
      </c>
      <c r="M17" s="32">
        <v>182136.18900000001</v>
      </c>
      <c r="N17" s="34">
        <f t="shared" si="6"/>
        <v>1.7213491350944066E-2</v>
      </c>
      <c r="O17" s="34">
        <f t="shared" si="7"/>
        <v>0.97357901742044817</v>
      </c>
      <c r="P17" s="32">
        <v>163927.505</v>
      </c>
      <c r="Q17" s="34">
        <f t="shared" si="8"/>
        <v>1.5829179675263125E-2</v>
      </c>
      <c r="R17" s="34">
        <f t="shared" si="9"/>
        <v>0.11107766204335269</v>
      </c>
      <c r="S17" s="67"/>
      <c r="T17" s="3" t="s">
        <v>37</v>
      </c>
      <c r="U17" s="32">
        <f t="shared" ref="U17:AB17" si="10">SUM(U13:U16)</f>
        <v>862073</v>
      </c>
      <c r="V17" s="32">
        <f>SUM(V13:V16)</f>
        <v>849328.61704000004</v>
      </c>
      <c r="W17" s="32">
        <f t="shared" si="10"/>
        <v>808540.33088999998</v>
      </c>
      <c r="X17" s="32">
        <f t="shared" si="10"/>
        <v>10064100</v>
      </c>
      <c r="Y17" s="32">
        <f>SUM(Y13:Y16)</f>
        <v>9721465.7671000008</v>
      </c>
      <c r="Z17" s="63">
        <f>+Y17-X17</f>
        <v>-342634.23289999925</v>
      </c>
      <c r="AA17" s="68">
        <f>IF(X17=0,"",(Y17-X17)/ABS(X17)+1)</f>
        <v>0.96595480640096987</v>
      </c>
      <c r="AB17" s="32">
        <f t="shared" si="10"/>
        <v>8682160.0681699999</v>
      </c>
      <c r="AC17" s="34">
        <f>IF(AB17=0,"",(Y17-AB17)/ABS(AB17))</f>
        <v>0.11970589009758521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77</v>
      </c>
      <c r="B18" s="3" t="s">
        <v>78</v>
      </c>
      <c r="C18" s="32">
        <v>184453</v>
      </c>
      <c r="D18" s="41">
        <f t="shared" ref="D18:D46" si="11">+C18/$C$20</f>
        <v>0.17611114346738058</v>
      </c>
      <c r="E18" s="32">
        <v>183709.155</v>
      </c>
      <c r="F18" s="34">
        <f t="shared" si="1"/>
        <v>0.19881602096151052</v>
      </c>
      <c r="G18" s="34">
        <f t="shared" si="2"/>
        <v>0.99596729248101146</v>
      </c>
      <c r="H18" s="32">
        <v>132255.06700000001</v>
      </c>
      <c r="I18" s="34">
        <f t="shared" si="3"/>
        <v>0.15090228475744527</v>
      </c>
      <c r="J18" s="41">
        <f t="shared" si="4"/>
        <v>0.38905192191993659</v>
      </c>
      <c r="K18" s="32">
        <v>1889535</v>
      </c>
      <c r="L18" s="34">
        <f t="shared" si="5"/>
        <v>0.16508489810881474</v>
      </c>
      <c r="M18" s="32">
        <v>1915817.048</v>
      </c>
      <c r="N18" s="34">
        <f t="shared" si="6"/>
        <v>0.18106176683942363</v>
      </c>
      <c r="O18" s="34">
        <f t="shared" si="7"/>
        <v>1.0139092676240451</v>
      </c>
      <c r="P18" s="32">
        <v>1522287.6340000001</v>
      </c>
      <c r="Q18" s="34">
        <f t="shared" si="8"/>
        <v>0.14699524936963565</v>
      </c>
      <c r="R18" s="41">
        <f t="shared" si="9"/>
        <v>0.25851186412514721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79</v>
      </c>
      <c r="B19" s="3" t="s">
        <v>80</v>
      </c>
      <c r="C19" s="32">
        <v>62242</v>
      </c>
      <c r="D19" s="34">
        <f t="shared" si="11"/>
        <v>5.9427115805634513E-2</v>
      </c>
      <c r="E19" s="32">
        <v>54854.877999999997</v>
      </c>
      <c r="F19" s="34">
        <f t="shared" si="1"/>
        <v>5.9365732612994174E-2</v>
      </c>
      <c r="G19" s="34">
        <f t="shared" si="2"/>
        <v>0.8813161209472703</v>
      </c>
      <c r="H19" s="32">
        <v>56598.205999999998</v>
      </c>
      <c r="I19" s="34"/>
      <c r="J19" s="34">
        <f t="shared" si="4"/>
        <v>-3.0801824354644763E-2</v>
      </c>
      <c r="K19" s="32">
        <v>686632</v>
      </c>
      <c r="L19" s="34">
        <f t="shared" si="5"/>
        <v>5.9989666112695288E-2</v>
      </c>
      <c r="M19" s="32">
        <v>614412.96400000004</v>
      </c>
      <c r="N19" s="34">
        <f t="shared" si="6"/>
        <v>5.8067494987072053E-2</v>
      </c>
      <c r="O19" s="34">
        <f t="shared" si="7"/>
        <v>0.8948213366111688</v>
      </c>
      <c r="P19" s="32">
        <v>632410.46499999997</v>
      </c>
      <c r="Q19" s="34">
        <f t="shared" si="8"/>
        <v>6.1066865374433059E-2</v>
      </c>
      <c r="R19" s="34"/>
      <c r="S19" s="67"/>
      <c r="T19" s="3" t="s">
        <v>38</v>
      </c>
      <c r="U19" s="32">
        <f>U11-U17</f>
        <v>432512</v>
      </c>
      <c r="V19" s="32">
        <f>V11-V17</f>
        <v>69755.293670000043</v>
      </c>
      <c r="W19" s="32">
        <f>W11-W17</f>
        <v>289950.00074000016</v>
      </c>
      <c r="X19" s="32">
        <f>X11-X17</f>
        <v>3274808</v>
      </c>
      <c r="Y19" s="32">
        <f>Y11-Y17</f>
        <v>2516580.9189199992</v>
      </c>
      <c r="Z19" s="32">
        <f>+Y19-X19</f>
        <v>-758227.08108000085</v>
      </c>
      <c r="AA19" s="68">
        <f>IF(X19=0,"",(Y19-X19)/ABS(X19)+1)</f>
        <v>0.76846670672601236</v>
      </c>
      <c r="AB19" s="32">
        <f>AB11-AB17</f>
        <v>3782781.068260001</v>
      </c>
      <c r="AC19" s="34">
        <f>IF(AB19=0,"",(Y19-AB19)/ABS(AB19))</f>
        <v>-0.33472731476961393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1047367</v>
      </c>
      <c r="D20" s="45">
        <f t="shared" si="11"/>
        <v>1</v>
      </c>
      <c r="E20" s="69">
        <f>SUM(E10:E19)</f>
        <v>924015.85199999996</v>
      </c>
      <c r="F20" s="45">
        <f t="shared" si="1"/>
        <v>1</v>
      </c>
      <c r="G20" s="45">
        <f t="shared" si="2"/>
        <v>0.88222738734369133</v>
      </c>
      <c r="H20" s="69">
        <f>SUM(H10:H19)</f>
        <v>876428.52599999995</v>
      </c>
      <c r="I20" s="45">
        <f>+H22/$H$22</f>
        <v>1</v>
      </c>
      <c r="J20" s="45">
        <f t="shared" si="4"/>
        <v>5.4296870296072497E-2</v>
      </c>
      <c r="K20" s="69">
        <f>SUM(K10:K19)</f>
        <v>11445838</v>
      </c>
      <c r="L20" s="45">
        <f t="shared" si="5"/>
        <v>1</v>
      </c>
      <c r="M20" s="69">
        <f>SUM(M10:M19)</f>
        <v>10581013.76918</v>
      </c>
      <c r="N20" s="45">
        <f t="shared" si="6"/>
        <v>1</v>
      </c>
      <c r="O20" s="45">
        <f>IF(K20=0,"",(M20-K20)/ABS(K20)+1)</f>
        <v>0.92444203466622543</v>
      </c>
      <c r="P20" s="69">
        <f>SUM(P10:P19)</f>
        <v>10356032.8686</v>
      </c>
      <c r="Q20" s="45">
        <f t="shared" si="8"/>
        <v>1</v>
      </c>
      <c r="R20" s="45">
        <f>IF(P20=0,"",(M20-P20)/ABS(P20))</f>
        <v>2.1724622105261299E-2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438518</v>
      </c>
      <c r="V21" s="32">
        <f>+V10+V19</f>
        <v>85950.293670000043</v>
      </c>
      <c r="W21" s="32">
        <f>+W10+W19</f>
        <v>441732.00074000016</v>
      </c>
      <c r="X21" s="32">
        <f>+X10+X19</f>
        <v>3320559</v>
      </c>
      <c r="Y21" s="32">
        <f>+Y10+Y19</f>
        <v>2552476.9189199992</v>
      </c>
      <c r="Z21" s="63">
        <f>+Y21-X21</f>
        <v>-768082.08108000085</v>
      </c>
      <c r="AA21" s="68">
        <f>IF(X21=0,"",(Y21-X21)/ABS(X21)+1)</f>
        <v>0.76868892223267204</v>
      </c>
      <c r="AB21" s="32">
        <f>+AB10+AB19</f>
        <v>3814889.068260001</v>
      </c>
      <c r="AC21" s="34">
        <f>IF(AB21=0,"",(Y21-AB21)/ABS(AB21))</f>
        <v>-0.330917131992988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98306</v>
      </c>
      <c r="D22" s="34">
        <f t="shared" si="11"/>
        <v>9.3860127347911479E-2</v>
      </c>
      <c r="E22" s="32">
        <v>82500.935620000004</v>
      </c>
      <c r="F22" s="34">
        <f>+E22/$E$20</f>
        <v>8.9285195098579337E-2</v>
      </c>
      <c r="G22" s="34">
        <f>IF(C22=0,"",(E22-C22)/ABS(C22)+1)</f>
        <v>0.83922584196285066</v>
      </c>
      <c r="H22" s="32">
        <v>90264.410999999993</v>
      </c>
      <c r="I22" s="34">
        <f t="shared" ref="I22:I46" si="12">+H22/$H$20</f>
        <v>0.10299118333352833</v>
      </c>
      <c r="J22" s="34">
        <f>IF(H22=0,"",(E22-H22)/ABS(H22))</f>
        <v>-8.600815419933322E-2</v>
      </c>
      <c r="K22" s="32">
        <v>1101138</v>
      </c>
      <c r="L22" s="34">
        <f t="shared" si="5"/>
        <v>9.6204227248367483E-2</v>
      </c>
      <c r="M22" s="32">
        <v>1251561.7056199999</v>
      </c>
      <c r="N22" s="34">
        <f>+M22/$M$20</f>
        <v>0.1182837233673681</v>
      </c>
      <c r="O22" s="34">
        <f>IF(K22=0,"",(M22-K22)/ABS(K22)+1)</f>
        <v>1.1366074966262176</v>
      </c>
      <c r="P22" s="32">
        <v>929718.7938300001</v>
      </c>
      <c r="Q22" s="34">
        <f t="shared" si="8"/>
        <v>8.9775573873365461E-2</v>
      </c>
      <c r="R22" s="34">
        <f>IF(P22=0,"",(M22-P22)/ABS(P22))</f>
        <v>0.34617231998092646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0</v>
      </c>
      <c r="V23" s="32">
        <v>9574.5460000000003</v>
      </c>
      <c r="W23" s="32">
        <v>120.65900000000001</v>
      </c>
      <c r="X23" s="32">
        <v>115236</v>
      </c>
      <c r="Y23" s="32">
        <v>441189.49214999995</v>
      </c>
      <c r="Z23" s="63">
        <f>+Y23-X23</f>
        <v>325953.49214999995</v>
      </c>
      <c r="AA23" s="68">
        <f>IF(X23=0,"",(Y23-X23)/ABS(X23)+1)</f>
        <v>3.828573467926689</v>
      </c>
      <c r="AB23" s="32">
        <v>196141.56221999999</v>
      </c>
      <c r="AC23" s="34">
        <f>IF(AB23=0,"",(Y23-AB23)/ABS(AB23))</f>
        <v>1.2493421952821233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949061</v>
      </c>
      <c r="D24" s="34">
        <f t="shared" si="11"/>
        <v>0.90613987265208851</v>
      </c>
      <c r="E24" s="32">
        <f>+E20-E22</f>
        <v>841514.91637999995</v>
      </c>
      <c r="F24" s="34">
        <f>+E24/$E$20</f>
        <v>0.91071480490142065</v>
      </c>
      <c r="G24" s="34">
        <f>IF(C24=0,"",(E24-C24)/ABS(C24)+1)</f>
        <v>0.88668158988726753</v>
      </c>
      <c r="H24" s="32">
        <f>+H20-H22</f>
        <v>786164.11499999999</v>
      </c>
      <c r="I24" s="34">
        <f t="shared" si="12"/>
        <v>0.8970088166664717</v>
      </c>
      <c r="J24" s="34">
        <f>IF(H24=0,"",(E24-H24)/ABS(H24))</f>
        <v>7.040616624939687E-2</v>
      </c>
      <c r="K24" s="32">
        <f>+K20-K22</f>
        <v>10344700</v>
      </c>
      <c r="L24" s="34">
        <f t="shared" si="5"/>
        <v>0.90379577275163248</v>
      </c>
      <c r="M24" s="32">
        <f>+M20-M22</f>
        <v>9329452.0635599997</v>
      </c>
      <c r="N24" s="34">
        <f>+M24/$M$20</f>
        <v>0.88171627663263186</v>
      </c>
      <c r="O24" s="34">
        <f>IF(K24=0,"",(M24-K24)/ABS(K24)+1)</f>
        <v>0.90185815572805395</v>
      </c>
      <c r="P24" s="32">
        <f>+P20-P22</f>
        <v>9426314.0747699998</v>
      </c>
      <c r="Q24" s="34">
        <f t="shared" si="8"/>
        <v>0.91022442612663457</v>
      </c>
      <c r="R24" s="34">
        <f>IF(P24=0,"",(M24-P24)/ABS(P24))</f>
        <v>-1.0275703784287875E-2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333405</v>
      </c>
      <c r="V25" s="32">
        <v>299056.09948000003</v>
      </c>
      <c r="W25" s="32">
        <v>296074.19151999999</v>
      </c>
      <c r="X25" s="32">
        <v>2265099</v>
      </c>
      <c r="Y25" s="32">
        <v>2130597.94631</v>
      </c>
      <c r="Z25" s="63">
        <f>+Y25-X25</f>
        <v>-134501.05368999997</v>
      </c>
      <c r="AA25" s="68">
        <f>IF(X25=0,"",(Y25-X25)/ABS(X25)+1)</f>
        <v>0.94062023174704512</v>
      </c>
      <c r="AB25" s="32">
        <v>2127526.1432099999</v>
      </c>
      <c r="AC25" s="34">
        <f>IF(AB25=0,"",(Y25-AB25)/ABS(AB25))</f>
        <v>1.4438380039670938E-3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217111</v>
      </c>
      <c r="D26" s="34">
        <f t="shared" si="11"/>
        <v>0.20729219079844982</v>
      </c>
      <c r="E26" s="32">
        <v>231809.50853999998</v>
      </c>
      <c r="F26" s="34">
        <f>+E26/$E$20</f>
        <v>0.25087178757621575</v>
      </c>
      <c r="G26" s="34">
        <f>IF(C26=0,"",(E26-C26)/ABS(C26)+1)</f>
        <v>1.0677004322213062</v>
      </c>
      <c r="H26" s="32">
        <v>234353.59987000001</v>
      </c>
      <c r="I26" s="34">
        <f t="shared" si="12"/>
        <v>0.26739613433120957</v>
      </c>
      <c r="J26" s="34">
        <f>IF(H26=0,"",(E26-H26)/ABS(H26))</f>
        <v>-1.0855780885854862E-2</v>
      </c>
      <c r="K26" s="32">
        <v>2456709</v>
      </c>
      <c r="L26" s="34">
        <f t="shared" si="5"/>
        <v>0.21463775741016081</v>
      </c>
      <c r="M26" s="32">
        <v>2352557.4529200001</v>
      </c>
      <c r="N26" s="34">
        <f>+M26/$M$20</f>
        <v>0.22233762324102116</v>
      </c>
      <c r="O26" s="34">
        <f>IF(K26=0,"",(M26-K26)/ABS(K26)+1)</f>
        <v>0.95760525683750097</v>
      </c>
      <c r="P26" s="32">
        <v>2233189.1264599999</v>
      </c>
      <c r="Q26" s="34">
        <f t="shared" si="8"/>
        <v>0.21564137105349859</v>
      </c>
      <c r="R26" s="34">
        <f>IF(P26=0,"",(M26-P26)/ABS(P26))</f>
        <v>5.3451955790784302E-2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329195</v>
      </c>
      <c r="D27" s="34">
        <f t="shared" si="11"/>
        <v>0.31430721036656684</v>
      </c>
      <c r="E27" s="32">
        <v>341819.42492999998</v>
      </c>
      <c r="F27" s="34">
        <f>+E27/$E$20</f>
        <v>0.36992809613616889</v>
      </c>
      <c r="G27" s="34">
        <f>IF(C27=0,"",(E27-C27)/ABS(C27)+1)</f>
        <v>1.0383493823721501</v>
      </c>
      <c r="H27" s="32">
        <v>342623.21824999998</v>
      </c>
      <c r="I27" s="34">
        <f t="shared" si="12"/>
        <v>0.39093115763098746</v>
      </c>
      <c r="J27" s="34">
        <f>IF(H27=0,"",(E27-H27)/ABS(H27))</f>
        <v>-2.3459978109641642E-3</v>
      </c>
      <c r="K27" s="32">
        <v>3748813</v>
      </c>
      <c r="L27" s="34">
        <f t="shared" si="5"/>
        <v>0.32752630257391374</v>
      </c>
      <c r="M27" s="32">
        <v>3754864.9047300001</v>
      </c>
      <c r="N27" s="34">
        <f>+M27/$M$20</f>
        <v>0.35486816165640356</v>
      </c>
      <c r="O27" s="34">
        <f>IF(K27=0,"",(M27-K27)/ABS(K27)+1)</f>
        <v>1.0016143522576346</v>
      </c>
      <c r="P27" s="32">
        <v>3408660.2933100001</v>
      </c>
      <c r="Q27" s="34">
        <f t="shared" si="8"/>
        <v>0.32914730346648718</v>
      </c>
      <c r="R27" s="34">
        <f>IF(P27=0,"",(M27-P27)/ABS(P27))</f>
        <v>0.10156618191008289</v>
      </c>
      <c r="S27" s="67"/>
      <c r="T27" s="3" t="s">
        <v>47</v>
      </c>
      <c r="U27" s="32">
        <v>23115</v>
      </c>
      <c r="V27" s="32">
        <v>-153809.68922999999</v>
      </c>
      <c r="W27" s="32">
        <v>12448</v>
      </c>
      <c r="X27" s="32">
        <v>289476</v>
      </c>
      <c r="Y27" s="32">
        <v>-509332</v>
      </c>
      <c r="Z27" s="63">
        <f>+Y27-X27</f>
        <v>-798808</v>
      </c>
      <c r="AA27" s="68">
        <f>IF(X27=0,"",(Y27-X27)/ABS(X27)+1)</f>
        <v>-1.7594964694827895</v>
      </c>
      <c r="AB27" s="32">
        <v>843208</v>
      </c>
      <c r="AC27" s="34">
        <f>IF(AB27=0,"",(Y27-AB27)/ABS(AB27))</f>
        <v>-1.6040407586265786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546306</v>
      </c>
      <c r="D28" s="34">
        <f t="shared" si="11"/>
        <v>0.52159940116501669</v>
      </c>
      <c r="E28" s="32">
        <f>SUM(E26:E27)</f>
        <v>573628.93346999993</v>
      </c>
      <c r="F28" s="34">
        <f>+E28/$E$20</f>
        <v>0.62079988371238459</v>
      </c>
      <c r="G28" s="34">
        <f>IF(C28=0,"",(E28-C28)/ABS(C28)+1)</f>
        <v>1.0500139728833291</v>
      </c>
      <c r="H28" s="32">
        <f>SUM(H26:H27)</f>
        <v>576976.81811999995</v>
      </c>
      <c r="I28" s="34">
        <f t="shared" si="12"/>
        <v>0.65832729196219697</v>
      </c>
      <c r="J28" s="34">
        <f>IF(H28=0,"",(E28-H28)/ABS(H28))</f>
        <v>-5.8024595527228391E-3</v>
      </c>
      <c r="K28" s="32">
        <f>SUM(K26:K27)</f>
        <v>6205522</v>
      </c>
      <c r="L28" s="34">
        <f t="shared" si="5"/>
        <v>0.54216405998407458</v>
      </c>
      <c r="M28" s="32">
        <f>SUM(M26:M27)</f>
        <v>6107422.3576500006</v>
      </c>
      <c r="N28" s="34">
        <f>+M28/$M$20</f>
        <v>0.5772057848974248</v>
      </c>
      <c r="O28" s="34">
        <f>IF(K28=0,"",(M28-K28)/ABS(K28)+1)</f>
        <v>0.98419155675380743</v>
      </c>
      <c r="P28" s="32">
        <f>SUM(P26:P27)</f>
        <v>5641849.4197700005</v>
      </c>
      <c r="Q28" s="34">
        <f t="shared" si="8"/>
        <v>0.5447886745199858</v>
      </c>
      <c r="R28" s="34">
        <f>IF(P28=0,"",(M28-P28)/ABS(P28))</f>
        <v>8.2521333562812452E-2</v>
      </c>
      <c r="S28" s="67"/>
      <c r="T28" s="3" t="s">
        <v>49</v>
      </c>
      <c r="U28" s="32">
        <v>81250</v>
      </c>
      <c r="V28" s="32">
        <v>77794.481040000013</v>
      </c>
      <c r="W28" s="32">
        <v>76386.498999999996</v>
      </c>
      <c r="X28" s="32">
        <v>650000</v>
      </c>
      <c r="Y28" s="32">
        <v>636686.92088999995</v>
      </c>
      <c r="Z28" s="63">
        <f>+Y28-X28</f>
        <v>-13313.07911000005</v>
      </c>
      <c r="AA28" s="68">
        <f>IF(X28=0,"",(Y28-X28)/ABS(X28)+1)</f>
        <v>0.97951833983076919</v>
      </c>
      <c r="AB28" s="32">
        <v>591311.10629999998</v>
      </c>
      <c r="AC28" s="34">
        <f>IF(AB28=0,"",(Y28-AB28)/ABS(AB28))</f>
        <v>7.6737632874730205E-2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56990</v>
      </c>
      <c r="D30" s="34">
        <f t="shared" si="11"/>
        <v>5.4412636640260768E-2</v>
      </c>
      <c r="E30" s="32">
        <v>61688.974999999999</v>
      </c>
      <c r="F30" s="34">
        <f>+E30/$E$20</f>
        <v>6.6761814601423095E-2</v>
      </c>
      <c r="G30" s="34">
        <f>IF(C30=0,"",(E30-C30)/ABS(C30)+1)</f>
        <v>1.0824526232672398</v>
      </c>
      <c r="H30" s="32">
        <v>58972.779000000002</v>
      </c>
      <c r="I30" s="34">
        <f t="shared" si="12"/>
        <v>6.7287607888746423E-2</v>
      </c>
      <c r="J30" s="34">
        <f>IF(H30=0,"",(E30-H30)/ABS(H30))</f>
        <v>4.605847046821375E-2</v>
      </c>
      <c r="K30" s="32">
        <v>651918</v>
      </c>
      <c r="L30" s="34">
        <f t="shared" si="5"/>
        <v>5.6956773283004705E-2</v>
      </c>
      <c r="M30" s="32">
        <v>626710.80012999999</v>
      </c>
      <c r="N30" s="34">
        <f>+M30/$M$20</f>
        <v>5.922974998439761E-2</v>
      </c>
      <c r="O30" s="34">
        <f>IF(K30=0,"",(M30-K30)/ABS(K30)+1)</f>
        <v>0.9613337875775787</v>
      </c>
      <c r="P30" s="32">
        <v>597192.49196000001</v>
      </c>
      <c r="Q30" s="34">
        <f t="shared" si="8"/>
        <v>5.7666144897117598E-2</v>
      </c>
      <c r="R30" s="34">
        <f>IF(P30=0,"",(M30-P30)/ABS(P30))</f>
        <v>4.9428464971353177E-2</v>
      </c>
      <c r="S30" s="67"/>
      <c r="T30" s="20" t="s">
        <v>51</v>
      </c>
      <c r="U30" s="69">
        <f>U21-U23-U25-U27-U28</f>
        <v>748</v>
      </c>
      <c r="V30" s="69">
        <f>V21-V23-V25-V27-V28</f>
        <v>-146665.14362000002</v>
      </c>
      <c r="W30" s="69">
        <f>W21-W23-W25-W27-W28</f>
        <v>56702.651220000189</v>
      </c>
      <c r="X30" s="69">
        <f>X21-X23-X25-X27-X28</f>
        <v>748</v>
      </c>
      <c r="Y30" s="69">
        <f>Y21-Y23-Y25-Y27-Y28</f>
        <v>-146665.44043000066</v>
      </c>
      <c r="Z30" s="71">
        <f>+Y30-X30</f>
        <v>-147413.44043000066</v>
      </c>
      <c r="AA30" s="72">
        <f>IF(U30=0,"",(V30-U30)/ABS(U30)+1)</f>
        <v>-196.07639521390377</v>
      </c>
      <c r="AB30" s="69">
        <f>AB21-AB23-AB25-AB27-AB28</f>
        <v>56702.256530000945</v>
      </c>
      <c r="AC30" s="34">
        <f>IF(AB30=0,"",(Y30-AB30)/ABS(AB30))</f>
        <v>-3.5865891307588531</v>
      </c>
      <c r="AD30" s="54"/>
      <c r="AE30" s="54"/>
    </row>
    <row r="31" spans="1:35" x14ac:dyDescent="0.2">
      <c r="B31" s="3" t="s">
        <v>52</v>
      </c>
      <c r="C31" s="32">
        <v>209359</v>
      </c>
      <c r="D31" s="34">
        <f t="shared" si="11"/>
        <v>0.19989077372115027</v>
      </c>
      <c r="E31" s="32">
        <v>213366.09722</v>
      </c>
      <c r="F31" s="34">
        <f>+E31/$E$20</f>
        <v>0.23091172814641281</v>
      </c>
      <c r="G31" s="34">
        <f>IF(C31=0,"",(E31-C31)/ABS(C31)+1)</f>
        <v>1.0191398374084706</v>
      </c>
      <c r="H31" s="32">
        <v>192540.67415000001</v>
      </c>
      <c r="I31" s="34">
        <f t="shared" si="12"/>
        <v>0.21968782215333782</v>
      </c>
      <c r="J31" s="34">
        <f>IF(H31=0,"",(E31-H31)/ABS(H31))</f>
        <v>0.10816116211256128</v>
      </c>
      <c r="K31" s="32">
        <v>2178255</v>
      </c>
      <c r="L31" s="34">
        <f t="shared" si="5"/>
        <v>0.19030978771497553</v>
      </c>
      <c r="M31" s="32">
        <v>2121452.0918699997</v>
      </c>
      <c r="N31" s="34">
        <f>+M31/$M$20</f>
        <v>0.20049610917710831</v>
      </c>
      <c r="O31" s="34">
        <f>IF(K31=0,"",(M31-K31)/ABS(K31)+1)</f>
        <v>0.9739227463588972</v>
      </c>
      <c r="P31" s="32">
        <v>2039603.341</v>
      </c>
      <c r="Q31" s="34">
        <f t="shared" si="8"/>
        <v>0.19694832634069534</v>
      </c>
      <c r="R31" s="34">
        <f>IF(P31=0,"",(M31-P31)/ABS(P31))</f>
        <v>4.012973955507932E-2</v>
      </c>
      <c r="S31" s="67"/>
      <c r="T31" s="54"/>
      <c r="U31" s="58"/>
      <c r="V31" s="58" t="s">
        <v>61</v>
      </c>
      <c r="W31" s="54" t="s">
        <v>81</v>
      </c>
      <c r="X31" s="58"/>
      <c r="Y31" s="58" t="s">
        <v>61</v>
      </c>
      <c r="Z31" s="58"/>
      <c r="AA31" s="58"/>
      <c r="AB31" s="73" t="s">
        <v>81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266349</v>
      </c>
      <c r="D32" s="34">
        <f t="shared" si="11"/>
        <v>0.25430341036141102</v>
      </c>
      <c r="E32" s="32">
        <f>SUM(E30:E31)</f>
        <v>275055.07221999997</v>
      </c>
      <c r="F32" s="34">
        <f>+E32/$E$20</f>
        <v>0.29767354274783586</v>
      </c>
      <c r="G32" s="34">
        <f>IF(C32=0,"",(E32-C32)/ABS(C32)+1)</f>
        <v>1.0326867088669376</v>
      </c>
      <c r="H32" s="32">
        <f>SUM(H30:H31)</f>
        <v>251513.45315000002</v>
      </c>
      <c r="I32" s="34">
        <f t="shared" si="12"/>
        <v>0.28697543004208426</v>
      </c>
      <c r="J32" s="34">
        <f>IF(H32=0,"",(E32-H32)/ABS(H32))</f>
        <v>9.3599840386907579E-2</v>
      </c>
      <c r="K32" s="32">
        <f>SUM(K30:K31)</f>
        <v>2830173</v>
      </c>
      <c r="L32" s="34">
        <f t="shared" si="5"/>
        <v>0.24726656099798022</v>
      </c>
      <c r="M32" s="32">
        <f>SUM(M30:M31)</f>
        <v>2748162.8919999995</v>
      </c>
      <c r="N32" s="34">
        <f>+M32/$M$20</f>
        <v>0.25972585916150592</v>
      </c>
      <c r="O32" s="34">
        <f>IF(K32=0,"",(M32-K32)/ABS(K32)+1)</f>
        <v>0.97102293464039102</v>
      </c>
      <c r="P32" s="32">
        <f>SUM(P30:P31)</f>
        <v>2636795.8329600003</v>
      </c>
      <c r="Q32" s="34">
        <f t="shared" si="8"/>
        <v>0.25461447123781294</v>
      </c>
      <c r="R32" s="34">
        <f>IF(P32=0,"",(M32-P32)/ABS(P32))</f>
        <v>4.2235753579366597E-2</v>
      </c>
      <c r="S32" s="67"/>
      <c r="T32" s="54" t="s">
        <v>82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812655</v>
      </c>
      <c r="D34" s="34">
        <f t="shared" si="11"/>
        <v>0.7759028115264277</v>
      </c>
      <c r="E34" s="32">
        <f>E28+E32</f>
        <v>848684.0056899999</v>
      </c>
      <c r="F34" s="34">
        <f>+E34/$E$20</f>
        <v>0.91847342646022045</v>
      </c>
      <c r="G34" s="34">
        <f>IF(C34=0,"",(E34-C34)/ABS(C34)+1)</f>
        <v>1.0443349338772294</v>
      </c>
      <c r="H34" s="32">
        <f>H28+H32</f>
        <v>828490.27126999991</v>
      </c>
      <c r="I34" s="34">
        <f t="shared" si="12"/>
        <v>0.94530272200428123</v>
      </c>
      <c r="J34" s="34">
        <f>IF(H34=0,"",(E34-H34)/ABS(H34))</f>
        <v>2.4374135847177594E-2</v>
      </c>
      <c r="K34" s="32">
        <f>K28+K32</f>
        <v>9035695</v>
      </c>
      <c r="L34" s="34">
        <f t="shared" si="5"/>
        <v>0.78943062098205474</v>
      </c>
      <c r="M34" s="32">
        <f>M28+M32</f>
        <v>8855585.2496499997</v>
      </c>
      <c r="N34" s="34">
        <f>+M34/$M$20</f>
        <v>0.83693164405893061</v>
      </c>
      <c r="O34" s="34">
        <f>IF(K34=0,"",(M34-K34)/ABS(K34)+1)</f>
        <v>0.98006686255456821</v>
      </c>
      <c r="P34" s="32">
        <f>P28+P32</f>
        <v>8278645.2527300008</v>
      </c>
      <c r="Q34" s="34">
        <f t="shared" si="8"/>
        <v>0.79940314575779881</v>
      </c>
      <c r="R34" s="34">
        <f>IF(P34=0,"",(M34-P34)/ABS(P34))</f>
        <v>6.9690146069460432E-2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136406</v>
      </c>
      <c r="D36" s="45">
        <f t="shared" si="11"/>
        <v>0.13023706112566083</v>
      </c>
      <c r="E36" s="69">
        <f>E24-E34</f>
        <v>-7169.0893099999521</v>
      </c>
      <c r="F36" s="45">
        <f>+E36/$E$20</f>
        <v>-7.7586215587997862E-3</v>
      </c>
      <c r="G36" s="45">
        <f>IF(C36=0,"",(E36-C36)/ABS(C36)+1)</f>
        <v>-5.2556993900561233E-2</v>
      </c>
      <c r="H36" s="69">
        <f>H24-H34</f>
        <v>-42326.156269999919</v>
      </c>
      <c r="I36" s="45">
        <f t="shared" si="12"/>
        <v>-4.8293905337809508E-2</v>
      </c>
      <c r="J36" s="45">
        <f>IF(H36=0,"",(E36-H36)/ABS(H36))</f>
        <v>0.83062271791777875</v>
      </c>
      <c r="K36" s="69">
        <f>K24-K34</f>
        <v>1309005</v>
      </c>
      <c r="L36" s="45">
        <f t="shared" si="5"/>
        <v>0.11436515176957773</v>
      </c>
      <c r="M36" s="69">
        <f>+M24-M34</f>
        <v>473866.81391000003</v>
      </c>
      <c r="N36" s="45">
        <f>+M36/$M$20</f>
        <v>4.4784632573701244E-2</v>
      </c>
      <c r="O36" s="45">
        <f>IF(K36=0,"",(M36-K36)/ABS(K36)+1)</f>
        <v>0.36200535056015826</v>
      </c>
      <c r="P36" s="69">
        <f>P24-P34</f>
        <v>1147668.8220399991</v>
      </c>
      <c r="Q36" s="45">
        <f t="shared" si="8"/>
        <v>0.11082128036883576</v>
      </c>
      <c r="R36" s="45">
        <f>IF(P36=0,"",(M36-P36)/ABS(P36))</f>
        <v>-0.58710491667126197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321</v>
      </c>
      <c r="D38" s="34">
        <f t="shared" si="11"/>
        <v>3.0648282789127405E-4</v>
      </c>
      <c r="E38" s="32">
        <v>770.36265000000003</v>
      </c>
      <c r="F38" s="34">
        <f>+E38/$E$20</f>
        <v>8.3371150866359822E-4</v>
      </c>
      <c r="G38" s="34">
        <f>IF(C38=0,"",(E38-C38)/ABS(C38)+1)</f>
        <v>2.3998836448598131</v>
      </c>
      <c r="H38" s="32">
        <v>216.24870000000001</v>
      </c>
      <c r="I38" s="34">
        <f t="shared" si="12"/>
        <v>2.4673854579671683E-4</v>
      </c>
      <c r="J38" s="34">
        <f>IF(H38=0,"",(E38-H38)/ABS(H38))</f>
        <v>2.5623920513741818</v>
      </c>
      <c r="K38" s="32">
        <v>3531</v>
      </c>
      <c r="L38" s="34">
        <f t="shared" si="5"/>
        <v>3.0849641590244417E-4</v>
      </c>
      <c r="M38" s="32">
        <v>17726.847089999999</v>
      </c>
      <c r="N38" s="34">
        <f>+M38/$M$20</f>
        <v>1.6753448655018415E-3</v>
      </c>
      <c r="O38" s="34">
        <f>IF(K38=0,"",(M38-K38)/ABS(K38)+1)</f>
        <v>5.0203475191163971</v>
      </c>
      <c r="P38" s="32">
        <v>8474.2044700000006</v>
      </c>
      <c r="Q38" s="34">
        <f t="shared" si="8"/>
        <v>8.1828674913674764E-4</v>
      </c>
      <c r="R38" s="34">
        <f>IF(P38=0,"",(M38-P38)/ABS(P38))</f>
        <v>1.0918597318197585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29350</v>
      </c>
      <c r="D39" s="34">
        <f t="shared" si="11"/>
        <v>2.8022651086009012E-2</v>
      </c>
      <c r="E39" s="32">
        <v>32969.111369999999</v>
      </c>
      <c r="F39" s="34">
        <f>+E39/$E$20</f>
        <v>3.5680244336327688E-2</v>
      </c>
      <c r="G39" s="34">
        <f>IF(C39=0,"",(E39-C39)/ABS(C39)+1)</f>
        <v>1.123308734923339</v>
      </c>
      <c r="H39" s="32">
        <v>24607.585320000002</v>
      </c>
      <c r="I39" s="34">
        <f t="shared" si="12"/>
        <v>2.8077115919889629E-2</v>
      </c>
      <c r="J39" s="34">
        <f>IF(H39=0,"",(E39-H39)/ABS(H39))</f>
        <v>0.33979465848703583</v>
      </c>
      <c r="K39" s="32">
        <v>351740</v>
      </c>
      <c r="L39" s="34">
        <f t="shared" si="5"/>
        <v>3.0730821107200712E-2</v>
      </c>
      <c r="M39" s="32">
        <v>344265.34758999996</v>
      </c>
      <c r="N39" s="34">
        <f>+M39/$M$20</f>
        <v>3.2536140213026074E-2</v>
      </c>
      <c r="O39" s="34">
        <f>IF(K39=0,"",(M39-K39)/ABS(K39)+1)</f>
        <v>0.97874949562176594</v>
      </c>
      <c r="P39" s="32">
        <v>311227.09873000003</v>
      </c>
      <c r="Q39" s="34">
        <f t="shared" si="8"/>
        <v>3.0052733771602433E-2</v>
      </c>
      <c r="R39" s="34">
        <f>IF(P39=0,"",(M39-P39)/ABS(P39))</f>
        <v>0.10615479498673644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107377</v>
      </c>
      <c r="D41" s="34">
        <f t="shared" si="11"/>
        <v>0.10252089286754308</v>
      </c>
      <c r="E41" s="32">
        <f>E36+E38-E39</f>
        <v>-39367.838029999948</v>
      </c>
      <c r="F41" s="34">
        <f>+E41/$E$20</f>
        <v>-4.2605154386463867E-2</v>
      </c>
      <c r="G41" s="34">
        <f>IF(C41=0,"",(E41-C41)/ABS(C41)+1)</f>
        <v>-0.36663194194287385</v>
      </c>
      <c r="H41" s="32">
        <f>H36+H38-H39</f>
        <v>-66717.492889999921</v>
      </c>
      <c r="I41" s="34">
        <f t="shared" si="12"/>
        <v>-7.6124282711902427E-2</v>
      </c>
      <c r="J41" s="34">
        <f>IF(H41=0,"",(E41-H41)/ABS(H41))</f>
        <v>0.40993229324567931</v>
      </c>
      <c r="K41" s="32">
        <f>K36+K38-K39</f>
        <v>960796</v>
      </c>
      <c r="L41" s="34">
        <f t="shared" si="5"/>
        <v>8.3942827078279464E-2</v>
      </c>
      <c r="M41" s="32">
        <f>M36+M38-M39</f>
        <v>147328.31341000006</v>
      </c>
      <c r="N41" s="34">
        <f>+M41/$M$20</f>
        <v>1.3923837226177016E-2</v>
      </c>
      <c r="O41" s="34">
        <f>IF(K41=0,"",(M41-K41)/ABS(K41)+1)</f>
        <v>0.15333984884408347</v>
      </c>
      <c r="P41" s="32">
        <f>P36+P38-P39</f>
        <v>844915.9277799991</v>
      </c>
      <c r="Q41" s="34">
        <f t="shared" si="8"/>
        <v>8.1586833346370083E-2</v>
      </c>
      <c r="R41" s="34">
        <f>IF(P41=0,"",(M41-P41)/ABS(P41))</f>
        <v>-0.82562961761520759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42038</v>
      </c>
      <c r="D42" s="34">
        <f t="shared" si="11"/>
        <v>4.0136838376614886E-2</v>
      </c>
      <c r="E42" s="32">
        <v>-11472.157999999999</v>
      </c>
      <c r="F42" s="34">
        <f>+E42/$E$20</f>
        <v>-1.2415542412144678E-2</v>
      </c>
      <c r="G42" s="34">
        <f>IF(C42=0,"",(E42-C42)/ABS(C42)+1)</f>
        <v>-0.27289970978638367</v>
      </c>
      <c r="H42" s="32">
        <v>-12431.227000000001</v>
      </c>
      <c r="I42" s="34">
        <f t="shared" si="12"/>
        <v>-1.4183959822412263E-2</v>
      </c>
      <c r="J42" s="34">
        <f>IF(H42=0,"",(E42-H42)/ABS(H42))</f>
        <v>7.7149986883837077E-2</v>
      </c>
      <c r="K42" s="32">
        <v>385734</v>
      </c>
      <c r="L42" s="34">
        <f t="shared" si="5"/>
        <v>3.3700808975279925E-2</v>
      </c>
      <c r="M42" s="32">
        <v>127522.659</v>
      </c>
      <c r="N42" s="34">
        <f>+M42/$M$20</f>
        <v>1.2052026562090246E-2</v>
      </c>
      <c r="O42" s="34">
        <f>IF(K42=0,"",(M42-K42)/ABS(K42)+1)</f>
        <v>0.33059740391046677</v>
      </c>
      <c r="P42" s="32">
        <v>300723.01500000001</v>
      </c>
      <c r="Q42" s="34">
        <f t="shared" si="8"/>
        <v>2.9038437673542632E-2</v>
      </c>
      <c r="R42" s="34">
        <f>IF(P42=0,"",(M42-P42)/ABS(P42))</f>
        <v>-0.57594646023351426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65339</v>
      </c>
      <c r="D43" s="45">
        <f t="shared" si="11"/>
        <v>6.2384054490928202E-2</v>
      </c>
      <c r="E43" s="69">
        <f>E41-E42</f>
        <v>-27895.680029999949</v>
      </c>
      <c r="F43" s="45">
        <f>+E43/$E$20</f>
        <v>-3.0189611974319193E-2</v>
      </c>
      <c r="G43" s="45">
        <f>IF(C43=0,"",(E43-C43)/ABS(C43)+1)</f>
        <v>-0.42693766402913957</v>
      </c>
      <c r="H43" s="69">
        <f>+H41-H42</f>
        <v>-54286.265889999922</v>
      </c>
      <c r="I43" s="45">
        <f t="shared" si="12"/>
        <v>-6.1940322889490161E-2</v>
      </c>
      <c r="J43" s="45">
        <f>IF(H43=0,"",(E43-H43)/ABS(H43))</f>
        <v>0.48613743139885746</v>
      </c>
      <c r="K43" s="69">
        <f>+K41-K42</f>
        <v>575062</v>
      </c>
      <c r="L43" s="45">
        <f t="shared" si="5"/>
        <v>5.0242018102999539E-2</v>
      </c>
      <c r="M43" s="69">
        <f>+M41-M42</f>
        <v>19805.654410000061</v>
      </c>
      <c r="N43" s="45">
        <f>+M43/$M$20</f>
        <v>1.8718106640867689E-3</v>
      </c>
      <c r="O43" s="45">
        <f>IF(K43=0,"",(M43-K43)/ABS(K43)+1)</f>
        <v>3.4440902737444046E-2</v>
      </c>
      <c r="P43" s="69">
        <f>P41-P42</f>
        <v>544192.91277999908</v>
      </c>
      <c r="Q43" s="45">
        <f t="shared" si="8"/>
        <v>5.2548395672827451E-2</v>
      </c>
      <c r="R43" s="45">
        <f>IF(P43=0,"",(M43-P43)/ABS(P43))</f>
        <v>-0.96360545324116176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83</v>
      </c>
      <c r="B45" s="3" t="s">
        <v>84</v>
      </c>
      <c r="C45" s="32">
        <v>183752</v>
      </c>
      <c r="D45" s="34">
        <f t="shared" si="11"/>
        <v>0.17544184607687657</v>
      </c>
      <c r="E45" s="32">
        <v>40828.37734000005</v>
      </c>
      <c r="F45" s="34">
        <f>+E45/$E$20</f>
        <v>4.4185797518114495E-2</v>
      </c>
      <c r="G45" s="34">
        <f>IF(C45=0,"",(E45-C45)/ABS(C45)+1)</f>
        <v>0.22219283240454557</v>
      </c>
      <c r="H45" s="32">
        <v>-8969.6643999999214</v>
      </c>
      <c r="I45" s="34">
        <f t="shared" si="12"/>
        <v>-1.023433643920431E-2</v>
      </c>
      <c r="J45" s="34">
        <f>IF(H45=0,"",(E45-H45)/ABS(H45))</f>
        <v>5.5518288666408084</v>
      </c>
      <c r="K45" s="32">
        <v>1848154</v>
      </c>
      <c r="L45" s="34">
        <f t="shared" si="5"/>
        <v>0.16146952280820329</v>
      </c>
      <c r="M45" s="32">
        <v>996994.43516000011</v>
      </c>
      <c r="N45" s="34">
        <f>+M45/$M$20</f>
        <v>9.4224849991596263E-2</v>
      </c>
      <c r="O45" s="34">
        <f>IF(K45=0,"",(M45-K45)/ABS(K45)+1)</f>
        <v>0.53945419870854927</v>
      </c>
      <c r="P45" s="32">
        <v>1649985.969599999</v>
      </c>
      <c r="Q45" s="34">
        <f t="shared" si="8"/>
        <v>0.159326065351032</v>
      </c>
      <c r="R45" s="34">
        <f>IF(P45=0,"",(M45-P45)/ABS(P45))</f>
        <v>-0.39575581033473978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439443</v>
      </c>
      <c r="D46" s="34">
        <f t="shared" si="11"/>
        <v>0.41956926273216549</v>
      </c>
      <c r="E46" s="32">
        <v>453485.8</v>
      </c>
      <c r="F46" s="34">
        <f>+E46/$E$20</f>
        <v>0.49077707814043003</v>
      </c>
      <c r="G46" s="34">
        <f>IF(C46=0,"",(E46-C46)/ABS(C46)+1)</f>
        <v>1.0319559078196716</v>
      </c>
      <c r="H46" s="32">
        <v>453212.81400000001</v>
      </c>
      <c r="I46" s="34">
        <f t="shared" si="12"/>
        <v>0.51711326201173879</v>
      </c>
      <c r="J46" s="34">
        <f>IF(H46=0,"",(E46-H46)/ABS(H46))</f>
        <v>6.0233513168048971E-4</v>
      </c>
      <c r="K46" s="32">
        <v>4750557</v>
      </c>
      <c r="L46" s="34">
        <f t="shared" si="5"/>
        <v>0.41504667460783562</v>
      </c>
      <c r="M46" s="32">
        <v>4733571.13</v>
      </c>
      <c r="N46" s="34">
        <f>+M46/$M$20</f>
        <v>0.44736461300029468</v>
      </c>
      <c r="O46" s="34">
        <f>IF(K46=0,"",(M46-K46)/ABS(K46)+1)</f>
        <v>0.99642444664909813</v>
      </c>
      <c r="P46" s="32">
        <v>4334351.5774499997</v>
      </c>
      <c r="Q46" s="34">
        <f t="shared" si="8"/>
        <v>0.41853397265587738</v>
      </c>
      <c r="R46" s="34">
        <f>IF(P46=0,"",(M46-P46)/ABS(P46))</f>
        <v>9.2105946048998244E-2</v>
      </c>
      <c r="S46" s="67"/>
      <c r="X46" s="73"/>
      <c r="Y46" s="73"/>
      <c r="Z46" s="73"/>
      <c r="AA46" s="73"/>
    </row>
    <row r="47" spans="1:29" x14ac:dyDescent="0.2">
      <c r="B47" s="3" t="s">
        <v>82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85</v>
      </c>
    </row>
    <row r="56" spans="1:27" x14ac:dyDescent="0.2">
      <c r="C56" s="53"/>
    </row>
  </sheetData>
  <conditionalFormatting sqref="D9:D46 AC10:AC11 G10:G46 J10:J46 AC13:AC17 AC19:AC28 AC30">
    <cfRule type="cellIs" dxfId="9" priority="2" operator="lessThan">
      <formula>0</formula>
    </cfRule>
  </conditionalFormatting>
  <conditionalFormatting sqref="R10:R46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432A8-3EF5-45CB-A9CE-397C2F29BBA6}">
  <sheetPr>
    <tabColor theme="2" tint="-0.249977111117893"/>
  </sheetPr>
  <dimension ref="A1:V48"/>
  <sheetViews>
    <sheetView showGridLines="0" zoomScale="93" zoomScaleNormal="93" workbookViewId="0">
      <selection activeCell="G23" sqref="G23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86</v>
      </c>
      <c r="T3" s="18"/>
    </row>
    <row r="4" spans="1:22" x14ac:dyDescent="0.2">
      <c r="B4" s="3" t="s">
        <v>87</v>
      </c>
    </row>
    <row r="5" spans="1:22" x14ac:dyDescent="0.2">
      <c r="A5" s="78" t="str">
        <f>+Paramet!A3</f>
        <v>202301</v>
      </c>
      <c r="B5" s="3" t="s">
        <v>22</v>
      </c>
    </row>
    <row r="6" spans="1:22" ht="13.5" thickBot="1" x14ac:dyDescent="0.25">
      <c r="A6" s="78" t="str">
        <f>+Paramet!A4</f>
        <v>202311</v>
      </c>
      <c r="B6" s="79" t="str">
        <f>+'COLOMB$ '!B6</f>
        <v>NOVIEMBRE de 2024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202401</v>
      </c>
      <c r="B7" s="3"/>
      <c r="C7" s="54" t="str">
        <f>+'COLOMB$ '!D7:D7</f>
        <v>Ppto 2024</v>
      </c>
      <c r="D7" s="54"/>
      <c r="E7" s="54" t="str">
        <f>+'COLOMB$ '!F7:F7</f>
        <v>Real 2024</v>
      </c>
      <c r="F7" s="54"/>
      <c r="G7" s="51" t="s">
        <v>24</v>
      </c>
      <c r="H7" s="54" t="str">
        <f>+'COLOMB$ '!I7:I7</f>
        <v>Real 2023</v>
      </c>
      <c r="I7" s="54"/>
      <c r="J7" s="51" t="s">
        <v>25</v>
      </c>
      <c r="K7" s="54" t="str">
        <f>+C7</f>
        <v>Ppto 2024</v>
      </c>
      <c r="L7" s="54"/>
      <c r="M7" s="54" t="str">
        <f>+E7</f>
        <v>Real 2024</v>
      </c>
      <c r="N7" s="54"/>
      <c r="O7" s="51" t="s">
        <v>24</v>
      </c>
      <c r="P7" s="2" t="str">
        <f>+H7</f>
        <v>Real 2023</v>
      </c>
      <c r="R7" s="51" t="s">
        <v>25</v>
      </c>
    </row>
    <row r="8" spans="1:22" ht="13.5" thickBot="1" x14ac:dyDescent="0.25">
      <c r="A8" s="78" t="str">
        <f>+Paramet!B4</f>
        <v>202411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88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>
        <f t="shared" ref="I10:I16" si="3">+H10/$H$20</f>
        <v>0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34.454000000000001</v>
      </c>
      <c r="N10" s="68">
        <f t="shared" ref="N10:N20" si="6">IF($M$20=0,0,M10/$M$20)</f>
        <v>1.0121609727838156E-2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>
        <f t="shared" si="3"/>
        <v>0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>
        <f t="shared" si="3"/>
        <v>0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375</v>
      </c>
      <c r="D13" s="68">
        <f t="shared" si="0"/>
        <v>0.10002667377967459</v>
      </c>
      <c r="E13" s="32">
        <v>0</v>
      </c>
      <c r="F13" s="68">
        <f t="shared" si="1"/>
        <v>0</v>
      </c>
      <c r="G13" s="68">
        <f t="shared" si="2"/>
        <v>0</v>
      </c>
      <c r="H13" s="32">
        <v>800</v>
      </c>
      <c r="I13" s="68">
        <f t="shared" si="3"/>
        <v>1</v>
      </c>
      <c r="J13" s="68">
        <f t="shared" si="4"/>
        <v>-1</v>
      </c>
      <c r="K13" s="32">
        <v>4313</v>
      </c>
      <c r="L13" s="68">
        <f t="shared" si="5"/>
        <v>0.10004175171645946</v>
      </c>
      <c r="M13" s="32">
        <v>3117.4490000000001</v>
      </c>
      <c r="N13" s="68">
        <f t="shared" si="6"/>
        <v>0.91581825403260386</v>
      </c>
      <c r="O13" s="68">
        <f t="shared" si="7"/>
        <v>0.72280292140041735</v>
      </c>
      <c r="P13" s="32">
        <v>2344.0340000000001</v>
      </c>
      <c r="Q13" s="68">
        <f t="shared" si="8"/>
        <v>1</v>
      </c>
      <c r="R13" s="34">
        <f t="shared" si="9"/>
        <v>0.32995041880791831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>
        <f t="shared" si="3"/>
        <v>0</v>
      </c>
      <c r="J15" s="68" t="str">
        <f t="shared" si="4"/>
        <v/>
      </c>
      <c r="K15" s="32"/>
      <c r="L15" s="68">
        <f t="shared" si="5"/>
        <v>0</v>
      </c>
      <c r="M15" s="32">
        <v>252.101</v>
      </c>
      <c r="N15" s="68">
        <f t="shared" si="6"/>
        <v>7.4060136239557872E-2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>
        <f t="shared" si="3"/>
        <v>0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3374</v>
      </c>
      <c r="D18" s="68">
        <f t="shared" si="0"/>
        <v>0.89997332622032544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38799</v>
      </c>
      <c r="L18" s="68">
        <f t="shared" si="5"/>
        <v>0.89995824828354054</v>
      </c>
      <c r="M18" s="32">
        <v>30018.769</v>
      </c>
      <c r="N18" s="68">
        <f t="shared" si="6"/>
        <v>8.8186644316516656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3749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800</v>
      </c>
      <c r="I20" s="72">
        <f>+H22/$H$22</f>
        <v>1</v>
      </c>
      <c r="J20" s="68">
        <f t="shared" si="4"/>
        <v>-1</v>
      </c>
      <c r="K20" s="69">
        <f>SUM(K10:K19)</f>
        <v>43112</v>
      </c>
      <c r="L20" s="72">
        <f t="shared" si="5"/>
        <v>1</v>
      </c>
      <c r="M20" s="69">
        <f>SUM(M10:M17)</f>
        <v>3404.0040000000004</v>
      </c>
      <c r="N20" s="68">
        <f t="shared" si="6"/>
        <v>1</v>
      </c>
      <c r="O20" s="72">
        <f>IF(K20=0,"",(M20-K20)/ABS(K20)+1)</f>
        <v>7.8957227686027087E-2</v>
      </c>
      <c r="P20" s="69">
        <f>SUM(P10:P17)</f>
        <v>2344.0340000000001</v>
      </c>
      <c r="Q20" s="72">
        <f>+P20/$P$20</f>
        <v>1</v>
      </c>
      <c r="R20" s="34">
        <f t="shared" si="9"/>
        <v>0.45219907219775829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2306</v>
      </c>
      <c r="D22" s="68">
        <f>+C22/$C$20</f>
        <v>0.61509735929581222</v>
      </c>
      <c r="E22" s="32">
        <v>1439.614</v>
      </c>
      <c r="F22" s="68">
        <f>IF($E$20=0,0,E22/$E$20)</f>
        <v>0</v>
      </c>
      <c r="G22" s="68">
        <f>IF(C22=0,"",(E22-C22)/ABS(C22)+1)</f>
        <v>0.62429054640069381</v>
      </c>
      <c r="H22" s="32">
        <v>1777.38465</v>
      </c>
      <c r="I22" s="68">
        <f>+H22/$H$20</f>
        <v>2.2217308125000002</v>
      </c>
      <c r="J22" s="68">
        <f t="shared" si="4"/>
        <v>-0.19003801456257649</v>
      </c>
      <c r="K22" s="32">
        <v>26518</v>
      </c>
      <c r="L22" s="68">
        <f>+K22/$K$20</f>
        <v>0.61509556503989604</v>
      </c>
      <c r="M22" s="32">
        <v>11304.613650000001</v>
      </c>
      <c r="N22" s="68">
        <f>IF($M$20=0,0,M22/$M$20)</f>
        <v>3.3209754306986712</v>
      </c>
      <c r="O22" s="68">
        <f>IF(K22=0,"",(M22-K22)/ABS(K22)+1)</f>
        <v>0.42629963232521306</v>
      </c>
      <c r="P22" s="63">
        <v>3215.90245</v>
      </c>
      <c r="Q22" s="68"/>
      <c r="R22" s="34">
        <f t="shared" si="9"/>
        <v>2.5152228109406742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1443</v>
      </c>
      <c r="D24" s="68">
        <f>+C24/$C$20</f>
        <v>0.38490264070418778</v>
      </c>
      <c r="E24" s="32">
        <f>+E20-E22</f>
        <v>-1439.614</v>
      </c>
      <c r="F24" s="68">
        <f>IF($E$20=0,0,E24/$E$20)</f>
        <v>0</v>
      </c>
      <c r="G24" s="68">
        <f>IF(C24=0,"",(E24-C24)/ABS(C24)+1)</f>
        <v>-0.99765349965349959</v>
      </c>
      <c r="H24" s="32">
        <f>+H20-H22</f>
        <v>-977.38464999999997</v>
      </c>
      <c r="I24" s="68">
        <f>+H24/$H$20</f>
        <v>-1.2217308124999999</v>
      </c>
      <c r="J24" s="68" t="str">
        <f t="shared" si="4"/>
        <v/>
      </c>
      <c r="K24" s="32">
        <f>+K20-K22</f>
        <v>16594</v>
      </c>
      <c r="L24" s="68">
        <f>+K24/$K$20</f>
        <v>0.3849044349601039</v>
      </c>
      <c r="M24" s="32">
        <f>+M20-M22</f>
        <v>-7900.6096500000003</v>
      </c>
      <c r="N24" s="68">
        <f>IF($M$20=0,0,M24/$M$20)</f>
        <v>-2.3209754306986712</v>
      </c>
      <c r="O24" s="68">
        <f>IF(K24=0,"",(M24-K24)/ABS(K24)+1)</f>
        <v>-0.47611242919127394</v>
      </c>
      <c r="P24" s="32">
        <f>+P20-P22</f>
        <v>-871.86844999999994</v>
      </c>
      <c r="Q24" s="68">
        <f>+P24/$P$20</f>
        <v>-0.37195213465333687</v>
      </c>
      <c r="R24" s="34" t="str">
        <f t="shared" si="9"/>
        <v/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11</v>
      </c>
      <c r="D26" s="68">
        <f>+C26/$C$20</f>
        <v>2.9341157642037877E-3</v>
      </c>
      <c r="E26" s="32">
        <v>289.47399999999999</v>
      </c>
      <c r="F26" s="68">
        <f>IF($E$20=0,0,E26/$E$20)</f>
        <v>0</v>
      </c>
      <c r="G26" s="68">
        <f>IF(C26=0,"",(E26-C26)/ABS(C26)+1)</f>
        <v>26.31581818181818</v>
      </c>
      <c r="H26" s="32">
        <v>289.49400000000003</v>
      </c>
      <c r="I26" s="68">
        <f>+H26/$H$20</f>
        <v>0.36186750000000001</v>
      </c>
      <c r="J26" s="68">
        <f t="shared" si="4"/>
        <v>-6.90860605057053E-5</v>
      </c>
      <c r="K26" s="32">
        <v>133</v>
      </c>
      <c r="L26" s="68">
        <f>+K26/$K$20</f>
        <v>3.084987938393023E-3</v>
      </c>
      <c r="M26" s="32">
        <v>3339.5862900000002</v>
      </c>
      <c r="N26" s="68">
        <f>IF($M$20=0,0,M26/$M$20)</f>
        <v>0.98107590061586292</v>
      </c>
      <c r="O26" s="68">
        <f>IF(K26=0,"",(M26-K26)/ABS(K26)+1)</f>
        <v>25.109671353383462</v>
      </c>
      <c r="P26" s="32">
        <v>3192.0489700000003</v>
      </c>
      <c r="Q26" s="68">
        <f>+P26/$P$20</f>
        <v>1.3617758829436775</v>
      </c>
      <c r="R26" s="34">
        <f t="shared" si="9"/>
        <v>4.6220255825210568E-2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>
        <f>+H27/$H$20</f>
        <v>0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11</v>
      </c>
      <c r="D28" s="68">
        <f>+C28/$C$20</f>
        <v>2.9341157642037877E-3</v>
      </c>
      <c r="E28" s="32">
        <f>SUM(E26:E27)</f>
        <v>289.47399999999999</v>
      </c>
      <c r="F28" s="68">
        <f>IF($E$20=0,0,E28/$E$20)</f>
        <v>0</v>
      </c>
      <c r="G28" s="68">
        <f>IF(C28=0,"",(E28-C28)/ABS(C28)+1)</f>
        <v>26.31581818181818</v>
      </c>
      <c r="H28" s="32">
        <f>SUM(H26:H27)</f>
        <v>289.49400000000003</v>
      </c>
      <c r="I28" s="68">
        <f>+H28/$H$20</f>
        <v>0.36186750000000001</v>
      </c>
      <c r="J28" s="68">
        <f t="shared" si="4"/>
        <v>-6.90860605057053E-5</v>
      </c>
      <c r="K28" s="32">
        <f>SUM(K26:K27)</f>
        <v>133</v>
      </c>
      <c r="L28" s="68">
        <f>+K28/$K$20</f>
        <v>3.084987938393023E-3</v>
      </c>
      <c r="M28" s="32">
        <f>SUM(M26:M27)</f>
        <v>3339.5862900000002</v>
      </c>
      <c r="N28" s="68">
        <f>IF($M$20=0,0,M28/$M$20)</f>
        <v>0.98107590061586292</v>
      </c>
      <c r="O28" s="68">
        <f>IF(K28=0,"",(M28-K28)/ABS(K28)+1)</f>
        <v>25.109671353383462</v>
      </c>
      <c r="P28" s="32">
        <f>SUM(P26:P27)</f>
        <v>3192.0489700000003</v>
      </c>
      <c r="Q28" s="68">
        <f>+P28/$P$20</f>
        <v>1.3617758829436775</v>
      </c>
      <c r="R28" s="34">
        <f t="shared" si="9"/>
        <v>4.6220255825210568E-2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4.2060000000000004</v>
      </c>
      <c r="F30" s="68">
        <f>IF($E$20=0,0,E30/$E$20)</f>
        <v>0</v>
      </c>
      <c r="G30" s="68" t="str">
        <f>IF(C30=0,"",(E30-C30)/ABS(C30)+1)</f>
        <v/>
      </c>
      <c r="H30" s="32">
        <v>4.2030000000000003</v>
      </c>
      <c r="I30" s="68"/>
      <c r="J30" s="68">
        <f t="shared" si="4"/>
        <v>7.1377587437547311E-4</v>
      </c>
      <c r="K30" s="32">
        <v>0</v>
      </c>
      <c r="L30" s="68">
        <f>+K30/$K$20</f>
        <v>0</v>
      </c>
      <c r="M30" s="32">
        <v>46.249499999999998</v>
      </c>
      <c r="N30" s="68">
        <f>IF($M$20=0,0,M30/$M$20)</f>
        <v>1.358679367004269E-2</v>
      </c>
      <c r="O30" s="68" t="str">
        <f>IF(K30=0,"",(M30-K30)/ABS(K30)+1)</f>
        <v/>
      </c>
      <c r="P30" s="32">
        <v>3542.5771099999997</v>
      </c>
      <c r="Q30" s="68">
        <f>+P30/$P$20</f>
        <v>1.5113164356830999</v>
      </c>
      <c r="R30" s="34">
        <f t="shared" si="9"/>
        <v>-0.98694467373216899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7.7603159894438392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4.2060000000000004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4.2030000000000003</v>
      </c>
      <c r="I32" s="68">
        <f>+H32/$H$20</f>
        <v>5.2537500000000006E-3</v>
      </c>
      <c r="J32" s="68">
        <f>IF(H32&lt;=0,"",(E32-H32)/ABS(H32))</f>
        <v>7.1377587437547311E-4</v>
      </c>
      <c r="K32" s="32">
        <f>SUM(K30:K31)</f>
        <v>0</v>
      </c>
      <c r="L32" s="68">
        <f>+K32/$K$20</f>
        <v>0</v>
      </c>
      <c r="M32" s="32">
        <f>SUM(M30:M31)</f>
        <v>46.249499999999998</v>
      </c>
      <c r="N32" s="68">
        <f>IF($M$20=0,0,M32/$M$20)</f>
        <v>1.358679367004269E-2</v>
      </c>
      <c r="O32" s="68" t="str">
        <f>IF(K32=0,"",(M32-K32)/ABS(K32)+1)</f>
        <v/>
      </c>
      <c r="P32" s="32">
        <f>+P30+P31</f>
        <v>3542.5771099999997</v>
      </c>
      <c r="Q32" s="68">
        <f>+P32/$P$20</f>
        <v>1.5113164356830999</v>
      </c>
      <c r="R32" s="34">
        <f>IF(P32&lt;=0,"",(M32-P32)/ABS(P32))</f>
        <v>-0.98694467373216899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11</v>
      </c>
      <c r="D34" s="68">
        <f>+C34/$C$20</f>
        <v>2.9341157642037877E-3</v>
      </c>
      <c r="E34" s="32">
        <f>E28+E32</f>
        <v>293.68</v>
      </c>
      <c r="F34" s="68">
        <f>IF($E$20=0,0,E34/$E$20)</f>
        <v>0</v>
      </c>
      <c r="G34" s="68">
        <f>IF(C34=0,"",(E34-C34)/ABS(C34)+1)</f>
        <v>26.698181818181819</v>
      </c>
      <c r="H34" s="32">
        <f>+H32+H28</f>
        <v>293.697</v>
      </c>
      <c r="I34" s="68">
        <f>+H34/$H$20</f>
        <v>0.36712125000000001</v>
      </c>
      <c r="J34" s="68">
        <f>IF(H34&lt;=0,"",(E34-H34)/ABS(H34))</f>
        <v>-5.7882783957602244E-5</v>
      </c>
      <c r="K34" s="32">
        <f>K28+K32</f>
        <v>133</v>
      </c>
      <c r="L34" s="68">
        <f>+K34/$K$20</f>
        <v>3.084987938393023E-3</v>
      </c>
      <c r="M34" s="32">
        <f>M28+M32</f>
        <v>3385.8357900000001</v>
      </c>
      <c r="N34" s="68">
        <f>IF($M$20=0,0,M34/$M$20)</f>
        <v>0.99466269428590559</v>
      </c>
      <c r="O34" s="68">
        <f>IF(K34=0,"",(M34-K34)/ABS(K34)+1)</f>
        <v>25.45741195488722</v>
      </c>
      <c r="P34" s="32">
        <f>P28+P32</f>
        <v>6734.62608</v>
      </c>
      <c r="Q34" s="68">
        <f>+P34/$P$20</f>
        <v>2.8730923186267776</v>
      </c>
      <c r="R34" s="34">
        <f>IF(P34&lt;=0,"",(M34-P34)/ABS(P34))</f>
        <v>-0.49724962458494798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1432</v>
      </c>
      <c r="D36" s="72">
        <f>+C36/$C$20</f>
        <v>0.38196852493998401</v>
      </c>
      <c r="E36" s="69">
        <f>E24-E34</f>
        <v>-1733.2940000000001</v>
      </c>
      <c r="F36" s="72">
        <f>IF($E$20=0,0,E36/$E$20)</f>
        <v>0</v>
      </c>
      <c r="G36" s="72">
        <f>IF(C36=0,"",(E36-C36)/ABS(C36)+1)</f>
        <v>-1.2104008379888267</v>
      </c>
      <c r="H36" s="69">
        <f>+H24-H34</f>
        <v>-1271.0816500000001</v>
      </c>
      <c r="I36" s="72">
        <f>+H36/$H$20</f>
        <v>-1.5888520625</v>
      </c>
      <c r="J36" s="72" t="str">
        <f t="shared" si="4"/>
        <v/>
      </c>
      <c r="K36" s="69">
        <f>K24-K34</f>
        <v>16461</v>
      </c>
      <c r="L36" s="72">
        <f>+K36/$K$20</f>
        <v>0.38181944702171089</v>
      </c>
      <c r="M36" s="69">
        <f>M24-M34</f>
        <v>-11286.44544</v>
      </c>
      <c r="N36" s="72">
        <f>IF($M$20=0,0,M36/$M$20)</f>
        <v>-3.3156381249845763</v>
      </c>
      <c r="O36" s="72">
        <f>IF(K36=0,"",(M36-K36)/ABS(K36)+1)</f>
        <v>-0.68564761800619634</v>
      </c>
      <c r="P36" s="69">
        <f>P24-P34</f>
        <v>-7606.4945299999999</v>
      </c>
      <c r="Q36" s="72">
        <f>+P36/$P$20</f>
        <v>-3.2450444532801144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0</v>
      </c>
      <c r="I38" s="68">
        <f>+H38/$H$20</f>
        <v>0</v>
      </c>
      <c r="J38" s="68" t="str">
        <f t="shared" si="4"/>
        <v/>
      </c>
      <c r="K38" s="32"/>
      <c r="L38" s="68">
        <f>+K38/$K$20</f>
        <v>0</v>
      </c>
      <c r="M38" s="32">
        <v>138.10300000000001</v>
      </c>
      <c r="N38" s="68">
        <f>IF($M$20=0,0,M38/$M$20)</f>
        <v>4.0570751385721047E-2</v>
      </c>
      <c r="O38" s="68" t="str">
        <f>IF(K38=0,"",(M38-K38)/ABS(K38)+1)</f>
        <v/>
      </c>
      <c r="P38" s="32">
        <v>30</v>
      </c>
      <c r="Q38" s="68">
        <f>+P38/$P$20</f>
        <v>1.2798449169252664E-2</v>
      </c>
      <c r="R38" s="34">
        <f t="shared" si="9"/>
        <v>3.6034333333333337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1141.4670000000001</v>
      </c>
      <c r="I39" s="68"/>
      <c r="J39" s="68">
        <f t="shared" si="4"/>
        <v>-1</v>
      </c>
      <c r="K39" s="32">
        <v>0</v>
      </c>
      <c r="L39" s="68">
        <f>+K39/$K$20</f>
        <v>0</v>
      </c>
      <c r="M39" s="32">
        <v>3642.3780000000002</v>
      </c>
      <c r="N39" s="68">
        <f>IF($M$20=0,0,M39/$M$20)</f>
        <v>1.0700275322825707</v>
      </c>
      <c r="O39" s="68" t="str">
        <f>IF(K39=0,"",(M39-K39)/ABS(K39)+1)</f>
        <v/>
      </c>
      <c r="P39" s="32">
        <v>18190.444530000001</v>
      </c>
      <c r="Q39" s="68">
        <f>+P39/$P$20</f>
        <v>7.7603159894438392</v>
      </c>
      <c r="R39" s="34">
        <f t="shared" si="9"/>
        <v>-0.79976421169955869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1432</v>
      </c>
      <c r="D41" s="68">
        <f>+C41/$C$20</f>
        <v>0.38196852493998401</v>
      </c>
      <c r="E41" s="32">
        <f>+E36-E39</f>
        <v>-1733.2940000000001</v>
      </c>
      <c r="F41" s="68">
        <f>IF($E$20=0,0,E41/$E$20)</f>
        <v>0</v>
      </c>
      <c r="G41" s="68">
        <f>IF(C41=0,"",(E41-C41)/ABS(C41)+1)</f>
        <v>-1.2104008379888267</v>
      </c>
      <c r="H41" s="32">
        <f>+H36+H38-H39</f>
        <v>-2412.5486500000002</v>
      </c>
      <c r="I41" s="68">
        <f>+H41/$H$20</f>
        <v>-3.0156858125000001</v>
      </c>
      <c r="J41" s="68" t="str">
        <f t="shared" si="4"/>
        <v/>
      </c>
      <c r="K41" s="32">
        <f>K36+K38-K39</f>
        <v>16461</v>
      </c>
      <c r="L41" s="68">
        <f>+K41/$K$20</f>
        <v>0.38181944702171089</v>
      </c>
      <c r="M41" s="32">
        <f>M36+M38-M39</f>
        <v>-14790.720440000001</v>
      </c>
      <c r="N41" s="68">
        <f>IF($M$20=0,0,M41/$M$20)</f>
        <v>-4.3450949058814263</v>
      </c>
      <c r="O41" s="68">
        <f>IF(K41=0,"",(M41-K41)/ABS(K41)+1)</f>
        <v>-0.89853110017617399</v>
      </c>
      <c r="P41" s="32">
        <f>+P36-P39</f>
        <v>-25796.939060000001</v>
      </c>
      <c r="Q41" s="68">
        <f>+P41/$P$20</f>
        <v>-11.005360442723953</v>
      </c>
      <c r="R41" s="34" t="str">
        <f t="shared" si="9"/>
        <v/>
      </c>
    </row>
    <row r="42" spans="1:21" x14ac:dyDescent="0.2">
      <c r="B42" s="3" t="s">
        <v>44</v>
      </c>
      <c r="C42" s="32">
        <v>535</v>
      </c>
      <c r="D42" s="68">
        <f>+C42/$C$20</f>
        <v>0.14270472125900241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>
        <f>+I41*33%</f>
        <v>-0.99517631812500007</v>
      </c>
      <c r="J42" s="68" t="str">
        <f t="shared" si="4"/>
        <v/>
      </c>
      <c r="K42" s="32">
        <v>6153</v>
      </c>
      <c r="L42" s="68">
        <f>+K42/$K$20</f>
        <v>0.14272128409723511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1432</v>
      </c>
      <c r="D43" s="72">
        <f>+C43/$C$20</f>
        <v>0.38196852493998401</v>
      </c>
      <c r="E43" s="69">
        <f>E41-E42</f>
        <v>-1733.2940000000001</v>
      </c>
      <c r="F43" s="72">
        <f>IF($E$20=0,0,E43/$E$20)</f>
        <v>0</v>
      </c>
      <c r="G43" s="72">
        <f>IF(C43=0,"",(E43-C43)/ABS(C43)+1)</f>
        <v>-1.2104008379888267</v>
      </c>
      <c r="H43" s="69">
        <f>+H41-H42</f>
        <v>-2412.5486500000002</v>
      </c>
      <c r="I43" s="72">
        <f>+H43/$H$20</f>
        <v>-3.0156858125000001</v>
      </c>
      <c r="J43" s="68" t="str">
        <f t="shared" si="4"/>
        <v/>
      </c>
      <c r="K43" s="69">
        <f>K41-K42</f>
        <v>10308</v>
      </c>
      <c r="L43" s="72">
        <f>+K43/$K$20</f>
        <v>0.23909816292447578</v>
      </c>
      <c r="M43" s="69">
        <f>+M41-M42</f>
        <v>-14790.720440000001</v>
      </c>
      <c r="N43" s="72">
        <f>IF($M$20=0,0,M43/$M$20)</f>
        <v>-4.3450949058814263</v>
      </c>
      <c r="O43" s="72">
        <f>IF(K43=0,"",(M43-K43)/ABS(K43)+1)</f>
        <v>-1.4348778075281334</v>
      </c>
      <c r="P43" s="69">
        <f>P41-P42</f>
        <v>-25796.939060000001</v>
      </c>
      <c r="Q43" s="72">
        <f>+P43/$P$20</f>
        <v>-11.005360442723953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1432</v>
      </c>
      <c r="D45" s="68">
        <f>+C45/$C$20</f>
        <v>0.38196852493998401</v>
      </c>
      <c r="E45" s="32">
        <v>-1439.614</v>
      </c>
      <c r="F45" s="68">
        <f>IF($E$20=0,0,E45/$E$20)</f>
        <v>0</v>
      </c>
      <c r="G45" s="68">
        <f>IF(C45=0,"",(E45-C45)/ABS(C45)+1)</f>
        <v>-1.0053170391061452</v>
      </c>
      <c r="H45" s="32">
        <v>-2118.8516500000001</v>
      </c>
      <c r="I45" s="68">
        <f>+H45/$H$20</f>
        <v>-2.6485645625000003</v>
      </c>
      <c r="J45" s="68" t="str">
        <f t="shared" si="4"/>
        <v/>
      </c>
      <c r="K45" s="32">
        <v>16461</v>
      </c>
      <c r="L45" s="68">
        <f>+K45/$K$20</f>
        <v>0.38181944702171089</v>
      </c>
      <c r="M45" s="32">
        <v>-8055.8716499999991</v>
      </c>
      <c r="N45" s="68">
        <f>IF($M$20=0,0,M45/$M$20)</f>
        <v>-2.3665870104735478</v>
      </c>
      <c r="O45" s="68">
        <f>IF(K45=0,"",(M45-K45)/ABS(K45)+1)</f>
        <v>-0.48939138873701471</v>
      </c>
      <c r="P45" s="32">
        <v>-873.37644999999975</v>
      </c>
      <c r="Q45" s="68">
        <f>+P45/$P$20</f>
        <v>-0.37259547003157789</v>
      </c>
      <c r="R45" s="34" t="str">
        <f t="shared" si="9"/>
        <v/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>
        <f>+H46/$H$20</f>
        <v>0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78248-D54C-46BD-8335-763E6631CA9D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90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91</v>
      </c>
      <c r="V5" s="19" t="s">
        <v>91</v>
      </c>
      <c r="AI5" s="83">
        <f>+Paramet!G3-Paramet!G4</f>
        <v>438.92000000000007</v>
      </c>
      <c r="AJ5" s="84">
        <f>+AI5/Paramet!G4</f>
        <v>0.11026284519942624</v>
      </c>
    </row>
    <row r="6" spans="1:36" ht="13.5" thickBot="1" x14ac:dyDescent="0.25">
      <c r="B6" s="42" t="str">
        <f>+'COLOMB$ '!B6</f>
        <v>NOVIEMBRE de 2024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NOVIEMBRE de 2024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2024</v>
      </c>
      <c r="D7" s="22"/>
      <c r="E7" s="22" t="str">
        <f>+'COLOMB$ '!F7:F7</f>
        <v>Real 2024</v>
      </c>
      <c r="F7" s="22"/>
      <c r="G7" s="22" t="s">
        <v>24</v>
      </c>
      <c r="H7" s="22" t="str">
        <f>+'COLOMB$ '!I7:I7</f>
        <v>Real 2023</v>
      </c>
      <c r="I7" s="22"/>
      <c r="J7" s="22" t="s">
        <v>25</v>
      </c>
      <c r="K7" s="22" t="str">
        <f>+C7</f>
        <v>Ppto 2024</v>
      </c>
      <c r="L7" s="22"/>
      <c r="M7" s="22" t="str">
        <f>+E7</f>
        <v>Real 2024</v>
      </c>
      <c r="N7" s="22"/>
      <c r="O7" s="22" t="s">
        <v>24</v>
      </c>
      <c r="P7" s="22" t="str">
        <f>+H7</f>
        <v>Real 2023</v>
      </c>
      <c r="Q7" s="22"/>
      <c r="R7" s="22" t="s">
        <v>25</v>
      </c>
      <c r="T7" s="10"/>
      <c r="W7" s="15" t="str">
        <f>+C7</f>
        <v>Ppto 2024</v>
      </c>
      <c r="X7" s="15" t="str">
        <f>+M7</f>
        <v>Real 2024</v>
      </c>
      <c r="Y7" s="15" t="str">
        <f>+H7</f>
        <v>Real 2023</v>
      </c>
      <c r="Z7" s="15" t="str">
        <f>+W7</f>
        <v>Ppto 2024</v>
      </c>
      <c r="AA7" s="15" t="str">
        <f>+X7</f>
        <v>Real 2024</v>
      </c>
      <c r="AB7" s="15" t="s">
        <v>26</v>
      </c>
      <c r="AC7" s="15" t="s">
        <v>24</v>
      </c>
      <c r="AD7" s="15" t="str">
        <f>+Y7</f>
        <v>Real 2023</v>
      </c>
      <c r="AE7" s="15" t="s">
        <v>25</v>
      </c>
      <c r="AI7" s="13" t="s">
        <v>92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93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94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102020.11953772699</v>
      </c>
      <c r="D10" s="33">
        <f t="shared" ref="D10:D15" si="0">+C10/$C$20</f>
        <v>0.45500400101568145</v>
      </c>
      <c r="E10" s="35">
        <f>+'COL. CONS.$'!E10/Paramet!$G$3*1000</f>
        <v>86088.029206329098</v>
      </c>
      <c r="F10" s="33">
        <f t="shared" ref="F10:F18" si="1">+E10/$E$20</f>
        <v>0.43774836236492137</v>
      </c>
      <c r="G10" s="33">
        <f t="shared" ref="G10:G18" si="2">IF(C10=0,"",(E10-C10)/ABS(C10)+1)</f>
        <v>0.8438338397995484</v>
      </c>
      <c r="H10" s="35">
        <f>+'COL. CONS.$'!H10/Paramet!$G$4*1000</f>
        <v>101530.72824424029</v>
      </c>
      <c r="I10" s="33">
        <f t="shared" ref="I10:I18" si="3">+H10/$H$20</f>
        <v>0.44820606315788608</v>
      </c>
      <c r="J10" s="34">
        <f t="shared" ref="J10:J18" si="4">IF(H10=0,"",(E10-H10)/ABS(H10))</f>
        <v>-0.15209877152424778</v>
      </c>
      <c r="K10" s="35">
        <f>+'COL. CONS.$'!K10/Paramet!$G$5*1000</f>
        <v>1071297.335919159</v>
      </c>
      <c r="L10" s="33">
        <f t="shared" ref="L10:L18" si="5">+K10/$K$20</f>
        <v>0.43721865992095399</v>
      </c>
      <c r="M10" s="35">
        <f>+'COL. CONS.$'!M10/Paramet!$G$3*1000</f>
        <v>968529.26628940692</v>
      </c>
      <c r="N10" s="33">
        <f t="shared" ref="N10:N18" si="6">+M10/$M$20</f>
        <v>0.4205567660166597</v>
      </c>
      <c r="O10" s="33">
        <f t="shared" ref="O10:O18" si="7">IF(K10=0,"",(M10-K10)/ABS(K10)+1)</f>
        <v>0.90407138505429174</v>
      </c>
      <c r="P10" s="35">
        <f>+'COL. CONS.$'!P10/Paramet!$G$4*1000</f>
        <v>1096882.359251081</v>
      </c>
      <c r="Q10" s="33">
        <f t="shared" ref="Q10:Q18" si="8">+P10/$P$20</f>
        <v>0.53224008466591055</v>
      </c>
      <c r="R10" s="34">
        <f t="shared" ref="R10:R18" si="9">IF(P10=0,"",(M10-P10)/ABS(P10))</f>
        <v>-0.11701627971235658</v>
      </c>
      <c r="T10" s="37"/>
      <c r="U10" s="36" t="s">
        <v>95</v>
      </c>
      <c r="V10" s="19" t="s">
        <v>31</v>
      </c>
      <c r="W10" s="35">
        <f>+'COL. CONS.$'!U10/Paramet!G5*1000</f>
        <v>1362.3217991902284</v>
      </c>
      <c r="X10" s="35">
        <f>'COLOMB$ '!V10/Paramet!$G$3*1000</f>
        <v>3664.3670566726778</v>
      </c>
      <c r="Y10" s="35">
        <f>'COLOMB$ '!W10/Paramet!$G$4*1000</f>
        <v>38129.762075228544</v>
      </c>
      <c r="Z10" s="35">
        <f>'COLOMB$ '!X10/Paramet!$G$5*1000</f>
        <v>10377.553219239451</v>
      </c>
      <c r="AA10" s="35">
        <f>+'COL. CONS.$'!Y10/Paramet!G3*1000</f>
        <v>8122.020368405213</v>
      </c>
      <c r="AB10" s="36">
        <f>+AA10-Z10</f>
        <v>-2255.5328508342382</v>
      </c>
      <c r="AC10" s="37">
        <f>IF(Z10=0,"",(AA10-Z10)/ABS(Z10)+1)</f>
        <v>0.78265273102598054</v>
      </c>
      <c r="AD10" s="35">
        <f>'COLOMB$ '!AB10/Paramet!$G$4*1000</f>
        <v>8065.9788427576268</v>
      </c>
      <c r="AE10" s="34">
        <f>IF(Y10=0,"",(AA10-AD10)/ABS(AD10))</f>
        <v>6.9478889964986017E-3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8239.4837421886514</v>
      </c>
      <c r="D11" s="33">
        <f t="shared" si="0"/>
        <v>3.6747634544900903E-2</v>
      </c>
      <c r="E11" s="35">
        <f>+'COL. CONS.$'!E11/Paramet!$G$3*1000</f>
        <v>11707.955036553165</v>
      </c>
      <c r="F11" s="33">
        <f t="shared" si="1"/>
        <v>5.953369116639607E-2</v>
      </c>
      <c r="G11" s="33">
        <f t="shared" si="2"/>
        <v>1.4209573564184477</v>
      </c>
      <c r="H11" s="35">
        <f>+'COL. CONS.$'!H11/Paramet!$G$4*1000</f>
        <v>6462.6698520600803</v>
      </c>
      <c r="I11" s="33">
        <f t="shared" si="3"/>
        <v>2.8529370979325435E-2</v>
      </c>
      <c r="J11" s="34">
        <f t="shared" si="4"/>
        <v>0.81162821319443779</v>
      </c>
      <c r="K11" s="35">
        <f>+'COL. CONS.$'!K11/Paramet!$G$5*1000</f>
        <v>109465.48263073732</v>
      </c>
      <c r="L11" s="33">
        <f t="shared" si="5"/>
        <v>4.4675133614840816E-2</v>
      </c>
      <c r="M11" s="35">
        <f>+'COL. CONS.$'!M11/Paramet!$G$3*1000</f>
        <v>124798.0740294914</v>
      </c>
      <c r="N11" s="33">
        <f t="shared" si="6"/>
        <v>5.4190075866295616E-2</v>
      </c>
      <c r="O11" s="33">
        <f t="shared" si="7"/>
        <v>1.1400678189167257</v>
      </c>
      <c r="P11" s="35">
        <f>+'COL. CONS.$'!P11/Paramet!$G$4*1000</f>
        <v>93561.497436361213</v>
      </c>
      <c r="Q11" s="33">
        <f t="shared" si="8"/>
        <v>4.5398833244978357E-2</v>
      </c>
      <c r="R11" s="34">
        <f t="shared" si="9"/>
        <v>0.33386144353211877</v>
      </c>
      <c r="T11" s="37">
        <f>+E22/C22</f>
        <v>0.83223440534222182</v>
      </c>
      <c r="U11" s="36" t="s">
        <v>96</v>
      </c>
      <c r="V11" s="19" t="s">
        <v>32</v>
      </c>
      <c r="W11" s="35">
        <f>'COLOMB$ '!U11/Paramet!$G$5*1000</f>
        <v>293646.58115296066</v>
      </c>
      <c r="X11" s="35">
        <f>'COLOMB$ '!V11/Paramet!$G$3*1000</f>
        <v>207956.82647259135</v>
      </c>
      <c r="Y11" s="35">
        <f>'COLOMB$ '!W11/Paramet!$G$4*1000</f>
        <v>275956.14095868287</v>
      </c>
      <c r="Z11" s="35">
        <f>'COLOMB$ '!X11/Paramet!$G$5*1000</f>
        <v>3025621.9023964256</v>
      </c>
      <c r="AA11" s="35">
        <f>'COLOMB$ '!Y11/Paramet!$G$3*1000</f>
        <v>2769045.7001712825</v>
      </c>
      <c r="AB11" s="36">
        <f>+AA11-Z11</f>
        <v>-256576.20222514309</v>
      </c>
      <c r="AC11" s="37">
        <f>IF(Z11=0,"",(AA11-Z11)/ABS(Z11)+1)</f>
        <v>0.91519885481331176</v>
      </c>
      <c r="AD11" s="35">
        <f>'COLOMB$ '!AB11/Paramet!$G$4*1000</f>
        <v>3131367.6181220748</v>
      </c>
      <c r="AE11" s="34">
        <f>IF(AD11=0,"",(AA11-AD11)/ABS(AD11))</f>
        <v>-0.11570724428966338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15152.030666984227</v>
      </c>
      <c r="D12" s="33">
        <f t="shared" si="0"/>
        <v>6.7577205439762714E-2</v>
      </c>
      <c r="E12" s="35">
        <f>+'COL. CONS.$'!E12/Paramet!$G$3*1000</f>
        <v>10863.235730011154</v>
      </c>
      <c r="F12" s="33">
        <f t="shared" si="1"/>
        <v>5.5238384414622831E-2</v>
      </c>
      <c r="G12" s="33">
        <f t="shared" si="2"/>
        <v>0.71694916468733039</v>
      </c>
      <c r="H12" s="35">
        <f>+'COL. CONS.$'!H12/Paramet!$G$4*1000</f>
        <v>15802.965329957016</v>
      </c>
      <c r="I12" s="33">
        <f t="shared" si="3"/>
        <v>6.9761982399278291E-2</v>
      </c>
      <c r="J12" s="34">
        <f t="shared" si="4"/>
        <v>-0.31258244872446972</v>
      </c>
      <c r="K12" s="35">
        <f>+'COL. CONS.$'!K12/Paramet!$G$5*1000</f>
        <v>182014.44886756717</v>
      </c>
      <c r="L12" s="33">
        <f t="shared" si="5"/>
        <v>7.4283871295031306E-2</v>
      </c>
      <c r="M12" s="35">
        <f>+'COL. CONS.$'!M12/Paramet!$G$3*1000</f>
        <v>157432.43423032452</v>
      </c>
      <c r="N12" s="33">
        <f t="shared" si="6"/>
        <v>6.8360634738167753E-2</v>
      </c>
      <c r="O12" s="33">
        <f t="shared" si="7"/>
        <v>0.86494470746589791</v>
      </c>
      <c r="P12" s="35">
        <f>+'COL. CONS.$'!P12/Paramet!$G$4*1000</f>
        <v>228820.22438433731</v>
      </c>
      <c r="Q12" s="33">
        <f t="shared" si="8"/>
        <v>0.11103040774832511</v>
      </c>
      <c r="R12" s="34">
        <f t="shared" si="9"/>
        <v>-0.31198199523704018</v>
      </c>
      <c r="T12" s="37">
        <f>+E24/C24</f>
        <v>0.88218065441527327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18507.025960327992</v>
      </c>
      <c r="D13" s="33">
        <f t="shared" si="0"/>
        <v>8.2540295943647896E-2</v>
      </c>
      <c r="E13" s="35">
        <f>+'COL. CONS.$'!E13/Paramet!$G$3*1000</f>
        <v>11619.35541532133</v>
      </c>
      <c r="F13" s="33">
        <f t="shared" si="1"/>
        <v>5.9083171628918532E-2</v>
      </c>
      <c r="G13" s="33">
        <f t="shared" si="2"/>
        <v>0.62783482555375447</v>
      </c>
      <c r="H13" s="35">
        <f>+'COL. CONS.$'!H13/Paramet!$G$4*1000</f>
        <v>20195.025460538051</v>
      </c>
      <c r="I13" s="33">
        <f t="shared" si="3"/>
        <v>8.9150674023206533E-2</v>
      </c>
      <c r="J13" s="34">
        <f t="shared" si="4"/>
        <v>-0.42464269539911942</v>
      </c>
      <c r="K13" s="35">
        <f>+'COL. CONS.$'!K13/Paramet!$G$5*1000</f>
        <v>245726.69638097833</v>
      </c>
      <c r="L13" s="33">
        <f t="shared" si="5"/>
        <v>0.10028616080363492</v>
      </c>
      <c r="M13" s="35">
        <f>+'COL. CONS.$'!M13/Paramet!$G$3*1000</f>
        <v>227624.23170022556</v>
      </c>
      <c r="N13" s="33">
        <f t="shared" si="6"/>
        <v>9.8839461111615873E-2</v>
      </c>
      <c r="O13" s="33">
        <f t="shared" si="7"/>
        <v>0.92633089954261039</v>
      </c>
      <c r="P13" s="35">
        <f>+'COL. CONS.$'!P13/Paramet!$G$4*1000</f>
        <v>231751.50364134679</v>
      </c>
      <c r="Q13" s="33">
        <f t="shared" si="8"/>
        <v>0.11245275200135454</v>
      </c>
      <c r="R13" s="34">
        <f t="shared" si="9"/>
        <v>-1.7809040615798983E-2</v>
      </c>
      <c r="T13" s="37">
        <f>+E26/C26</f>
        <v>1.0663334807604621</v>
      </c>
      <c r="U13" s="36" t="s">
        <v>97</v>
      </c>
      <c r="V13" s="19" t="s">
        <v>33</v>
      </c>
      <c r="W13" s="35">
        <f>'COLOMB$ '!U13/Paramet!$G$5*1000</f>
        <v>27611.173488482873</v>
      </c>
      <c r="X13" s="35">
        <f>'COLOMB$ '!V13/Paramet!$G$3*1000</f>
        <v>44118.240606029067</v>
      </c>
      <c r="Y13" s="35">
        <f>'COLOMB$ '!W13/Paramet!$G$4*1000</f>
        <v>33701.163874423153</v>
      </c>
      <c r="Z13" s="35">
        <f>'COLOMB$ '!X13/Paramet!$G$5*1000</f>
        <v>391984.16748891392</v>
      </c>
      <c r="AA13" s="35">
        <f>'COLOMB$ '!Y13/Paramet!$G$3*1000</f>
        <v>451317.11357840884</v>
      </c>
      <c r="AB13" s="36">
        <f>+Z13-AA13</f>
        <v>-59332.946089494915</v>
      </c>
      <c r="AC13" s="37">
        <f>IF(Z13=0,"",(AA13-Z13)/ABS(Z13)+1)</f>
        <v>1.1513656698677071</v>
      </c>
      <c r="AD13" s="35">
        <f>'COLOMB$ '!AB13/Paramet!$G$4*1000</f>
        <v>353474.80424149707</v>
      </c>
      <c r="AE13" s="34">
        <f>IF(AD13=0,"",(AA13-AD13)/ABS(AD13))</f>
        <v>0.27680136791324184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2751.6359883411023</v>
      </c>
      <c r="X14" s="35">
        <f>'COLOMB$ '!V14/Paramet!$G$3*1000</f>
        <v>735.46912722673369</v>
      </c>
      <c r="Y14" s="35">
        <f>'COLOMB$ '!W14/Paramet!$G$4*1000</f>
        <v>2933.6860377775602</v>
      </c>
      <c r="Z14" s="35">
        <f>'COLOMB$ '!X14/Paramet!$G$5*1000</f>
        <v>30172.728613067495</v>
      </c>
      <c r="AA14" s="35">
        <f>'COLOMB$ '!Y14/Paramet!$G$3*1000</f>
        <v>28575.211048988705</v>
      </c>
      <c r="AB14" s="36">
        <f>+Z14-AA14</f>
        <v>1597.5175640787893</v>
      </c>
      <c r="AC14" s="37">
        <f>IF(Z14=0,"",(AA14-Z14)/ABS(Z14)+1)</f>
        <v>0.94705425602817639</v>
      </c>
      <c r="AD14" s="35">
        <f>'COLOMB$ '!AB14/Paramet!$G$4*1000</f>
        <v>28523.288541878628</v>
      </c>
      <c r="AE14" s="34">
        <f>IF(AD14=0,"",(AA14-AD14)/ABS(AD14))</f>
        <v>1.820354866650222E-3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33813.298855658766</v>
      </c>
      <c r="D15" s="33">
        <f t="shared" si="0"/>
        <v>0.15080541305555192</v>
      </c>
      <c r="E15" s="35">
        <f>+'COL. CONS.$'!E15/Paramet!$G$3*1000</f>
        <v>31067.217094798383</v>
      </c>
      <c r="F15" s="33">
        <f t="shared" si="1"/>
        <v>0.15797345498395557</v>
      </c>
      <c r="G15" s="33">
        <f t="shared" si="2"/>
        <v>0.91878693136145106</v>
      </c>
      <c r="H15" s="35">
        <f>+'COL. CONS.$'!H15/Paramet!$G$4*1000</f>
        <v>29300.70063582261</v>
      </c>
      <c r="I15" s="33">
        <f t="shared" si="3"/>
        <v>0.12934755720610941</v>
      </c>
      <c r="J15" s="34">
        <f t="shared" si="4"/>
        <v>6.0289222463713238E-2</v>
      </c>
      <c r="K15" s="35">
        <f>+'COL. CONS.$'!K15/Paramet!$G$5*1000</f>
        <v>361918.95478207618</v>
      </c>
      <c r="L15" s="33">
        <f t="shared" si="5"/>
        <v>0.14770663111380353</v>
      </c>
      <c r="M15" s="35">
        <f>+'COL. CONS.$'!M15/Paramet!$G$3*1000</f>
        <v>333143.16260105575</v>
      </c>
      <c r="N15" s="33">
        <f t="shared" si="6"/>
        <v>0.1446581078761095</v>
      </c>
      <c r="O15" s="33">
        <f t="shared" si="7"/>
        <v>0.92049106077257736</v>
      </c>
      <c r="P15" s="35">
        <f>+'COL. CONS.$'!P15/Paramet!$G$4*1000</f>
        <v>368682.43059585441</v>
      </c>
      <c r="Q15" s="33">
        <f t="shared" si="8"/>
        <v>0.1788957278966084</v>
      </c>
      <c r="R15" s="34">
        <f t="shared" si="9"/>
        <v>-9.6395339309662986E-2</v>
      </c>
      <c r="T15" s="37"/>
      <c r="U15" s="89"/>
      <c r="V15" s="19" t="s">
        <v>35</v>
      </c>
      <c r="W15" s="35">
        <f>'COLOMB$ '!U15/Paramet!$G$5*1000</f>
        <v>92666.235695734533</v>
      </c>
      <c r="X15" s="35">
        <f>'COLOMB$ '!V15/Paramet!$G$3*1000</f>
        <v>95459.592631895721</v>
      </c>
      <c r="Y15" s="35">
        <f>'COLOMB$ '!W15/Paramet!$G$4*1000</f>
        <v>105036.42602878409</v>
      </c>
      <c r="Z15" s="35">
        <f>'COLOMB$ '!X15/Paramet!$G$5*1000</f>
        <v>1091646.1955473898</v>
      </c>
      <c r="AA15" s="35">
        <f>'COLOMB$ '!Y15/Paramet!$G$3*1000</f>
        <v>1104474.1955701774</v>
      </c>
      <c r="AB15" s="36">
        <f>+Z15-AA15</f>
        <v>-12828.000022787601</v>
      </c>
      <c r="AC15" s="37">
        <f>IF(Z15=0,"",(AA15-Z15)/ABS(Z15)+1)</f>
        <v>1.0117510600734108</v>
      </c>
      <c r="AD15" s="35">
        <f>'COLOMB$ '!AB15/Paramet!$G$4*1000</f>
        <v>1092848.9633654635</v>
      </c>
      <c r="AE15" s="34">
        <f>IF(AD15=0,"",(AA15-AD15)/ABS(AD15))</f>
        <v>1.0637546993606127E-2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72512.220294194383</v>
      </c>
      <c r="X16" s="35">
        <f>'COLOMB$ '!V16/Paramet!$G$3*1000</f>
        <v>51860.319405193695</v>
      </c>
      <c r="Y16" s="35">
        <f>'COLOMB$ '!W16/Paramet!$G$4*1000</f>
        <v>61445.367963182071</v>
      </c>
      <c r="Z16" s="35">
        <f>'COLOMB$ '!X16/Paramet!$G$5*1000</f>
        <v>769004.57056014892</v>
      </c>
      <c r="AA16" s="35">
        <f>'COLOMB$ '!Y16/Paramet!$G$3*1000</f>
        <v>615264.16208290809</v>
      </c>
      <c r="AB16" s="36">
        <f>+Z16-AA16</f>
        <v>153740.40847724082</v>
      </c>
      <c r="AC16" s="37">
        <f>IF(Z16=0,"",(AA16-Z16)/ABS(Z16)+1)</f>
        <v>0.80007868046186625</v>
      </c>
      <c r="AD16" s="35">
        <f>'COLOMB$ '!AB16/Paramet!$G$4*1000</f>
        <v>706233.0304119658</v>
      </c>
      <c r="AE16" s="34">
        <f>IF(AD16=0,"",(AA16-AD16)/ABS(AD16))</f>
        <v>-0.1288085722583564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3881.9139645923356</v>
      </c>
      <c r="D17" s="33"/>
      <c r="E17" s="35">
        <f>+'COL. CONS.$'!E17/Paramet!$G$3*1000</f>
        <v>3748.1911218008909</v>
      </c>
      <c r="F17" s="33">
        <f t="shared" si="1"/>
        <v>1.9059148415009254E-2</v>
      </c>
      <c r="G17" s="33">
        <f t="shared" si="2"/>
        <v>0.96555234247560462</v>
      </c>
      <c r="H17" s="35">
        <f>+'COL. CONS.$'!H17/Paramet!$G$4*1000</f>
        <v>3352.4806125601972</v>
      </c>
      <c r="I17" s="33">
        <f t="shared" si="3"/>
        <v>1.4799481527938169E-2</v>
      </c>
      <c r="J17" s="34">
        <f t="shared" si="4"/>
        <v>0.11803513725274029</v>
      </c>
      <c r="K17" s="35">
        <f>+'COL. CONS.$'!K17/Paramet!$G$5*1000</f>
        <v>42434.532113005116</v>
      </c>
      <c r="L17" s="33">
        <f t="shared" si="5"/>
        <v>1.7318412585150704E-2</v>
      </c>
      <c r="M17" s="35">
        <f>+'COL. CONS.$'!M17/Paramet!$G$3*1000</f>
        <v>41211.105328774844</v>
      </c>
      <c r="N17" s="33">
        <f t="shared" si="6"/>
        <v>1.7894770746000987E-2</v>
      </c>
      <c r="O17" s="33">
        <f t="shared" si="7"/>
        <v>0.97116907567232669</v>
      </c>
      <c r="P17" s="35">
        <f>+'COL. CONS.$'!P17/Paramet!$G$4*1000</f>
        <v>41180.882866452128</v>
      </c>
      <c r="Q17" s="33">
        <f t="shared" si="8"/>
        <v>1.9982194442822905E-2</v>
      </c>
      <c r="R17" s="34">
        <f t="shared" si="9"/>
        <v>7.3389544417311065E-4</v>
      </c>
      <c r="V17" s="19" t="s">
        <v>37</v>
      </c>
      <c r="W17" s="35">
        <f>'COLOMB$ '!U17/Paramet!$G$5*1000</f>
        <v>195541.2654667529</v>
      </c>
      <c r="X17" s="35">
        <f>'COLOMB$ '!V17/Paramet!$G$3*1000</f>
        <v>192173.62177034523</v>
      </c>
      <c r="Y17" s="35">
        <f>'COLOMB$ '!W17/Paramet!$G$4*1000</f>
        <v>203116.64390416688</v>
      </c>
      <c r="Z17" s="35">
        <f>'COLOMB$ '!X17/Paramet!$G$5*1000</f>
        <v>2282807.6622095201</v>
      </c>
      <c r="AA17" s="35">
        <f>'COLOMB$ '!Y17/Paramet!$G$3*1000</f>
        <v>2199630.6822804832</v>
      </c>
      <c r="AB17" s="36">
        <f>+AA17-Z17</f>
        <v>-83176.979929036926</v>
      </c>
      <c r="AC17" s="37">
        <f>IF(Z17=0,"",(AA17-Z17)/ABS(Z17)+1)</f>
        <v>0.96356373718820876</v>
      </c>
      <c r="AD17" s="35">
        <f>'COLOMB$ '!AB17/Paramet!$G$4*1000</f>
        <v>2181080.0865608049</v>
      </c>
      <c r="AE17" s="34">
        <f>IF(AD17=0,"",(AA17-AD17)/ABS(AD17))</f>
        <v>8.5052336381326952E-3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42604.198564186321</v>
      </c>
      <c r="D18" s="33"/>
      <c r="E18" s="35">
        <f>+'COL. CONS.$'!E18/Paramet!$G$3*1000</f>
        <v>41567.013003468644</v>
      </c>
      <c r="F18" s="33">
        <f t="shared" si="1"/>
        <v>0.21136378702617634</v>
      </c>
      <c r="G18" s="33">
        <f t="shared" si="2"/>
        <v>0.97565532046905934</v>
      </c>
      <c r="H18" s="35">
        <f>+'COL. CONS.$'!H18/Paramet!$G$4*1000</f>
        <v>35664.06459214152</v>
      </c>
      <c r="I18" s="33">
        <f t="shared" si="3"/>
        <v>0.15743854361607132</v>
      </c>
      <c r="J18" s="41">
        <f t="shared" si="4"/>
        <v>0.16551530171431506</v>
      </c>
      <c r="K18" s="35">
        <f>+'COL. CONS.$'!K18/Paramet!$G$5*1000</f>
        <v>437397.84287707123</v>
      </c>
      <c r="L18" s="33">
        <f t="shared" si="5"/>
        <v>0.17851113066658469</v>
      </c>
      <c r="M18" s="35">
        <f>+'COL. CONS.$'!M18/Paramet!$G$3*1000</f>
        <v>450230.8956260648</v>
      </c>
      <c r="N18" s="33">
        <f t="shared" si="6"/>
        <v>0.19550018364515065</v>
      </c>
      <c r="O18" s="33">
        <f t="shared" si="7"/>
        <v>1.0293395428394927</v>
      </c>
      <c r="P18" s="35">
        <f>+'COL. CONS.$'!P18/Paramet!$G$4*1000</f>
        <v>382419.95292249799</v>
      </c>
      <c r="Q18" s="33">
        <f t="shared" si="8"/>
        <v>0.18556158407030493</v>
      </c>
      <c r="R18" s="41">
        <f t="shared" si="9"/>
        <v>0.17732061882584224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14218.26124747844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1.0357791117716757</v>
      </c>
      <c r="U19" s="36" t="s">
        <v>98</v>
      </c>
      <c r="V19" s="19" t="s">
        <v>38</v>
      </c>
      <c r="W19" s="35">
        <f>+W11-W17</f>
        <v>98105.315686207759</v>
      </c>
      <c r="X19" s="35">
        <f>+X11-X17</f>
        <v>15783.204702246119</v>
      </c>
      <c r="Y19" s="35">
        <f>+Y11-Y17</f>
        <v>72839.497054515989</v>
      </c>
      <c r="Z19" s="35">
        <f>+Z11-Z17</f>
        <v>742814.24018690549</v>
      </c>
      <c r="AA19" s="35">
        <f>+AA11-AA17</f>
        <v>569415.01789079932</v>
      </c>
      <c r="AB19" s="36">
        <f>+AA19-Z19</f>
        <v>-173399.22229610616</v>
      </c>
      <c r="AC19" s="37">
        <f>IF(Z19=0,"",(AA19-Z19)/ABS(Z19)+1)</f>
        <v>0.76656448824611145</v>
      </c>
      <c r="AD19" s="35">
        <f>+AD11-AD17</f>
        <v>950287.53156126989</v>
      </c>
      <c r="AE19" s="34">
        <f>IF(AD19=0,"",(AA19-AD19)/ABS(AD19))</f>
        <v>-0.40079712825939962</v>
      </c>
      <c r="AF19" s="83"/>
    </row>
    <row r="20" spans="2:33" x14ac:dyDescent="0.2">
      <c r="B20" s="42" t="s">
        <v>39</v>
      </c>
      <c r="C20" s="43">
        <f>SUM(C10:C19)</f>
        <v>224218.07129166526</v>
      </c>
      <c r="D20" s="44">
        <f>+C20/$C$20</f>
        <v>1</v>
      </c>
      <c r="E20" s="43">
        <f>SUM(E10:E19)</f>
        <v>196660.99660828267</v>
      </c>
      <c r="F20" s="44">
        <f>+E20/$E$20</f>
        <v>1</v>
      </c>
      <c r="G20" s="44">
        <f>IF(C20=0,"",(E20-C20)/ABS(C20)+1)</f>
        <v>0.87709699523935314</v>
      </c>
      <c r="H20" s="43">
        <f>+'COL. CONS.$'!H20/Paramet!$G$4*1000</f>
        <v>226526.89597479822</v>
      </c>
      <c r="I20" s="44">
        <f>+H20/$H$20</f>
        <v>1</v>
      </c>
      <c r="J20" s="45">
        <f>IF(H20=0,"",(E20-H20)/ABS(H20))</f>
        <v>-0.13184261956177695</v>
      </c>
      <c r="K20" s="43">
        <f>SUM(K10:K19)</f>
        <v>2450255.2935705944</v>
      </c>
      <c r="L20" s="44">
        <f>+K20/$K$20</f>
        <v>1</v>
      </c>
      <c r="M20" s="43">
        <f>SUM(M10:M19)</f>
        <v>2302969.1698053437</v>
      </c>
      <c r="N20" s="44">
        <f>+M20/$M$20</f>
        <v>1</v>
      </c>
      <c r="O20" s="44">
        <f>IF(K20=0,"",(M20-K20)/ABS(K20)+1)</f>
        <v>0.93988947839364922</v>
      </c>
      <c r="P20" s="43">
        <f>SUM(P10:P17)</f>
        <v>2060878.898175433</v>
      </c>
      <c r="Q20" s="44">
        <f>+P20/$P$20</f>
        <v>1</v>
      </c>
      <c r="R20" s="45">
        <f>IF(P20=0,"",(M20-P20)/ABS(P20))</f>
        <v>0.11746943104917107</v>
      </c>
      <c r="T20" s="37">
        <f>+E28/C28</f>
        <v>1.0479222918366988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1.0798468017649971</v>
      </c>
      <c r="U21" s="36"/>
      <c r="V21" s="19" t="s">
        <v>40</v>
      </c>
      <c r="W21" s="35">
        <f>+'COL. CONS.$'!U21/Paramet!G5*1000</f>
        <v>99467.637485398023</v>
      </c>
      <c r="X21" s="35">
        <f>+X10+X19</f>
        <v>19447.571758918799</v>
      </c>
      <c r="Y21" s="35">
        <f>'COLOMB$ '!W21/Paramet!$G$4*1000</f>
        <v>110969.25912974453</v>
      </c>
      <c r="Z21" s="35">
        <f>'COLOMB$ '!X21/Paramet!$G$5*1000</f>
        <v>753191.79340614483</v>
      </c>
      <c r="AA21" s="35">
        <f>+'COL. CONS.$'!Y21/Paramet!G3*1000</f>
        <v>577537.03825920483</v>
      </c>
      <c r="AB21" s="36">
        <f>+AA21-Z21</f>
        <v>-175654.75514694001</v>
      </c>
      <c r="AC21" s="37">
        <f>IF(Z21=0,"",(AA21-Z21)/ABS(Z21)+1)</f>
        <v>0.76678615369323144</v>
      </c>
      <c r="AD21" s="35">
        <f>'COLOMB$ '!AB21/Paramet!$G$4*1000</f>
        <v>958353.51040402765</v>
      </c>
      <c r="AE21" s="34">
        <f>IF(AD21=0,"",(AA21-AD21)/ABS(AD21))</f>
        <v>-0.39736534380124117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22821.498644709834</v>
      </c>
      <c r="D22" s="33">
        <f>+C22/$C$20</f>
        <v>0.10178260170217675</v>
      </c>
      <c r="E22" s="35">
        <f>+'COL. CONS.$'!E22/Paramet!$G$3*1000</f>
        <v>18992.83635359841</v>
      </c>
      <c r="F22" s="33">
        <f>+E22/$E$20</f>
        <v>9.6576528549934634E-2</v>
      </c>
      <c r="G22" s="33">
        <f>IF(C22=0,"",(E22-C22)/ABS(C22)+1)</f>
        <v>0.83223440534222182</v>
      </c>
      <c r="H22" s="35">
        <f>+'COL. CONS.$'!H22/Paramet!$G$4*1000</f>
        <v>23087.016921774473</v>
      </c>
      <c r="I22" s="33">
        <f>+H22/$H$20</f>
        <v>0.10191733225507567</v>
      </c>
      <c r="J22" s="34">
        <f>IF(H22=0,"",(E22-H22)/ABS(H22))</f>
        <v>-0.17733692412702506</v>
      </c>
      <c r="K22" s="35">
        <f>+'COL. CONS.$'!K22/Paramet!$G$5*1000</f>
        <v>255782.60918875397</v>
      </c>
      <c r="L22" s="33">
        <f>+K22/$K$20</f>
        <v>0.10439018736534141</v>
      </c>
      <c r="M22" s="35">
        <f>+'COL. CONS.$'!M22/Paramet!$G$3*1000</f>
        <v>285742.86738588876</v>
      </c>
      <c r="N22" s="33">
        <f>+M22/$M$20</f>
        <v>0.12407585439367427</v>
      </c>
      <c r="O22" s="33">
        <f>IF(K22=0,"",(M22-K22)/ABS(K22)+1)</f>
        <v>1.1171317248352319</v>
      </c>
      <c r="P22" s="35">
        <f>+'COL. CONS.$'!P22/Paramet!$G$4*1000</f>
        <v>234436.58888579058</v>
      </c>
      <c r="Q22" s="33">
        <f>+P22/$P$20</f>
        <v>0.11375563556565374</v>
      </c>
      <c r="R22" s="34">
        <f>IF(P22=0,"",(M22-P22)/ABS(P22))</f>
        <v>0.21884927921849617</v>
      </c>
      <c r="T22" s="37">
        <f>+E32/C32</f>
        <v>1.0166171170155722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1.030146207546679</v>
      </c>
      <c r="U23" s="89">
        <v>2101</v>
      </c>
      <c r="V23" s="19" t="s">
        <v>42</v>
      </c>
      <c r="W23" s="35">
        <f>'COLOMB$ '!U23/Paramet!$G$5*1000</f>
        <v>0</v>
      </c>
      <c r="X23" s="35">
        <f>'COLOMB$ '!V23/Paramet!$G$3*1000</f>
        <v>2166.38783235549</v>
      </c>
      <c r="Y23" s="35">
        <f>'COLOMB$ '!W23/Paramet!$G$4*1000</f>
        <v>30.311229014211175</v>
      </c>
      <c r="Z23" s="35">
        <f>'COLOMB$ '!X23/Paramet!$G$5*1000</f>
        <v>26138.61386138614</v>
      </c>
      <c r="AA23" s="35">
        <f>'COLOMB$ '!Y23/Paramet!$G$3*1000</f>
        <v>99825.887050608755</v>
      </c>
      <c r="AB23" s="36">
        <f>+AA23-Z23</f>
        <v>73687.273189222615</v>
      </c>
      <c r="AC23" s="37">
        <f>IF(Z23=0,"",(AA23-Z23)/ABS(Z23)+1)</f>
        <v>3.8190964364058648</v>
      </c>
      <c r="AD23" s="35">
        <f>'COLOMB$ '!AB23/Paramet!$G$4*1000</f>
        <v>49273.504766785489</v>
      </c>
      <c r="AE23" s="34">
        <f>IF(AD23=0,"",(AA23-AD23)/ABS(AD23))</f>
        <v>1.0259546692099697</v>
      </c>
      <c r="AF23" s="83"/>
    </row>
    <row r="24" spans="2:33" x14ac:dyDescent="0.2">
      <c r="B24" s="19" t="s">
        <v>43</v>
      </c>
      <c r="C24" s="35">
        <f>C20-C22</f>
        <v>201396.57264695544</v>
      </c>
      <c r="D24" s="33">
        <f>+C24/$C$20</f>
        <v>0.89821739829782332</v>
      </c>
      <c r="E24" s="35">
        <f>E20-E22</f>
        <v>177668.16025468428</v>
      </c>
      <c r="F24" s="33">
        <f>+E24/$E$20</f>
        <v>0.90342347145006541</v>
      </c>
      <c r="G24" s="33">
        <f>IF(C24=0,"",(E24-C24)/ABS(C24)+1)</f>
        <v>0.88218065441527327</v>
      </c>
      <c r="H24" s="35">
        <f>+'COL. CONS.$'!H24/Paramet!$G$4*1000</f>
        <v>203439.87905302373</v>
      </c>
      <c r="I24" s="33">
        <f>+H24/$H$20</f>
        <v>0.89808266774492429</v>
      </c>
      <c r="J24" s="34">
        <f>IF(H24=0,"",(E24-H24)/ABS(H24))</f>
        <v>-0.12667977841071376</v>
      </c>
      <c r="K24" s="35">
        <f>K20-K22</f>
        <v>2194472.6843818403</v>
      </c>
      <c r="L24" s="33">
        <f>+K24/$K$20</f>
        <v>0.89560981263465855</v>
      </c>
      <c r="M24" s="35">
        <f>M20-M22</f>
        <v>2017226.302419455</v>
      </c>
      <c r="N24" s="33">
        <f>+M24/$M$20</f>
        <v>0.8759241456063257</v>
      </c>
      <c r="O24" s="33">
        <f>IF(K24=0,"",(M24-K24)/ABS(K24)+1)</f>
        <v>0.91923053623594608</v>
      </c>
      <c r="P24" s="35">
        <f>P20-P22</f>
        <v>1826442.3092896424</v>
      </c>
      <c r="Q24" s="33">
        <f>+P24/$P$20</f>
        <v>0.88624436443434618</v>
      </c>
      <c r="R24" s="34">
        <f>IF(P24=0,"",(M24-P24)/ABS(P24))</f>
        <v>0.10445662157487701</v>
      </c>
      <c r="T24" s="37">
        <f>+E34/C34</f>
        <v>1.0420962301156935</v>
      </c>
      <c r="U24" s="36" t="s">
        <v>99</v>
      </c>
      <c r="AE24" s="34"/>
      <c r="AF24" s="83"/>
    </row>
    <row r="25" spans="2:33" x14ac:dyDescent="0.2">
      <c r="J25" s="34"/>
      <c r="R25" s="34"/>
      <c r="T25" s="37">
        <f>+E36/C36</f>
        <v>-0.84550112649906728</v>
      </c>
      <c r="U25" s="89" t="s">
        <v>100</v>
      </c>
      <c r="V25" s="19" t="s">
        <v>44</v>
      </c>
      <c r="W25" s="35">
        <f>'COLOMB$ '!U25/Paramet!$G$5*1000</f>
        <v>75625.191385117898</v>
      </c>
      <c r="X25" s="35">
        <f>'COLOMB$ '!V25/Paramet!$G$3*1000</f>
        <v>67666.027726553817</v>
      </c>
      <c r="Y25" s="35">
        <f>'COLOMB$ '!W25/Paramet!$G$4*1000</f>
        <v>74377.979465768323</v>
      </c>
      <c r="Z25" s="35">
        <f>'COLOMB$ '!X25/Paramet!$G$5*1000</f>
        <v>513785.17233166622</v>
      </c>
      <c r="AA25" s="35">
        <f>'COLOMB$ '!Y25/Paramet!$G$3*1000</f>
        <v>482080.45232928847</v>
      </c>
      <c r="AB25" s="36">
        <f>+AA25-Z25</f>
        <v>-31704.720002377755</v>
      </c>
      <c r="AC25" s="37">
        <f>IF(Z25=0,"",(AA25-Z25)/ABS(Z25)+1)</f>
        <v>0.93829187428960825</v>
      </c>
      <c r="AD25" s="35">
        <f>'COLOMB$ '!AB25/Paramet!$G$4*1000</f>
        <v>534464.33469993749</v>
      </c>
      <c r="AE25" s="34">
        <f>IF(AD25=0,"",(AA25-AD25)/ABS(AD25))</f>
        <v>-9.801193263916988E-2</v>
      </c>
    </row>
    <row r="26" spans="2:33" x14ac:dyDescent="0.2">
      <c r="B26" s="19" t="s">
        <v>45</v>
      </c>
      <c r="C26" s="35">
        <f>+'COL. CONS.$'!C26/Paramet!$G$5*1000</f>
        <v>49249.089857439358</v>
      </c>
      <c r="D26" s="33">
        <f>+C26/$C$20</f>
        <v>0.21964817364509223</v>
      </c>
      <c r="E26" s="35">
        <f>+'COL. CONS.$'!E26/Paramet!$G$3*1000</f>
        <v>52515.953411968076</v>
      </c>
      <c r="F26" s="33">
        <f>+E26/$E$20</f>
        <v>0.26703797050602501</v>
      </c>
      <c r="G26" s="33">
        <f>IF(C26=0,"",(E26-C26)/ABS(C26)+1)</f>
        <v>1.0663334807604621</v>
      </c>
      <c r="H26" s="35">
        <f>+'COL. CONS.$'!H26/Paramet!$G$4*1000</f>
        <v>58945.62821585311</v>
      </c>
      <c r="I26" s="33">
        <f>+H26/$H$20</f>
        <v>0.26021469972559452</v>
      </c>
      <c r="J26" s="34">
        <f>IF(H26=0,"",(E26-H26)/ABS(H26))</f>
        <v>-0.10907806055336616</v>
      </c>
      <c r="K26" s="35">
        <f>+'COL. CONS.$'!K26/Paramet!$G$5*1000</f>
        <v>557277.62466968352</v>
      </c>
      <c r="L26" s="33">
        <f>+K26/$K$20</f>
        <v>0.22743655574664623</v>
      </c>
      <c r="M26" s="35">
        <f>+'COL. CONS.$'!M26/Paramet!$G$3*1000</f>
        <v>533057.82645222743</v>
      </c>
      <c r="N26" s="33">
        <f>+M26/$M$20</f>
        <v>0.23146546355949854</v>
      </c>
      <c r="O26" s="33">
        <f>IF(K26=0,"",(M26-K26)/ABS(K26)+1)</f>
        <v>0.95653908008272903</v>
      </c>
      <c r="P26" s="35">
        <f>+'COL. CONS.$'!P26/Paramet!$G$4*1000</f>
        <v>561896.75515177089</v>
      </c>
      <c r="Q26" s="33">
        <f>+P26/$P$20</f>
        <v>0.27264908949731953</v>
      </c>
      <c r="R26" s="34">
        <f>IF(P26=0,"",(M26-P26)/ABS(P26))</f>
        <v>-5.1324248512084641E-2</v>
      </c>
      <c r="T26" s="37">
        <f>+E38/C38</f>
        <v>2.3939431103136743</v>
      </c>
      <c r="U26" s="89" t="s">
        <v>101</v>
      </c>
      <c r="AE26" s="34"/>
    </row>
    <row r="27" spans="2:33" x14ac:dyDescent="0.2">
      <c r="B27" s="19" t="s">
        <v>46</v>
      </c>
      <c r="C27" s="35">
        <f>+'COL. CONS.$'!C27/Paramet!$G$5*1000</f>
        <v>74670.250530207661</v>
      </c>
      <c r="D27" s="33">
        <f>+C27/$C$20</f>
        <v>0.33302512192728573</v>
      </c>
      <c r="E27" s="35">
        <f>+'COL. CONS.$'!E27/Paramet!$G$3*1000</f>
        <v>77341.885769946981</v>
      </c>
      <c r="F27" s="33">
        <f>+E27/$E$20</f>
        <v>0.39327516438859345</v>
      </c>
      <c r="G27" s="33">
        <f>IF(C27=0,"",(E27-C27)/ABS(C27)+1)</f>
        <v>1.0357791117716757</v>
      </c>
      <c r="H27" s="35">
        <f>+'COL. CONS.$'!H27/Paramet!$G$4*1000</f>
        <v>86071.746276380611</v>
      </c>
      <c r="I27" s="33">
        <f>+H27/$H$20</f>
        <v>0.37996259078196326</v>
      </c>
      <c r="J27" s="34">
        <f>IF(H27=0,"",(E27-H27)/ABS(H27))</f>
        <v>-0.10142539084081806</v>
      </c>
      <c r="K27" s="35">
        <f>+'COL. CONS.$'!K27/Paramet!$G$5*1000</f>
        <v>850331.28055073554</v>
      </c>
      <c r="L27" s="33">
        <f>+K27/$K$20</f>
        <v>0.34703783021384854</v>
      </c>
      <c r="M27" s="35">
        <f>+'COL. CONS.$'!M27/Paramet!$G$3*1000</f>
        <v>849595.7554275397</v>
      </c>
      <c r="N27" s="33">
        <f>+M27/$M$20</f>
        <v>0.3689132128066443</v>
      </c>
      <c r="O27" s="33">
        <f>IF(K27=0,"",(M27-K27)/ABS(K27)+1)</f>
        <v>0.99913501344708922</v>
      </c>
      <c r="P27" s="35">
        <f>+'COL. CONS.$'!P27/Paramet!$G$4*1000</f>
        <v>856303.1583401789</v>
      </c>
      <c r="Q27" s="33">
        <f>+P27/$P$20</f>
        <v>0.41550387026539676</v>
      </c>
      <c r="R27" s="34">
        <f>IF(P27=0,"",(M27-P27)/ABS(P27))</f>
        <v>-7.8329769630191941E-3</v>
      </c>
      <c r="T27" s="37">
        <f>+E39/C39</f>
        <v>1.1205281608067215</v>
      </c>
      <c r="U27" s="36"/>
      <c r="V27" s="19" t="s">
        <v>47</v>
      </c>
      <c r="W27" s="35">
        <f>'COLOMB$ '!U27/Paramet!$G$5*1000</f>
        <v>5243.1016297506048</v>
      </c>
      <c r="X27" s="35">
        <f>'COLOMB$ '!V27/Paramet!$G$3*1000</f>
        <v>-34801.800445290166</v>
      </c>
      <c r="Y27" s="35">
        <f>'COLOMB$ '!W27/Paramet!$G$4*1000</f>
        <v>3127.1117676170093</v>
      </c>
      <c r="Z27" s="35">
        <f>'COLOMB$ '!X27/Paramet!$G$5*1000</f>
        <v>65660.916607124629</v>
      </c>
      <c r="AA27" s="35">
        <f>'COLOMB$ '!Y27/Paramet!$G$3*1000</f>
        <v>-115244.17423335649</v>
      </c>
      <c r="AB27" s="36">
        <f>+AA27-Z27</f>
        <v>-180905.09084048111</v>
      </c>
      <c r="AC27" s="37">
        <f>IF(Z27=0,"",(AA27-Z27)/ABS(Z27)+1)</f>
        <v>-1.7551411126790719</v>
      </c>
      <c r="AD27" s="35">
        <f>'COLOMB$ '!AB27/Paramet!$G$4*1000</f>
        <v>211825.64744125988</v>
      </c>
      <c r="AE27" s="34">
        <f>IF(AD27=0,"",(AA27-AD27)/ABS(AD27))</f>
        <v>-1.5440520334786851</v>
      </c>
    </row>
    <row r="28" spans="2:33" x14ac:dyDescent="0.2">
      <c r="B28" s="19" t="s">
        <v>48</v>
      </c>
      <c r="C28" s="35">
        <f>SUM(C26:C27)</f>
        <v>123919.34038764701</v>
      </c>
      <c r="D28" s="33">
        <f>+C28/$C$20</f>
        <v>0.55267329557237788</v>
      </c>
      <c r="E28" s="35">
        <f>SUM(E26:E27)</f>
        <v>129857.83918191506</v>
      </c>
      <c r="F28" s="33">
        <f>+E28/$E$20</f>
        <v>0.6603131348946184</v>
      </c>
      <c r="G28" s="33">
        <f>IF(C28=0,"",(E28-C28)/ABS(C28)+1)</f>
        <v>1.0479222918366988</v>
      </c>
      <c r="H28" s="35">
        <f>+'COL. CONS.$'!H28/Paramet!$G$4*1000</f>
        <v>145017.37449223374</v>
      </c>
      <c r="I28" s="33">
        <f>+H28/$H$20</f>
        <v>0.64017729050755789</v>
      </c>
      <c r="J28" s="34">
        <f>IF(H28=0,"",(E28-H28)/ABS(H28))</f>
        <v>-0.104535993451809</v>
      </c>
      <c r="K28" s="35">
        <f>SUM(K26:K27)</f>
        <v>1407608.9052204192</v>
      </c>
      <c r="L28" s="33">
        <f>+K28/$K$20</f>
        <v>0.57447438596049483</v>
      </c>
      <c r="M28" s="35">
        <f>SUM(M26:M27)</f>
        <v>1382653.5818797671</v>
      </c>
      <c r="N28" s="33">
        <f>+M28/$M$20</f>
        <v>0.60037867636614284</v>
      </c>
      <c r="O28" s="33">
        <f>IF(K28=0,"",(M28-K28)/ABS(K28)+1)</f>
        <v>0.98227112428168084</v>
      </c>
      <c r="P28" s="35">
        <f>SUM(P26:P27)</f>
        <v>1418199.9134919499</v>
      </c>
      <c r="Q28" s="33">
        <f>+P28/$P$20</f>
        <v>0.68815295976271629</v>
      </c>
      <c r="R28" s="34">
        <f>IF(P28=0,"",(M28-P28)/ABS(P28))</f>
        <v>-2.5064401199023589E-2</v>
      </c>
      <c r="T28" s="37">
        <f>+E41/C41</f>
        <v>-2.0721875220309336</v>
      </c>
      <c r="U28" s="17"/>
      <c r="V28" s="19" t="s">
        <v>49</v>
      </c>
      <c r="W28" s="35">
        <f>'COLOMB$ '!U28/Paramet!$G$5*1000</f>
        <v>18429.678019348328</v>
      </c>
      <c r="X28" s="35">
        <f>'COLOMB$ '!V28/Paramet!$G$3*1000</f>
        <v>17602.19410397797</v>
      </c>
      <c r="Y28" s="35">
        <f>'COLOMB$ '!W28/Paramet!$G$4*1000</f>
        <v>19189.35731924525</v>
      </c>
      <c r="Z28" s="35">
        <f>'COLOMB$ '!X28/Paramet!$G$5*1000</f>
        <v>147437.42415478663</v>
      </c>
      <c r="AA28" s="35">
        <f>'COLOMB$ '!Y28/Paramet!$G$3*1000</f>
        <v>144060.17772915587</v>
      </c>
      <c r="AB28" s="36">
        <f>+AA28-Z28</f>
        <v>-3377.2464256307576</v>
      </c>
      <c r="AC28" s="37">
        <f>IF(Z28=0,"",(AA28-Z28)/ABS(Z28)+1)</f>
        <v>0.97709369622406606</v>
      </c>
      <c r="AD28" s="35">
        <f>'COLOMB$ '!AB28/Paramet!$G$4*1000</f>
        <v>148545.62329959529</v>
      </c>
      <c r="AE28" s="34">
        <f>IF(AD28=0,"",(AA28-AD28)/ABS(AD28))</f>
        <v>-3.0195743710287028E-2</v>
      </c>
    </row>
    <row r="29" spans="2:33" x14ac:dyDescent="0.2">
      <c r="J29" s="34"/>
      <c r="R29" s="34"/>
      <c r="T29" s="24">
        <f>+E42/C42</f>
        <v>-0.26880324330057082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12926.859696278907</v>
      </c>
      <c r="D30" s="33">
        <f>+C30/$C$20</f>
        <v>5.7653067934312532E-2</v>
      </c>
      <c r="E30" s="35">
        <f>+'COL. CONS.$'!E30/Paramet!$G$3*1000</f>
        <v>13959.028099891619</v>
      </c>
      <c r="F30" s="33">
        <f>+E30/$E$20</f>
        <v>7.0980155397543196E-2</v>
      </c>
      <c r="G30" s="33">
        <f>IF(C30=0,"",(E30-C30)/ABS(C30)+1)</f>
        <v>1.0798468017649969</v>
      </c>
      <c r="H30" s="35">
        <f>+'COL. CONS.$'!H30/Paramet!$G$4*1000</f>
        <v>14815.843061595158</v>
      </c>
      <c r="I30" s="33">
        <f>+H30/$H$20</f>
        <v>6.5404344141295548E-2</v>
      </c>
      <c r="J30" s="34">
        <f>IF(H30=0,"",(E30-H30)/ABS(H30))</f>
        <v>-5.7830996058842572E-2</v>
      </c>
      <c r="K30" s="35">
        <f>+'COL. CONS.$'!K30/Paramet!$G$5*1000</f>
        <v>147872.47796944642</v>
      </c>
      <c r="L30" s="33">
        <f>+K30/$K$20</f>
        <v>6.0349824917207577E-2</v>
      </c>
      <c r="M30" s="35">
        <f>+'COL. CONS.$'!M30/Paramet!$G$3*1000</f>
        <v>141813.39210877026</v>
      </c>
      <c r="N30" s="33">
        <f>+M30/$M$20</f>
        <v>6.1578502208415105E-2</v>
      </c>
      <c r="O30" s="33">
        <f>IF(K30=0,"",(M30-K30)/ABS(K30)+1)</f>
        <v>0.95902492509844806</v>
      </c>
      <c r="P30" s="35">
        <f>+'COL. CONS.$'!P30/Paramet!$G$4*1000</f>
        <v>150913.05460387323</v>
      </c>
      <c r="Q30" s="33">
        <f>+P30/$P$20</f>
        <v>7.3227521877914203E-2</v>
      </c>
      <c r="R30" s="34">
        <f>IF(P30=0,"",(M30-P30)/ABS(P30))</f>
        <v>-6.0297384603262949E-2</v>
      </c>
      <c r="T30" s="37">
        <f>+E43/C43</f>
        <v>-23.286743724956271</v>
      </c>
      <c r="U30" s="17"/>
      <c r="V30" s="42" t="s">
        <v>51</v>
      </c>
      <c r="W30" s="43">
        <f>+W21-W23-W25-W27-W28</f>
        <v>169.6664511811905</v>
      </c>
      <c r="X30" s="43">
        <f>+X21-X23-X25-X27-X28</f>
        <v>-33185.237458678312</v>
      </c>
      <c r="Y30" s="43">
        <f>+Y21-Y23-Y25-Y27-Y28</f>
        <v>14244.499348099733</v>
      </c>
      <c r="Z30" s="43">
        <f>'COLOMB$ '!X30/Paramet!$G$5*1000</f>
        <v>169.66645118120061</v>
      </c>
      <c r="AA30" s="43">
        <f>+'COL. CONS.$'!Y30/Paramet!G3*1000</f>
        <v>-33185.304616491718</v>
      </c>
      <c r="AB30" s="47">
        <f>+AA30-Z30</f>
        <v>-33354.971067672916</v>
      </c>
      <c r="AC30" s="48">
        <f>IF(W30=0,"",(X30-W30)/ABS(W30)+1)</f>
        <v>-195.59103893343695</v>
      </c>
      <c r="AD30" s="43">
        <f>+AD21-AD23-AD25-AD27-AD28</f>
        <v>14244.400196449453</v>
      </c>
      <c r="AE30" s="34">
        <f>IF(AD30=0,"",(AA30-AD30)/ABS(AD30))</f>
        <v>-3.3297088089931268</v>
      </c>
    </row>
    <row r="31" spans="2:33" x14ac:dyDescent="0.2">
      <c r="J31" s="34"/>
      <c r="R31" s="34"/>
      <c r="T31" s="37">
        <f>+E45/C45</f>
        <v>0.2126047035090797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47488.233359418424</v>
      </c>
      <c r="D32" s="33">
        <f>+C32/$C$20</f>
        <v>0.21179485259974976</v>
      </c>
      <c r="E32" s="35">
        <f>+'COL. CONS.$'!E31/Paramet!$G$3*1000</f>
        <v>48277.350890014684</v>
      </c>
      <c r="F32" s="33">
        <f>+E32/$E$20</f>
        <v>0.2454851329070373</v>
      </c>
      <c r="G32" s="33">
        <f>IF(C32=0,"",(E32-C32)/ABS(C32)+1)</f>
        <v>1.0166171170155722</v>
      </c>
      <c r="H32" s="35">
        <f>+'COL. CONS.$'!H31/Paramet!$G$4*1000</f>
        <v>48368.911301363842</v>
      </c>
      <c r="I32" s="33">
        <f>+H32/$H$20</f>
        <v>0.21352392215158869</v>
      </c>
      <c r="J32" s="34">
        <f>IF(H32=0,"",(E32-H32)/ABS(H32))</f>
        <v>-1.8929599382274192E-3</v>
      </c>
      <c r="K32" s="35">
        <f>+'COL. CONS.$'!K31/Paramet!$G$5*1000</f>
        <v>494086.62515736115</v>
      </c>
      <c r="L32" s="33">
        <f>+K32/$K$20</f>
        <v>0.20164699835720445</v>
      </c>
      <c r="M32" s="35">
        <f>+'COL. CONS.$'!M31/Paramet!$G$3*1000</f>
        <v>482424.01713054825</v>
      </c>
      <c r="N32" s="33">
        <f>+M32/$M$20</f>
        <v>0.20947914694460484</v>
      </c>
      <c r="O32" s="33">
        <f>IF(K32=0,"",(M32-K32)/ABS(K32)+1)</f>
        <v>0.97639562086284259</v>
      </c>
      <c r="P32" s="35">
        <f>+'COL. CONS.$'!P31/Paramet!$G$4*1000</f>
        <v>512376.89660283318</v>
      </c>
      <c r="Q32" s="33">
        <f>+P32/$P$20</f>
        <v>0.24862057496753354</v>
      </c>
      <c r="R32" s="34">
        <f>IF(P32=0,"",(M32-P32)/ABS(P32))</f>
        <v>-5.8458684751164294E-2</v>
      </c>
      <c r="T32" s="37">
        <f>+E46/C46</f>
        <v>1.0294014632599848</v>
      </c>
      <c r="U32" s="17"/>
    </row>
    <row r="33" spans="2:27" x14ac:dyDescent="0.2">
      <c r="B33" s="19" t="s">
        <v>53</v>
      </c>
      <c r="C33" s="35">
        <f>SUM(C30:C32)</f>
        <v>60415.093055697333</v>
      </c>
      <c r="D33" s="33">
        <f>+C33/$C$20</f>
        <v>0.2694479205340623</v>
      </c>
      <c r="E33" s="35">
        <f>SUM(E30:E32)</f>
        <v>62236.378989906305</v>
      </c>
      <c r="F33" s="33">
        <f>+E33/$E$20</f>
        <v>0.31646528830458048</v>
      </c>
      <c r="G33" s="33">
        <f>IF(C33=0,"",(E33-C33)/ABS(C33)+1)</f>
        <v>1.030146207546679</v>
      </c>
      <c r="H33" s="35">
        <f>SUM(H30:H32)</f>
        <v>63184.754362959</v>
      </c>
      <c r="I33" s="33">
        <f>+H33/$H$20</f>
        <v>0.2789282662928842</v>
      </c>
      <c r="J33" s="34">
        <f>IF(H33=0,"",(E33-H33)/ABS(H33))</f>
        <v>-1.5009560179736398E-2</v>
      </c>
      <c r="K33" s="35">
        <f>SUM(K30:K32)</f>
        <v>641959.1031268076</v>
      </c>
      <c r="L33" s="33">
        <f>+K33/$K$20</f>
        <v>0.26199682327441204</v>
      </c>
      <c r="M33" s="35">
        <f>SUM(M30:M32)</f>
        <v>624237.40923931845</v>
      </c>
      <c r="N33" s="33">
        <f>+M33/$M$20</f>
        <v>0.27105764915301994</v>
      </c>
      <c r="O33" s="33">
        <f>IF(K33=0,"",(M33-K33)/ABS(K33)+1)</f>
        <v>0.97239435689723597</v>
      </c>
      <c r="P33" s="35">
        <f>SUM(P30:P32)</f>
        <v>663289.95120670646</v>
      </c>
      <c r="Q33" s="33">
        <f>+P33/$P$20</f>
        <v>0.3218480968454478</v>
      </c>
      <c r="R33" s="34">
        <f>IF(P33=0,"",(M33-P33)/ABS(P33))</f>
        <v>-5.8877029414271566E-2</v>
      </c>
    </row>
    <row r="34" spans="2:27" x14ac:dyDescent="0.2">
      <c r="B34" s="19" t="s">
        <v>54</v>
      </c>
      <c r="C34" s="35">
        <f>+C28+C33</f>
        <v>184334.43344334434</v>
      </c>
      <c r="D34" s="33">
        <f>+C34/$C$20</f>
        <v>0.82212121610644018</v>
      </c>
      <c r="E34" s="35">
        <f>+E28+E33</f>
        <v>192094.21817182135</v>
      </c>
      <c r="F34" s="33">
        <f>+E34/$E$20</f>
        <v>0.97677842319919894</v>
      </c>
      <c r="G34" s="33">
        <f>IF(C34=0,"",(E34-C34)/ABS(C34)+1)</f>
        <v>1.0420962301156935</v>
      </c>
      <c r="H34" s="35">
        <f>+H28+H33</f>
        <v>208202.12885519274</v>
      </c>
      <c r="I34" s="33">
        <f>+H34/$H$20</f>
        <v>0.91910555680044215</v>
      </c>
      <c r="J34" s="34">
        <f>IF(H34=0,"",(E34-H34)/ABS(H34))</f>
        <v>-7.7366695393276438E-2</v>
      </c>
      <c r="K34" s="35">
        <f>+K28+K33</f>
        <v>2049568.0083472268</v>
      </c>
      <c r="L34" s="33">
        <f>+K34/$K$20</f>
        <v>0.83647120923490681</v>
      </c>
      <c r="M34" s="35">
        <f>+M28+M33</f>
        <v>2006890.9911190856</v>
      </c>
      <c r="N34" s="33">
        <f>+M34/$M$20</f>
        <v>0.87143632551916272</v>
      </c>
      <c r="O34" s="33">
        <f>IF(K34=0,"",(M34-K34)/ABS(K34)+1)</f>
        <v>0.9791775549509304</v>
      </c>
      <c r="P34" s="35">
        <f>+P28+P33</f>
        <v>2081489.8646986564</v>
      </c>
      <c r="Q34" s="33">
        <f>+P34/$P$20</f>
        <v>1.0100010566081641</v>
      </c>
      <c r="R34" s="34">
        <f>IF(P34=0,"",(M34-P34)/ABS(P34))</f>
        <v>-3.5839172145270423E-2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17062.139203611092</v>
      </c>
      <c r="D36" s="33">
        <f>+C36/$C$20</f>
        <v>7.609618219138313E-2</v>
      </c>
      <c r="E36" s="35">
        <f>E24-E34</f>
        <v>-14426.057917137077</v>
      </c>
      <c r="F36" s="33">
        <f>+E36/$E$20</f>
        <v>-7.3354951749133479E-2</v>
      </c>
      <c r="G36" s="33">
        <f>IF(C36=0,"",(E36-C36)/ABS(C36)+1)</f>
        <v>-0.84550112649906728</v>
      </c>
      <c r="H36" s="35">
        <f>H24-H34</f>
        <v>-4762.2498021690117</v>
      </c>
      <c r="I36" s="33">
        <f>+H36/$H$20</f>
        <v>-2.1022889055517833E-2</v>
      </c>
      <c r="J36" s="34">
        <f>IF(H36=0,"",(E36-H36)/ABS(H36))</f>
        <v>-2.0292526676291933</v>
      </c>
      <c r="K36" s="35">
        <f>K24-K34</f>
        <v>144904.67603461351</v>
      </c>
      <c r="L36" s="33">
        <f>+K36/$K$20</f>
        <v>5.9138603399751681E-2</v>
      </c>
      <c r="M36" s="35">
        <f>M24-M34</f>
        <v>10335.311300369445</v>
      </c>
      <c r="N36" s="33">
        <f>+M36/$M$20</f>
        <v>4.4878200871629678E-3</v>
      </c>
      <c r="O36" s="33">
        <f>IF(K36=0,"",(M36-K36)/ABS(K36)+1)</f>
        <v>7.1324898431163408E-2</v>
      </c>
      <c r="P36" s="35">
        <f>P24-P34</f>
        <v>-255047.55540901399</v>
      </c>
      <c r="Q36" s="33">
        <f>+P36/$P$20</f>
        <v>-0.12375669217381786</v>
      </c>
      <c r="R36" s="34">
        <f>IF(P36=0,"",(M36-P36)/ABS(P36))</f>
        <v>1.0405230753292065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72.811404851825401</v>
      </c>
      <c r="D38" s="33">
        <f>+C38/$C$20</f>
        <v>3.2473477464317114E-4</v>
      </c>
      <c r="E38" s="35">
        <f>+'COL. CONS.$'!E38/Paramet!$G$3*1000</f>
        <v>174.30636099728707</v>
      </c>
      <c r="F38" s="33">
        <f>+E38/$E$20</f>
        <v>8.8632908407597225E-4</v>
      </c>
      <c r="G38" s="33">
        <f>IF(C38=0,"",(E38-C38)/ABS(C38)+1)</f>
        <v>2.3939431103136748</v>
      </c>
      <c r="H38" s="35">
        <f>+'COL. CONS.$'!H38/Paramet!$G$4*1000</f>
        <v>54.324699108441543</v>
      </c>
      <c r="I38" s="33">
        <f>+H38/$H$20</f>
        <v>2.3981566901656271E-4</v>
      </c>
      <c r="J38" s="34">
        <f>IF(H38=0,"",(E38-H38)/ABS(H38))</f>
        <v>2.2086024194877045</v>
      </c>
      <c r="K38" s="35">
        <f>+'COL. CONS.$'!K38/Paramet!$G$5*1000</f>
        <v>800.92545337007937</v>
      </c>
      <c r="L38" s="33">
        <f>+K38/$K$20</f>
        <v>3.268742875371749E-4</v>
      </c>
      <c r="M38" s="35">
        <f>+'COL. CONS.$'!M38/Paramet!$G$3*1000</f>
        <v>4042.2188687185912</v>
      </c>
      <c r="N38" s="33">
        <f>+M38/$M$20</f>
        <v>1.7552205742555624E-3</v>
      </c>
      <c r="O38" s="33">
        <f>IF(K38=0,"",(M38-K38)/ABS(K38)+1)</f>
        <v>5.0469352069034876</v>
      </c>
      <c r="P38" s="35">
        <f>+'COL. CONS.$'!P38/Paramet!$G$4*1000</f>
        <v>2128.8387306659433</v>
      </c>
      <c r="Q38" s="33">
        <f>+P38/$P$20</f>
        <v>1.0329761406896239E-3</v>
      </c>
      <c r="R38" s="34">
        <f>IF(P38=0,"",(M38-P38)/ABS(P38))</f>
        <v>0.89879055209320824</v>
      </c>
    </row>
    <row r="39" spans="2:27" x14ac:dyDescent="0.2">
      <c r="B39" s="19" t="s">
        <v>57</v>
      </c>
      <c r="C39" s="35">
        <f>+'COL. CONS.$'!C39/Paramet!$G$5*1000</f>
        <v>6657.3667676045961</v>
      </c>
      <c r="D39" s="33">
        <f>+C39/$C$20</f>
        <v>2.9691481731392751E-2</v>
      </c>
      <c r="E39" s="35">
        <f>+'COL. CONS.$'!E39/Paramet!$G$3*1000</f>
        <v>7459.7669399197657</v>
      </c>
      <c r="F39" s="33">
        <f>+E39/$E$20</f>
        <v>3.7932111951910992E-2</v>
      </c>
      <c r="G39" s="33">
        <f>IF(C39=0,"",(E39-C39)/ABS(C39)+1)</f>
        <v>1.1205281608067215</v>
      </c>
      <c r="H39" s="35">
        <f>+'COL. CONS.$'!H39/Paramet!$G$4*1000</f>
        <v>6468.5222135972081</v>
      </c>
      <c r="I39" s="33">
        <f>+H39/$H$20</f>
        <v>2.8555206152283349E-2</v>
      </c>
      <c r="J39" s="34">
        <f>IF(H39=0,"",(E39-H39)/ABS(H39))</f>
        <v>0.15324129586181273</v>
      </c>
      <c r="K39" s="35">
        <f>+'COL. CONS.$'!K39/Paramet!$G$5*1000</f>
        <v>79784.060880314835</v>
      </c>
      <c r="L39" s="33">
        <f>+K39/$K$20</f>
        <v>3.2561529849426757E-2</v>
      </c>
      <c r="M39" s="35">
        <f>+'COL. CONS.$'!M39/Paramet!$G$3*1000</f>
        <v>78719.45714195208</v>
      </c>
      <c r="N39" s="33">
        <f>+M39/$M$20</f>
        <v>3.4181724260167044E-2</v>
      </c>
      <c r="O39" s="33">
        <f>IF(K39=0,"",(M39-K39)/ABS(K39)+1)</f>
        <v>0.98665643580163487</v>
      </c>
      <c r="P39" s="35">
        <f>+'COL. CONS.$'!P39/Paramet!$G$4*1000</f>
        <v>82754.295950179236</v>
      </c>
      <c r="Q39" s="33">
        <f>+P39/$P$20</f>
        <v>4.0154856271974279E-2</v>
      </c>
      <c r="R39" s="34">
        <f>IF(P39=0,"",(M39-P39)/ABS(P39))</f>
        <v>-4.8756850165896634E-2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10477.583840858322</v>
      </c>
      <c r="D41" s="33">
        <f>+C41/$C$20</f>
        <v>4.6729435234633562E-2</v>
      </c>
      <c r="E41" s="35">
        <f>E36+E38-E39</f>
        <v>-21711.518496059558</v>
      </c>
      <c r="F41" s="33">
        <f>+E41/$E$20</f>
        <v>-0.1104007346169685</v>
      </c>
      <c r="G41" s="33">
        <f>IF(C41=0,"",(E41-C41)/ABS(C41)+1)</f>
        <v>-2.0721875220309336</v>
      </c>
      <c r="H41" s="35">
        <f>+H36+H38-H39</f>
        <v>-11176.447316657777</v>
      </c>
      <c r="I41" s="33">
        <f>+H41/$H$20</f>
        <v>-4.9338279538784613E-2</v>
      </c>
      <c r="J41" s="34">
        <f>IF(H41=0,"",(E41-H41)/ABS(H41))</f>
        <v>-0.94261359454537341</v>
      </c>
      <c r="K41" s="35">
        <f>K36+K38-K39</f>
        <v>65921.540607668765</v>
      </c>
      <c r="L41" s="33">
        <f>+K41/$K$20</f>
        <v>2.6903947837862104E-2</v>
      </c>
      <c r="M41" s="35">
        <f>M36+M38-M39</f>
        <v>-64341.926972864043</v>
      </c>
      <c r="N41" s="33">
        <f>+M41/$M$20</f>
        <v>-2.7938683598748515E-2</v>
      </c>
      <c r="O41" s="33">
        <f>IF(K41=0,"",(M41-K41)/ABS(K41)+1)</f>
        <v>-0.97603797453391183</v>
      </c>
      <c r="P41" s="35">
        <f>P36+P38-P39</f>
        <v>-335673.0126285273</v>
      </c>
      <c r="Q41" s="33">
        <f>+P41/$P$20</f>
        <v>-0.16287857230510253</v>
      </c>
      <c r="R41" s="34">
        <f>IF(P41=0,"",(M41-P41)/ABS(P41))</f>
        <v>0.80831963085436354</v>
      </c>
    </row>
    <row r="42" spans="2:27" x14ac:dyDescent="0.2">
      <c r="B42" s="19" t="s">
        <v>44</v>
      </c>
      <c r="C42" s="35">
        <f>+'COL. CONS.$'!C42/Paramet!$G$5*1000</f>
        <v>9656.6976285257388</v>
      </c>
      <c r="D42" s="33">
        <f>+C42/$C$20</f>
        <v>4.3068328850105052E-2</v>
      </c>
      <c r="E42" s="35">
        <f>+'COL. CONS.$'!E42/Paramet!$G$3*1000</f>
        <v>-2595.7516421206492</v>
      </c>
      <c r="F42" s="33">
        <f>+E42/$E$20</f>
        <v>-1.3199117704518565E-2</v>
      </c>
      <c r="G42" s="33">
        <f>IF(C42=0,"",(E42-C42)/ABS(C42)+1)</f>
        <v>-0.2688032433005707</v>
      </c>
      <c r="H42" s="35">
        <f>+'COL. CONS.$'!H42/Paramet!$G$4*1000</f>
        <v>-3122.8981553356598</v>
      </c>
      <c r="I42" s="33">
        <f>+H42/$H$20</f>
        <v>-1.378599279302839E-2</v>
      </c>
      <c r="J42" s="34">
        <f>IF(H42=0,"",(E42-H42)/ABS(H42))</f>
        <v>0.16880041775116778</v>
      </c>
      <c r="K42" s="35">
        <f>+'COL. CONS.$'!K42/Paramet!$G$5*1000</f>
        <v>88890.476676533639</v>
      </c>
      <c r="L42" s="33">
        <f>+K42/$K$20</f>
        <v>3.6278046989544281E-2</v>
      </c>
      <c r="M42" s="35">
        <f>+'COL. CONS.$'!M42/Paramet!$G$3*1000</f>
        <v>28853.956814998674</v>
      </c>
      <c r="N42" s="33">
        <f>+M42/$M$20</f>
        <v>1.2529024353998419E-2</v>
      </c>
      <c r="O42" s="33">
        <f>IF(K42=0,"",(M42-K42)/ABS(K42)+1)</f>
        <v>0.32460121594348346</v>
      </c>
      <c r="P42" s="35">
        <f>+'COL. CONS.$'!P42/Paramet!$G$4*1000</f>
        <v>75545.828968490227</v>
      </c>
      <c r="Q42" s="33">
        <f>+P42/$P$20</f>
        <v>3.6657092775016303E-2</v>
      </c>
      <c r="R42" s="34">
        <f>IF(P42=0,"",(M42-P42)/ABS(P42))</f>
        <v>-0.61806022636890368</v>
      </c>
    </row>
    <row r="43" spans="2:27" x14ac:dyDescent="0.2">
      <c r="B43" s="42" t="s">
        <v>59</v>
      </c>
      <c r="C43" s="43">
        <f>C41-C42</f>
        <v>820.88621233258345</v>
      </c>
      <c r="D43" s="44">
        <f>+C43/$C$20</f>
        <v>3.6611063845285062E-3</v>
      </c>
      <c r="E43" s="43">
        <f>E41-E42</f>
        <v>-19115.766853938909</v>
      </c>
      <c r="F43" s="44">
        <f>+E43/$E$20</f>
        <v>-9.720161691244994E-2</v>
      </c>
      <c r="G43" s="44">
        <f>IF(C43=0,"",(E43-C43)/ABS(C43)+1)</f>
        <v>-23.286743724956274</v>
      </c>
      <c r="H43" s="43">
        <f>H41-H42</f>
        <v>-8053.5491613221175</v>
      </c>
      <c r="I43" s="44">
        <f>+H43/$H$20</f>
        <v>-3.5552286745756223E-2</v>
      </c>
      <c r="J43" s="45">
        <f>IF(H43=0,"",(E43-H43)/ABS(H43))</f>
        <v>-1.3735829348064419</v>
      </c>
      <c r="K43" s="43">
        <f>K41-K42</f>
        <v>-22968.936068864874</v>
      </c>
      <c r="L43" s="44">
        <f>+K43/$K$20</f>
        <v>-9.3740991516821776E-3</v>
      </c>
      <c r="M43" s="43">
        <f>M41-M42</f>
        <v>-93195.883787862724</v>
      </c>
      <c r="N43" s="44">
        <f>+M43/$M$20</f>
        <v>-4.0467707952746935E-2</v>
      </c>
      <c r="O43" s="44">
        <f>IF(K43=0,"",(M43-K43)/ABS(K43)+1)</f>
        <v>-2.057474996162</v>
      </c>
      <c r="P43" s="43">
        <f>P41-P42</f>
        <v>-411218.84159701754</v>
      </c>
      <c r="Q43" s="44">
        <f>+P43/$P$20</f>
        <v>-0.19953566508011883</v>
      </c>
      <c r="R43" s="45">
        <f>IF(P43=0,"",(M43-P43)/ABS(P43))</f>
        <v>0.77336669831098848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41919.635262495329</v>
      </c>
      <c r="D45" s="33">
        <f>+C45/$C$20</f>
        <v>0.18695921796582499</v>
      </c>
      <c r="E45" s="35">
        <f>+'COL. CONS.$'!E45/Paramet!$G$3*1000</f>
        <v>8912.311626191582</v>
      </c>
      <c r="F45" s="33">
        <f>+E45/$E$20</f>
        <v>4.5318145335871987E-2</v>
      </c>
      <c r="G45" s="33">
        <f>IF(C45=0,"",(E45-C45)/ABS(C45)+1)</f>
        <v>0.21260470350907978</v>
      </c>
      <c r="H45" s="35">
        <f>+'COL. CONS.$'!H45/Paramet!$G$4*1000</f>
        <v>6695.6953402316603</v>
      </c>
      <c r="I45" s="33">
        <f>+H45/$H$20</f>
        <v>2.955805892902261E-2</v>
      </c>
      <c r="J45" s="34">
        <f>IF(H45=0,"",(E45-H45)/ABS(H45))</f>
        <v>0.33105094741112134</v>
      </c>
      <c r="K45" s="35">
        <f>+'COL. CONS.$'!K45/Paramet!$G$5*1000</f>
        <v>422944.66560058075</v>
      </c>
      <c r="L45" s="33">
        <f>+K45/$K$20</f>
        <v>0.17261248928239292</v>
      </c>
      <c r="M45" s="35">
        <f>+'COL. CONS.$'!M45/Paramet!$G$3*1000</f>
        <v>268452.27668403642</v>
      </c>
      <c r="N45" s="33">
        <f>+M45/$M$20</f>
        <v>0.11656789860835484</v>
      </c>
      <c r="O45" s="33">
        <f>IF(K45=0,"",(M45-K45)/ABS(K45)+1)</f>
        <v>0.63472198260931989</v>
      </c>
      <c r="P45" s="35">
        <f>+'COL. CONS.$'!P45/Paramet!$G$4*1000</f>
        <v>412431.85045984673</v>
      </c>
      <c r="Q45" s="33">
        <f>+P45/$P$20</f>
        <v>0.2001242532130281</v>
      </c>
      <c r="R45" s="34">
        <f>IF(P45=0,"",(M45-P45)/ABS(P45))</f>
        <v>-0.34909906597969637</v>
      </c>
    </row>
    <row r="46" spans="2:27" x14ac:dyDescent="0.2">
      <c r="B46" s="19" t="s">
        <v>35</v>
      </c>
      <c r="C46" s="35">
        <f>+'COL. CONS.$'!C46/Paramet!$G$5*1000</f>
        <v>99677.452281310601</v>
      </c>
      <c r="D46" s="33">
        <f>+C46/$C$20</f>
        <v>0.44455583667762938</v>
      </c>
      <c r="E46" s="35">
        <f>+'COL. CONS.$'!E46/Paramet!$G$3*1000</f>
        <v>102608.11523240844</v>
      </c>
      <c r="F46" s="33">
        <f>+E46/$E$20</f>
        <v>0.52175122165574817</v>
      </c>
      <c r="G46" s="33">
        <f>IF(C46=0,"",(E46-C46)/ABS(C46)+1)</f>
        <v>1.0294014632599848</v>
      </c>
      <c r="H46" s="35">
        <f>+'COL. CONS.$'!H46/Paramet!$G$4*1000</f>
        <v>113853.40005576951</v>
      </c>
      <c r="I46" s="33">
        <f>+H46/$H$20</f>
        <v>0.50260433563896112</v>
      </c>
      <c r="J46" s="34">
        <f>IF(H46=0,"",(E46-H46)/ABS(H46))</f>
        <v>-9.8769863858722926E-2</v>
      </c>
      <c r="K46" s="35">
        <f>+'COL. CONS.$'!K46/Paramet!$G$5*1000</f>
        <v>1077553.6728930627</v>
      </c>
      <c r="L46" s="33">
        <f>+K46/$K$20</f>
        <v>0.43977200078723849</v>
      </c>
      <c r="M46" s="35">
        <f>+'COL. CONS.$'!M46/Paramet!$G$3*1000</f>
        <v>1071043.0447168176</v>
      </c>
      <c r="N46" s="33">
        <f>+M46/$M$20</f>
        <v>0.46507050930575267</v>
      </c>
      <c r="O46" s="33">
        <f>IF(K46=0,"",(M46-K46)/ABS(K46)+1)</f>
        <v>0.99395795463369807</v>
      </c>
      <c r="P46" s="35">
        <f>+'COL. CONS.$'!P46/Paramet!$G$4*1000</f>
        <v>1088849.760831719</v>
      </c>
      <c r="Q46" s="33">
        <f>+P46/$P$20</f>
        <v>0.5283424279785266</v>
      </c>
      <c r="R46" s="34">
        <f>IF(P46=0,"",(M46-P46)/ABS(P46))</f>
        <v>-1.6353694288640697E-2</v>
      </c>
    </row>
    <row r="48" spans="2:27" x14ac:dyDescent="0.2">
      <c r="P48" s="24"/>
    </row>
  </sheetData>
  <conditionalFormatting sqref="J10:J46">
    <cfRule type="cellIs" dxfId="7" priority="2" operator="lessThan">
      <formula>0</formula>
    </cfRule>
  </conditionalFormatting>
  <conditionalFormatting sqref="R10:R46">
    <cfRule type="cellIs" dxfId="6" priority="3" operator="lessThan">
      <formula>0</formula>
    </cfRule>
  </conditionalFormatting>
  <conditionalFormatting sqref="AE10:AE11 AE13:AE17 AE19:AE28 AE3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77A6-5B4F-46D0-B077-3B01DBD9FCED}">
  <sheetPr>
    <tabColor theme="0" tint="-0.249977111117893"/>
  </sheetPr>
  <dimension ref="A1:AI68"/>
  <sheetViews>
    <sheetView showGridLines="0" topLeftCell="A20" zoomScaleNormal="100" workbookViewId="0">
      <selection activeCell="I54" sqref="I54:S66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102</v>
      </c>
      <c r="T3" s="18"/>
      <c r="U3" s="90" t="str">
        <f>+B3</f>
        <v>MUSICAR S.A. EL SALVADOR</v>
      </c>
    </row>
    <row r="4" spans="1:34" x14ac:dyDescent="0.2">
      <c r="B4" s="3" t="s">
        <v>103</v>
      </c>
      <c r="U4" s="3" t="s">
        <v>21</v>
      </c>
    </row>
    <row r="5" spans="1:34" x14ac:dyDescent="0.2">
      <c r="B5" s="3" t="s">
        <v>91</v>
      </c>
      <c r="U5" s="3" t="s">
        <v>91</v>
      </c>
    </row>
    <row r="6" spans="1:34" ht="13.5" thickBot="1" x14ac:dyDescent="0.25">
      <c r="B6" s="79" t="str">
        <f>+'COL. CONS.$'!B6</f>
        <v>NOVIEMBRE de 2024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NOVIEMBRE de 2024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S7" s="61"/>
      <c r="T7" s="63"/>
      <c r="V7" s="54" t="str">
        <f>+C7</f>
        <v>Ppto 2024</v>
      </c>
      <c r="W7" s="54" t="str">
        <f>+M7</f>
        <v>Real 2024</v>
      </c>
      <c r="X7" s="54" t="str">
        <f>+H7</f>
        <v>Real 2023</v>
      </c>
      <c r="Y7" s="54" t="str">
        <f>+V7</f>
        <v>Ppto 2024</v>
      </c>
      <c r="Z7" s="54" t="str">
        <f>+W7</f>
        <v>Real 2024</v>
      </c>
      <c r="AA7" s="54" t="s">
        <v>26</v>
      </c>
      <c r="AB7" s="54" t="s">
        <v>24</v>
      </c>
      <c r="AC7" s="54" t="str">
        <f>+X7</f>
        <v>Real 2023</v>
      </c>
      <c r="AD7" s="54" t="s">
        <v>25</v>
      </c>
      <c r="AF7" s="2" t="s">
        <v>104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105</v>
      </c>
      <c r="AG8" s="2" t="s">
        <v>106</v>
      </c>
      <c r="AH8" s="2" t="s">
        <v>107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6514</v>
      </c>
      <c r="D10" s="34">
        <f>+C10/$C$20</f>
        <v>0.7738180090282728</v>
      </c>
      <c r="E10" s="32">
        <v>5688.98</v>
      </c>
      <c r="F10" s="34">
        <f>+E10/$E$20</f>
        <v>0.80708031392399315</v>
      </c>
      <c r="G10" s="34">
        <f>IF(C10=0,"",(E10-C10)/ABS(C10)+1)</f>
        <v>0.87334663801043899</v>
      </c>
      <c r="H10" s="32">
        <v>6685.42</v>
      </c>
      <c r="I10" s="34">
        <f>+H10/$H$20</f>
        <v>0.82022849627270356</v>
      </c>
      <c r="J10" s="34">
        <f>IF(H10=0,"",(E10-H10)/ABS(H10))</f>
        <v>-0.14904673154416634</v>
      </c>
      <c r="K10" s="32">
        <v>70555</v>
      </c>
      <c r="L10" s="34">
        <f>+K10/$K$20</f>
        <v>0.75948890180628215</v>
      </c>
      <c r="M10" s="32">
        <v>64970.94</v>
      </c>
      <c r="N10" s="34">
        <f>+M10/$M$20</f>
        <v>0.79562358254429333</v>
      </c>
      <c r="O10" s="34">
        <f>IF(K10=0,"",(M10-K10)/ABS(K10)+1)</f>
        <v>0.92085521933243575</v>
      </c>
      <c r="P10" s="32">
        <v>69597.460000000006</v>
      </c>
      <c r="Q10" s="34">
        <f>+P10/$P$20</f>
        <v>0.76314209347165129</v>
      </c>
      <c r="R10" s="34">
        <f t="shared" ref="R10:R17" si="0">IF(P10=0,"",(M10-P10)/ABS(P10))</f>
        <v>-6.6475414476332956E-2</v>
      </c>
      <c r="S10" s="34"/>
      <c r="T10" s="63"/>
      <c r="U10" s="3" t="s">
        <v>31</v>
      </c>
      <c r="V10" s="32">
        <v>9296</v>
      </c>
      <c r="W10" s="32">
        <v>18387</v>
      </c>
      <c r="X10" s="32">
        <v>14635</v>
      </c>
      <c r="Y10" s="32">
        <v>15168</v>
      </c>
      <c r="Z10" s="32">
        <v>15168</v>
      </c>
      <c r="AA10" s="63">
        <f>+Z10-Y10</f>
        <v>0</v>
      </c>
      <c r="AB10" s="68">
        <f>IF(Y10=0,"",(Z10-Y10)/ABS(Y10)+1)</f>
        <v>1</v>
      </c>
      <c r="AC10" s="32">
        <v>11259</v>
      </c>
      <c r="AD10" s="34">
        <f>IF(X10=0,"",(Z10-AC10)/ABS(AC10))</f>
        <v>0.34718891553423925</v>
      </c>
      <c r="AF10" s="67">
        <v>15168</v>
      </c>
      <c r="AG10" s="67"/>
      <c r="AH10" s="67">
        <v>15168</v>
      </c>
    </row>
    <row r="11" spans="1:34" x14ac:dyDescent="0.2">
      <c r="A11" s="94"/>
      <c r="B11" s="3" t="str">
        <f>+'COLOMB$ '!B11</f>
        <v>Instalaciones</v>
      </c>
      <c r="C11" s="32">
        <v>460</v>
      </c>
      <c r="D11" s="34">
        <f>+C11/$C$20</f>
        <v>5.4644808743169397E-2</v>
      </c>
      <c r="E11" s="32">
        <v>365</v>
      </c>
      <c r="F11" s="34">
        <f>+E11/$E$20</f>
        <v>5.1781569733459695E-2</v>
      </c>
      <c r="G11" s="34">
        <f>IF(C11=0,"",(E11-C11)/ABS(C11)+1)</f>
        <v>0.79347826086956519</v>
      </c>
      <c r="H11" s="32">
        <v>400</v>
      </c>
      <c r="I11" s="34">
        <f>+H11/$H$20</f>
        <v>4.9075659944937108E-2</v>
      </c>
      <c r="J11" s="34">
        <f>IF(H11=0,"",(E11-H11)/ABS(H11))</f>
        <v>-8.7499999999999994E-2</v>
      </c>
      <c r="K11" s="32">
        <v>5464</v>
      </c>
      <c r="L11" s="34">
        <f>+K11/$K$20</f>
        <v>5.8817197356240178E-2</v>
      </c>
      <c r="M11" s="32">
        <v>1775</v>
      </c>
      <c r="N11" s="34">
        <f>+M11/$M$20</f>
        <v>2.1736361810620573E-2</v>
      </c>
      <c r="O11" s="34">
        <f>IF(K11=0,"",(M11-K11)/ABS(K11)+1)</f>
        <v>0.32485358711566614</v>
      </c>
      <c r="P11" s="32">
        <v>4876.24</v>
      </c>
      <c r="Q11" s="34">
        <f>+P11/$P$20</f>
        <v>5.3468388097355914E-2</v>
      </c>
      <c r="R11" s="34">
        <f t="shared" si="0"/>
        <v>-0.63599002510130753</v>
      </c>
      <c r="S11" s="34"/>
      <c r="T11" s="63"/>
      <c r="U11" s="3" t="s">
        <v>32</v>
      </c>
      <c r="V11" s="32">
        <v>9462</v>
      </c>
      <c r="W11" s="32">
        <v>7494</v>
      </c>
      <c r="X11" s="32">
        <v>10420</v>
      </c>
      <c r="Y11" s="32">
        <f>+AF11+V11</f>
        <v>105430</v>
      </c>
      <c r="Z11" s="32">
        <f>+W11+AH11</f>
        <v>97020</v>
      </c>
      <c r="AA11" s="63">
        <f>+Z11-Y11</f>
        <v>-8410</v>
      </c>
      <c r="AB11" s="68">
        <f>IF(Y11=0,"",(Z11-Y11)/ABS(Y11)+1)</f>
        <v>0.92023143317841227</v>
      </c>
      <c r="AC11" s="32">
        <v>98260</v>
      </c>
      <c r="AD11" s="34">
        <f>IF(AC11=0,"",(Z11-AC11)/ABS(AC11))</f>
        <v>-1.261958070425402E-2</v>
      </c>
      <c r="AF11" s="32">
        <v>95968</v>
      </c>
      <c r="AG11" s="32"/>
      <c r="AH11" s="32">
        <v>89526</v>
      </c>
    </row>
    <row r="12" spans="1:34" x14ac:dyDescent="0.2">
      <c r="A12" s="94"/>
      <c r="B12" s="3" t="str">
        <f>+'COLOMB$ '!B12</f>
        <v>Voice Experience (Publihold)</v>
      </c>
      <c r="C12" s="32">
        <v>1037</v>
      </c>
      <c r="D12" s="34">
        <f>+C12/$C$20</f>
        <v>0.12318840579710146</v>
      </c>
      <c r="E12" s="32">
        <v>994.86</v>
      </c>
      <c r="F12" s="34">
        <f>+E12/$E$20</f>
        <v>0.14113811634254717</v>
      </c>
      <c r="G12" s="34">
        <f>IF(C12=0,"",(E12-C12)/ABS(C12)+1)</f>
        <v>0.95936354869816776</v>
      </c>
      <c r="H12" s="32">
        <v>1065.26</v>
      </c>
      <c r="I12" s="34">
        <f>+H12/$H$20</f>
        <v>0.13069584378235927</v>
      </c>
      <c r="J12" s="34">
        <f>IF(H12=0,"",(E12-H12)/ABS(H12))</f>
        <v>-6.6087152432270035E-2</v>
      </c>
      <c r="K12" s="32">
        <v>11155</v>
      </c>
      <c r="L12" s="34">
        <f>+K12/$K$20</f>
        <v>0.12007793493939589</v>
      </c>
      <c r="M12" s="32">
        <v>11591.46</v>
      </c>
      <c r="N12" s="34">
        <f>+M12/$M$20</f>
        <v>0.14194713716807658</v>
      </c>
      <c r="O12" s="34">
        <f>IF(K12=0,"",(M12-K12)/ABS(K12)+1)</f>
        <v>1.0391268489466605</v>
      </c>
      <c r="P12" s="32">
        <v>12230.86</v>
      </c>
      <c r="Q12" s="34">
        <f>+P12/$P$20</f>
        <v>0.13411242458214251</v>
      </c>
      <c r="R12" s="34">
        <f t="shared" si="0"/>
        <v>-5.2277599449262066E-2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220</v>
      </c>
      <c r="D13" s="34">
        <f>+C13/$C$20</f>
        <v>2.6134473746733191E-2</v>
      </c>
      <c r="E13" s="32">
        <v>0</v>
      </c>
      <c r="F13" s="34"/>
      <c r="G13" s="34">
        <f>IF(C13=0,"",(E13-C13)/ABS(C13)+1)</f>
        <v>0</v>
      </c>
      <c r="H13" s="32">
        <v>0</v>
      </c>
      <c r="I13" s="34"/>
      <c r="J13" s="34" t="str">
        <f>IF(H13=0,"",(E13-H13)/ABS(H13))</f>
        <v/>
      </c>
      <c r="K13" s="32">
        <v>2614</v>
      </c>
      <c r="L13" s="34">
        <f>+K13/$K$20</f>
        <v>2.8138388339899675E-2</v>
      </c>
      <c r="M13" s="32">
        <v>1667</v>
      </c>
      <c r="N13" s="34">
        <f>+M13/$M$20</f>
        <v>2.0413811345523659E-2</v>
      </c>
      <c r="O13" s="34">
        <f>IF(K13=0,"",(M13-K13)/ABS(K13)+1)</f>
        <v>0.63771996939556241</v>
      </c>
      <c r="P13" s="32">
        <v>2838</v>
      </c>
      <c r="Q13" s="34"/>
      <c r="R13" s="34">
        <f t="shared" si="0"/>
        <v>-0.41261451726568005</v>
      </c>
      <c r="S13" s="34"/>
      <c r="T13" s="63"/>
      <c r="U13" s="3" t="s">
        <v>33</v>
      </c>
      <c r="V13" s="32">
        <v>787</v>
      </c>
      <c r="W13" s="32">
        <v>0</v>
      </c>
      <c r="X13" s="32">
        <v>0</v>
      </c>
      <c r="Y13" s="32">
        <f>+AF13+V13</f>
        <v>14443</v>
      </c>
      <c r="Z13" s="32">
        <f t="shared" ref="Z13:Z16" si="1">+W13+AH13</f>
        <v>362</v>
      </c>
      <c r="AA13" s="63">
        <f>+Y13-Z13</f>
        <v>14081</v>
      </c>
      <c r="AB13" s="68">
        <f>IF(Y13=0,"",(Z13-Y13)/ABS(Y13)+1)</f>
        <v>2.5064044866025093E-2</v>
      </c>
      <c r="AC13" s="32">
        <v>217</v>
      </c>
      <c r="AD13" s="34">
        <f>IF(AC13=0,"",(Z13-AC13)/ABS(AC13))</f>
        <v>0.66820276497695852</v>
      </c>
      <c r="AF13" s="32">
        <v>13656</v>
      </c>
      <c r="AG13" s="32"/>
      <c r="AH13" s="32">
        <v>362</v>
      </c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>
        <v>0</v>
      </c>
    </row>
    <row r="15" spans="1:34" x14ac:dyDescent="0.2">
      <c r="A15" s="94"/>
      <c r="B15" s="3" t="str">
        <f>+'COLOMB$ '!B15</f>
        <v>Voice Experience (Audicóm)</v>
      </c>
      <c r="C15" s="32">
        <v>187</v>
      </c>
      <c r="D15" s="34">
        <f>+C15/$C$20</f>
        <v>2.2214302684723214E-2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3110</v>
      </c>
      <c r="L15" s="34"/>
      <c r="M15" s="32">
        <v>1656</v>
      </c>
      <c r="N15" s="34"/>
      <c r="O15" s="34">
        <f>IF(K15=0,"",(M15-K15)/ABS(K15)+1)</f>
        <v>0.53247588424437298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>
        <v>5731</v>
      </c>
      <c r="W15" s="32">
        <v>4620</v>
      </c>
      <c r="X15" s="32">
        <v>5668</v>
      </c>
      <c r="Y15" s="32">
        <f t="shared" si="2"/>
        <v>63258.3</v>
      </c>
      <c r="Z15" s="32">
        <f t="shared" si="1"/>
        <v>51268</v>
      </c>
      <c r="AA15" s="63">
        <f>+Y15-Z15</f>
        <v>11990.300000000003</v>
      </c>
      <c r="AB15" s="68">
        <f>IF(Y15=0,"",(Z15-Y15)/ABS(Y15)+1)</f>
        <v>0.81045491263597025</v>
      </c>
      <c r="AC15" s="32">
        <v>56284</v>
      </c>
      <c r="AD15" s="34">
        <f>IF(AC15=0,"",(Z15-AC15)/ABS(AC15))</f>
        <v>-8.9119465567479211E-2</v>
      </c>
      <c r="AF15" s="32">
        <v>57527.3</v>
      </c>
      <c r="AG15" s="32"/>
      <c r="AH15" s="32">
        <v>46648</v>
      </c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>
        <v>1500</v>
      </c>
      <c r="W16" s="32">
        <v>2305</v>
      </c>
      <c r="X16" s="32">
        <v>1276</v>
      </c>
      <c r="Y16" s="32">
        <f t="shared" si="2"/>
        <v>17495</v>
      </c>
      <c r="Z16" s="32">
        <f t="shared" si="1"/>
        <v>20353</v>
      </c>
      <c r="AA16" s="63">
        <f>+Y16-Z16</f>
        <v>-2858</v>
      </c>
      <c r="AB16" s="68">
        <f>IF(Y16=0,"",(Z16-Y16)/ABS(Y16)+1)</f>
        <v>1.1633609602743642</v>
      </c>
      <c r="AC16" s="32">
        <v>17179</v>
      </c>
      <c r="AD16" s="34">
        <f>IF(AC16=0,"",(Z16-AC16)/ABS(AC16))</f>
        <v>0.18476046335642354</v>
      </c>
      <c r="AF16" s="32">
        <v>15995</v>
      </c>
      <c r="AG16" s="32"/>
      <c r="AH16" s="32">
        <v>18048</v>
      </c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8018</v>
      </c>
      <c r="W17" s="32">
        <f>SUM(W13:W16)</f>
        <v>6925</v>
      </c>
      <c r="X17" s="32">
        <v>6944</v>
      </c>
      <c r="Y17" s="32">
        <f>SUM(Y13:Y16)</f>
        <v>95196.3</v>
      </c>
      <c r="Z17" s="32">
        <f>SUM(Z13:Z16)</f>
        <v>71983</v>
      </c>
      <c r="AA17" s="63">
        <f>+Z17-Y17</f>
        <v>-23213.300000000003</v>
      </c>
      <c r="AB17" s="68">
        <f>IF(Y17=0,"",(Z17-Y17)/ABS(Y17)+1)</f>
        <v>0.75615333789233397</v>
      </c>
      <c r="AC17" s="32">
        <v>73680</v>
      </c>
      <c r="AD17" s="34">
        <f>IF(AC17=0,"",(Z17-AC17)/ABS(AC17))</f>
        <v>-2.3032030401737243E-2</v>
      </c>
      <c r="AF17" s="32">
        <v>68369</v>
      </c>
      <c r="AG17" s="32"/>
      <c r="AH17" s="32">
        <v>51525</v>
      </c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1444</v>
      </c>
      <c r="W19" s="32">
        <f>W11-W17</f>
        <v>569</v>
      </c>
      <c r="X19" s="32">
        <v>3476</v>
      </c>
      <c r="Y19" s="32">
        <f>Y11-Y17</f>
        <v>10233.699999999997</v>
      </c>
      <c r="Z19" s="32">
        <f>Z11-Z17</f>
        <v>25037</v>
      </c>
      <c r="AA19" s="63">
        <f>+Z19-Y19</f>
        <v>14803.300000000003</v>
      </c>
      <c r="AB19" s="68">
        <f>IF(Y19=0,"",(Z19-Y19)/ABS(Y19)+1)</f>
        <v>2.446524717355405</v>
      </c>
      <c r="AC19" s="32">
        <v>24580</v>
      </c>
      <c r="AD19" s="34">
        <f>IF(AC19=0,"",(Z19-AC19)/ABS(AC19))</f>
        <v>1.8592351505288852E-2</v>
      </c>
      <c r="AF19" s="32">
        <v>8935.5192267444363</v>
      </c>
      <c r="AG19" s="32"/>
      <c r="AH19" s="32">
        <v>15528.799999999996</v>
      </c>
      <c r="AI19" s="55"/>
    </row>
    <row r="20" spans="1:35" x14ac:dyDescent="0.2">
      <c r="B20" s="20" t="s">
        <v>39</v>
      </c>
      <c r="C20" s="69">
        <f>SUM(C10:C19)</f>
        <v>8418</v>
      </c>
      <c r="D20" s="45">
        <f>+C20/$C$20</f>
        <v>1</v>
      </c>
      <c r="E20" s="69">
        <f>SUM(E10:E19)</f>
        <v>7048.8399999999992</v>
      </c>
      <c r="F20" s="45">
        <f>+E20/$E$20</f>
        <v>1</v>
      </c>
      <c r="G20" s="45">
        <f>IF(C20=0,"",(E20-C20)/ABS(C20)+1)</f>
        <v>0.8373532905678307</v>
      </c>
      <c r="H20" s="69">
        <f>SUM(H10:H19)</f>
        <v>8150.68</v>
      </c>
      <c r="I20" s="45">
        <f>+H20/$H$20</f>
        <v>1</v>
      </c>
      <c r="J20" s="45">
        <f>IF(H20=0,"",(E20-H20)/ABS(H20))</f>
        <v>-0.13518381288432388</v>
      </c>
      <c r="K20" s="69">
        <f>SUM(K10:K19)</f>
        <v>92898</v>
      </c>
      <c r="L20" s="45">
        <f>+K20/$K$20</f>
        <v>1</v>
      </c>
      <c r="M20" s="69">
        <f>SUM(M10:M19)</f>
        <v>81660.399999999994</v>
      </c>
      <c r="N20" s="45">
        <f>+M20/$M$20</f>
        <v>1</v>
      </c>
      <c r="O20" s="45">
        <f>IF(K20=0,"",(M20-K20)/ABS(K20)+1)</f>
        <v>0.87903291782384974</v>
      </c>
      <c r="P20" s="69">
        <f>SUM(P10:P19)</f>
        <v>91198.560000000012</v>
      </c>
      <c r="Q20" s="45">
        <f>+P20/$P$20</f>
        <v>1</v>
      </c>
      <c r="R20" s="45">
        <f>IF(P20=0,"",(M20-P20)/ABS(P20))</f>
        <v>-0.10458673908886298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10740</v>
      </c>
      <c r="W21" s="32">
        <f>+W10+W19</f>
        <v>18956</v>
      </c>
      <c r="X21" s="32">
        <v>18111</v>
      </c>
      <c r="Y21" s="32">
        <f>+Y10+Y19</f>
        <v>25401.699999999997</v>
      </c>
      <c r="Z21" s="32">
        <f>+Z10+Z19</f>
        <v>40205</v>
      </c>
      <c r="AA21" s="63">
        <f>+Z21-Y21</f>
        <v>14803.300000000003</v>
      </c>
      <c r="AB21" s="68">
        <f>IF(Y21=0,"",(Z21-Y21)/ABS(Y21)+1)</f>
        <v>1.5827680824511747</v>
      </c>
      <c r="AC21" s="32">
        <v>35839</v>
      </c>
      <c r="AD21" s="34">
        <f>IF(AC21=0,"",(Z21-AC21)/ABS(AC21))</f>
        <v>0.12182259549652613</v>
      </c>
      <c r="AF21" s="32">
        <v>24103.519226744436</v>
      </c>
      <c r="AG21" s="32"/>
      <c r="AH21" s="32">
        <v>30696.799999999996</v>
      </c>
    </row>
    <row r="22" spans="1:35" x14ac:dyDescent="0.2">
      <c r="A22" s="94"/>
      <c r="B22" s="3" t="s">
        <v>41</v>
      </c>
      <c r="C22" s="32">
        <v>106</v>
      </c>
      <c r="D22" s="34">
        <f>+C22/$C$20</f>
        <v>1.2592064623425991E-2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1256</v>
      </c>
      <c r="L22" s="34">
        <f>+K22/$K$20</f>
        <v>1.3520204955973218E-2</v>
      </c>
      <c r="M22" s="32">
        <v>621.66</v>
      </c>
      <c r="N22" s="34">
        <f>+M22/$M$20</f>
        <v>7.6127474271495124E-3</v>
      </c>
      <c r="O22" s="34">
        <f>IF(K22=0,"",(M22-K22)/ABS(K22)+1)</f>
        <v>0.494952229299363</v>
      </c>
      <c r="P22" s="32">
        <v>1349.01</v>
      </c>
      <c r="Q22" s="34">
        <f>+P22/$P$20</f>
        <v>1.4792009873840111E-2</v>
      </c>
      <c r="R22" s="34">
        <f>IF(P22=0,"",(M22-P22)/ABS(P22))</f>
        <v>-0.53917317143683152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0</v>
      </c>
      <c r="X23" s="32"/>
      <c r="Y23" s="32">
        <f>+AF23+V23</f>
        <v>0</v>
      </c>
      <c r="Z23" s="32">
        <f>+W23+AH23</f>
        <v>6730</v>
      </c>
      <c r="AA23" s="63">
        <f>+Z23-Y23</f>
        <v>6730</v>
      </c>
      <c r="AB23" s="68" t="str">
        <f>IF(Y23=0,"",(Z23-Y23)/ABS(Y23)+1)</f>
        <v/>
      </c>
      <c r="AC23" s="32">
        <v>541</v>
      </c>
      <c r="AD23" s="34">
        <f>IF(AC23=0,"",(Z23-AC23)/ABS(AC23))</f>
        <v>11.439926062846581</v>
      </c>
      <c r="AF23" s="32">
        <v>0</v>
      </c>
      <c r="AG23" s="32"/>
      <c r="AH23" s="32">
        <v>6730</v>
      </c>
    </row>
    <row r="24" spans="1:35" x14ac:dyDescent="0.2">
      <c r="B24" s="3" t="s">
        <v>43</v>
      </c>
      <c r="C24" s="32">
        <f>+C20-C22</f>
        <v>8312</v>
      </c>
      <c r="D24" s="34">
        <f>+C24/$C$20</f>
        <v>0.98740793537657401</v>
      </c>
      <c r="E24" s="32">
        <f>+E20-E22</f>
        <v>7048.8399999999992</v>
      </c>
      <c r="F24" s="34">
        <f>+E24/$E$20</f>
        <v>1</v>
      </c>
      <c r="G24" s="34">
        <f>IF(C24=0,"",(E24-C24)/ABS(C24)+1)</f>
        <v>0.84803176130895086</v>
      </c>
      <c r="H24" s="32">
        <f>+H20-H22</f>
        <v>8150.68</v>
      </c>
      <c r="I24" s="34">
        <f>+H24/$H$20</f>
        <v>1</v>
      </c>
      <c r="J24" s="34">
        <f>IF(H24=0,"",(E24-H24)/ABS(H24))</f>
        <v>-0.13518381288432388</v>
      </c>
      <c r="K24" s="32">
        <f>+K20-K22</f>
        <v>91642</v>
      </c>
      <c r="L24" s="34">
        <f>+K24/$K$20</f>
        <v>0.98647979504402683</v>
      </c>
      <c r="M24" s="32">
        <f>+M20-M22</f>
        <v>81038.739999999991</v>
      </c>
      <c r="N24" s="34">
        <f>+M24/$M$20</f>
        <v>0.99238725257285043</v>
      </c>
      <c r="O24" s="34">
        <f>IF(K24=0,"",(M24-K24)/ABS(K24)+1)</f>
        <v>0.8842969380851573</v>
      </c>
      <c r="P24" s="32">
        <f>+P20-P22</f>
        <v>89849.550000000017</v>
      </c>
      <c r="Q24" s="34">
        <f>+P24/$P$20</f>
        <v>0.98520799012615989</v>
      </c>
      <c r="R24" s="34">
        <f>IF(P24=0,"",(M24-P24)/ABS(P24))</f>
        <v>-9.8061815557228996E-2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>
        <v>1271</v>
      </c>
      <c r="W25" s="32">
        <v>807</v>
      </c>
      <c r="X25" s="32">
        <v>1407</v>
      </c>
      <c r="Y25" s="32">
        <f>+AF25+V25</f>
        <v>14433</v>
      </c>
      <c r="Z25" s="32">
        <f t="shared" ref="Z25" si="3">+W25+AH25</f>
        <v>12327</v>
      </c>
      <c r="AA25" s="63">
        <f>+Z25-Y25</f>
        <v>-2106</v>
      </c>
      <c r="AB25" s="68">
        <f>IF(Y25=0,"",(Z25-Y25)/ABS(Y25)+1)</f>
        <v>0.85408438993972147</v>
      </c>
      <c r="AC25" s="32">
        <v>14147</v>
      </c>
      <c r="AD25" s="34">
        <f>IF(AC25=0,"",(Z25-AC25)/ABS(AC25))</f>
        <v>-0.12864918357248886</v>
      </c>
      <c r="AF25" s="32">
        <v>13162</v>
      </c>
      <c r="AG25" s="32"/>
      <c r="AH25" s="32">
        <v>11520</v>
      </c>
    </row>
    <row r="26" spans="1:35" x14ac:dyDescent="0.2">
      <c r="B26" s="3" t="s">
        <v>45</v>
      </c>
      <c r="C26" s="32">
        <v>554</v>
      </c>
      <c r="D26" s="34">
        <f>+C26/$C$20</f>
        <v>6.5811356616773578E-2</v>
      </c>
      <c r="E26" s="32">
        <v>4518.5200000000004</v>
      </c>
      <c r="F26" s="34">
        <f>+E26/$E$20</f>
        <v>0.64103029718365023</v>
      </c>
      <c r="G26" s="34">
        <f>IF(C26=0,"",(E26-C26)/ABS(C26)+1)</f>
        <v>8.1561732851985571</v>
      </c>
      <c r="H26" s="32">
        <v>580.17999999999995</v>
      </c>
      <c r="I26" s="34">
        <f>+H26/$H$20</f>
        <v>7.118179096713402E-2</v>
      </c>
      <c r="J26" s="34">
        <f>IF(H26=0,"",(E26-H26)/ABS(H26))</f>
        <v>6.7881347168120252</v>
      </c>
      <c r="K26" s="32">
        <v>7135</v>
      </c>
      <c r="L26" s="34">
        <f>+K26/$K$20</f>
        <v>7.6804667484768246E-2</v>
      </c>
      <c r="M26" s="32">
        <v>9767.16</v>
      </c>
      <c r="N26" s="34">
        <f>+M26/$M$20</f>
        <v>0.11960705556181454</v>
      </c>
      <c r="O26" s="34">
        <f>IF(K26=0,"",(M26-K26)/ABS(K26)+1)</f>
        <v>1.3689081990189207</v>
      </c>
      <c r="P26" s="32">
        <v>6968.39</v>
      </c>
      <c r="Q26" s="34">
        <f>+P26/$P$20</f>
        <v>7.6408991545480531E-2</v>
      </c>
      <c r="R26" s="34">
        <f>IF(P26=0,"",(M26-P26)/ABS(P26))</f>
        <v>0.40163796802417767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1130</v>
      </c>
      <c r="D27" s="34">
        <f>+C27/$C$20</f>
        <v>0.13423616060822047</v>
      </c>
      <c r="E27" s="32">
        <v>1119.54</v>
      </c>
      <c r="F27" s="34">
        <f>+E27/$E$20</f>
        <v>0.15882613309423962</v>
      </c>
      <c r="G27" s="34">
        <f>IF(C27=0,"",(E27-C27)/ABS(C27)+1)</f>
        <v>0.99074336283185838</v>
      </c>
      <c r="H27" s="32">
        <v>1119.4000000000001</v>
      </c>
      <c r="I27" s="34">
        <f>+H27/$H$20</f>
        <v>0.1373382343559065</v>
      </c>
      <c r="J27" s="34">
        <f>IF(H27=0,"",(E27-H27)/ABS(H27))</f>
        <v>1.2506700017855338E-4</v>
      </c>
      <c r="K27" s="32">
        <v>12559</v>
      </c>
      <c r="L27" s="34">
        <f>+K27/$K$20</f>
        <v>0.13519128506534048</v>
      </c>
      <c r="M27" s="32">
        <v>12792.21</v>
      </c>
      <c r="N27" s="34">
        <f>+M27/$M$20</f>
        <v>0.15665132671404988</v>
      </c>
      <c r="O27" s="34">
        <f>IF(K27=0,"",(M27-K27)/ABS(K27)+1)</f>
        <v>1.0185691535950314</v>
      </c>
      <c r="P27" s="32">
        <v>12327.8</v>
      </c>
      <c r="Q27" s="34">
        <f>+P27/$P$20</f>
        <v>0.13517537996213971</v>
      </c>
      <c r="R27" s="34">
        <f>IF(P27=0,"",(M27-P27)/ABS(P27))</f>
        <v>3.7671766251885973E-2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>
        <v>0</v>
      </c>
      <c r="AG27" s="32"/>
      <c r="AH27" s="2">
        <v>0</v>
      </c>
    </row>
    <row r="28" spans="1:35" x14ac:dyDescent="0.2">
      <c r="B28" s="3" t="s">
        <v>48</v>
      </c>
      <c r="C28" s="32">
        <f>SUM(C26:C27)</f>
        <v>1684</v>
      </c>
      <c r="D28" s="34">
        <f>+C28/$C$20</f>
        <v>0.20004751722499406</v>
      </c>
      <c r="E28" s="32">
        <f>SUM(E26:E27)</f>
        <v>5638.06</v>
      </c>
      <c r="F28" s="34">
        <f>+E28/$E$20</f>
        <v>0.79985643027788988</v>
      </c>
      <c r="G28" s="34">
        <f>IF(C28=0,"",(E28-C28)/ABS(C28)+1)</f>
        <v>3.3480166270783851</v>
      </c>
      <c r="H28" s="32">
        <f>SUM(H26:H27)</f>
        <v>1699.58</v>
      </c>
      <c r="I28" s="34">
        <f>+H28/$H$20</f>
        <v>0.20852002532304051</v>
      </c>
      <c r="J28" s="34">
        <f>IF(H28=0,"",(E28-H28)/ABS(H28))</f>
        <v>2.3173254568775818</v>
      </c>
      <c r="K28" s="32">
        <f>SUM(K26:K27)</f>
        <v>19694</v>
      </c>
      <c r="L28" s="34">
        <f>+K28/$K$20</f>
        <v>0.21199595255010872</v>
      </c>
      <c r="M28" s="32">
        <f>SUM(M26:M27)</f>
        <v>22559.37</v>
      </c>
      <c r="N28" s="34">
        <f>+M28/$M$20</f>
        <v>0.27625838227586447</v>
      </c>
      <c r="O28" s="34">
        <f>IF(K28=0,"",(M28-K28)/ABS(K28)+1)</f>
        <v>1.1454945668731593</v>
      </c>
      <c r="P28" s="32">
        <f>SUM(P26:P27)</f>
        <v>19296.189999999999</v>
      </c>
      <c r="Q28" s="34">
        <f>+P28/$P$20</f>
        <v>0.21158437150762024</v>
      </c>
      <c r="R28" s="34">
        <f>IF(P28=0,"",(M28-P28)/ABS(P28))</f>
        <v>0.16911006784240828</v>
      </c>
      <c r="S28" s="34"/>
      <c r="T28" s="63"/>
      <c r="U28" s="3" t="s">
        <v>49</v>
      </c>
      <c r="V28" s="32"/>
      <c r="W28" s="32"/>
      <c r="X28" s="32"/>
      <c r="Y28" s="32">
        <f t="shared" si="4"/>
        <v>1500</v>
      </c>
      <c r="Z28" s="32">
        <f t="shared" si="5"/>
        <v>3000</v>
      </c>
      <c r="AA28" s="63">
        <f>+Z28-Y28</f>
        <v>1500</v>
      </c>
      <c r="AB28" s="68">
        <f>IF(Y28=0,"",(Z28-Y28)/ABS(Y28)+1)</f>
        <v>2</v>
      </c>
      <c r="AC28" s="32">
        <v>4447</v>
      </c>
      <c r="AD28" s="34">
        <f>IF(AC28=0,"",(Z28-AC28)/ABS(AC28))</f>
        <v>-0.32538790195637507</v>
      </c>
      <c r="AF28" s="32">
        <v>1500</v>
      </c>
      <c r="AG28" s="32"/>
      <c r="AH28" s="2">
        <v>3000</v>
      </c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6119</v>
      </c>
      <c r="D30" s="34">
        <f>+C30/$C$20</f>
        <v>0.72689474934663811</v>
      </c>
      <c r="E30" s="32">
        <v>4899.96</v>
      </c>
      <c r="F30" s="34">
        <f>+E30/$E$20</f>
        <v>0.69514416556483061</v>
      </c>
      <c r="G30" s="34">
        <f>IF(C30=0,"",(E30-C30)/ABS(C30)+1)</f>
        <v>0.80077790488641942</v>
      </c>
      <c r="H30" s="32">
        <v>5944.31</v>
      </c>
      <c r="I30" s="34">
        <f>+H30/$H$20</f>
        <v>0.72930234041822284</v>
      </c>
      <c r="J30" s="34">
        <f>IF(H30=0,"",(E30-H30)/ABS(H30))</f>
        <v>-0.17568902025634603</v>
      </c>
      <c r="K30" s="32">
        <v>68959</v>
      </c>
      <c r="L30" s="34">
        <f>+K30/$K$20</f>
        <v>0.74230876875713148</v>
      </c>
      <c r="M30" s="32">
        <v>60830.35</v>
      </c>
      <c r="N30" s="34">
        <f>+M30/$M$20</f>
        <v>0.7449185896713707</v>
      </c>
      <c r="O30" s="34">
        <f>IF(K30=0,"",(M30-K30)/ABS(K30)+1)</f>
        <v>0.88212343566467033</v>
      </c>
      <c r="P30" s="32">
        <v>65510.64</v>
      </c>
      <c r="Q30" s="34">
        <f>+P30/$P$20</f>
        <v>0.71832976310152252</v>
      </c>
      <c r="R30" s="34">
        <f>IF(P30=0,"",(M30-P30)/ABS(P30))</f>
        <v>-7.1443203729958993E-2</v>
      </c>
      <c r="S30" s="34"/>
      <c r="T30" s="63"/>
      <c r="U30" s="20" t="s">
        <v>51</v>
      </c>
      <c r="V30" s="69">
        <f>V21-V23-V25-V27-V28</f>
        <v>9469</v>
      </c>
      <c r="W30" s="69">
        <f>W21-W23-W25-W27-W28</f>
        <v>18149</v>
      </c>
      <c r="X30" s="69">
        <v>16704</v>
      </c>
      <c r="Y30" s="69">
        <f>Y21-Y23-Y25-Y27-Y28</f>
        <v>9468.6999999999971</v>
      </c>
      <c r="Z30" s="69">
        <f>Z21-Z23-Z25-Z27-Z28</f>
        <v>18148</v>
      </c>
      <c r="AA30" s="71">
        <f>+Z30-Y30</f>
        <v>8679.3000000000029</v>
      </c>
      <c r="AB30" s="72">
        <f>IF(V30=0,"",(W30-V30)/ABS(V30)+1)</f>
        <v>1.9166754673143944</v>
      </c>
      <c r="AC30" s="69">
        <v>16704</v>
      </c>
      <c r="AD30" s="34">
        <f>IF(AC30=0,"",(Z30-AC30)/ABS(AC30))</f>
        <v>8.6446360153256699E-2</v>
      </c>
      <c r="AF30" s="67">
        <v>14643.115391944437</v>
      </c>
      <c r="AH30" s="2">
        <v>22004.099999999995</v>
      </c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 t="s">
        <v>61</v>
      </c>
      <c r="W31" s="63" t="s">
        <v>61</v>
      </c>
      <c r="X31" s="61"/>
      <c r="Y31" s="32" t="s">
        <v>61</v>
      </c>
      <c r="Z31" s="32"/>
      <c r="AA31" s="95"/>
      <c r="AB31" s="61"/>
      <c r="AC31" s="32"/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6119</v>
      </c>
      <c r="D32" s="34">
        <f>+C32/$C$20</f>
        <v>0.72689474934663811</v>
      </c>
      <c r="E32" s="32">
        <f>SUM(E30:E31)</f>
        <v>4899.96</v>
      </c>
      <c r="F32" s="34">
        <f>+E32/$E$20</f>
        <v>0.69514416556483061</v>
      </c>
      <c r="G32" s="34">
        <f>IF(C32=0,"",(E32-C32)/ABS(C32)+1)</f>
        <v>0.80077790488641942</v>
      </c>
      <c r="H32" s="32">
        <f>SUM(H30:H31)</f>
        <v>5944.31</v>
      </c>
      <c r="I32" s="34">
        <f>+H32/$H$20</f>
        <v>0.72930234041822284</v>
      </c>
      <c r="J32" s="34">
        <f>IF(H32=0,"",(E32-H32)/ABS(H32))</f>
        <v>-0.17568902025634603</v>
      </c>
      <c r="K32" s="32">
        <f>SUM(K30:K31)</f>
        <v>68959</v>
      </c>
      <c r="L32" s="34">
        <f>+K32/$K$20</f>
        <v>0.74230876875713148</v>
      </c>
      <c r="M32" s="32">
        <f>SUM(M30:M31)</f>
        <v>60830.35</v>
      </c>
      <c r="N32" s="34">
        <f>+M32/$M$20</f>
        <v>0.7449185896713707</v>
      </c>
      <c r="O32" s="34">
        <f>IF(K32=0,"",(M32-K32)/ABS(K32)+1)</f>
        <v>0.88212343566467033</v>
      </c>
      <c r="P32" s="32">
        <f>SUM(P30:P31)</f>
        <v>65510.64</v>
      </c>
      <c r="Q32" s="34">
        <f>+P32/$P$20</f>
        <v>0.71832976310152252</v>
      </c>
      <c r="R32" s="34">
        <f>IF(P32=0,"",(M32-P32)/ABS(P32))</f>
        <v>-7.1443203729958993E-2</v>
      </c>
      <c r="S32" s="34"/>
      <c r="T32" s="63"/>
      <c r="U32" s="54"/>
      <c r="V32" s="54"/>
      <c r="W32" s="54"/>
      <c r="X32" s="54"/>
      <c r="Y32" s="73"/>
      <c r="Z32" s="73" t="s">
        <v>61</v>
      </c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7803</v>
      </c>
      <c r="D34" s="34">
        <f>+C34/$C$20</f>
        <v>0.92694226657163226</v>
      </c>
      <c r="E34" s="32">
        <f>E28+E32</f>
        <v>10538.02</v>
      </c>
      <c r="F34" s="34">
        <f>+E34/$E$20</f>
        <v>1.4950005958427204</v>
      </c>
      <c r="G34" s="34">
        <f>IF(C34=0,"",(E34-C34)/ABS(C34)+1)</f>
        <v>1.3505087786748686</v>
      </c>
      <c r="H34" s="32">
        <f>H28+H32</f>
        <v>7643.89</v>
      </c>
      <c r="I34" s="34">
        <f>+H34/$H$20</f>
        <v>0.93782236574126332</v>
      </c>
      <c r="J34" s="34">
        <f>IF(H34=0,"",(E34-H34)/ABS(H34))</f>
        <v>0.37862004816919131</v>
      </c>
      <c r="K34" s="32">
        <f>K28+K32</f>
        <v>88653</v>
      </c>
      <c r="L34" s="34">
        <f>+K34/$K$20</f>
        <v>0.9543047213072402</v>
      </c>
      <c r="M34" s="32">
        <f>M28+M32</f>
        <v>83389.72</v>
      </c>
      <c r="N34" s="34">
        <f>+M34/$M$20</f>
        <v>1.0211769719472352</v>
      </c>
      <c r="O34" s="34">
        <f>IF(K34=0,"",(M34-K34)/ABS(K34)+1)</f>
        <v>0.94063054831759785</v>
      </c>
      <c r="P34" s="32">
        <f>P28+P32</f>
        <v>84806.83</v>
      </c>
      <c r="Q34" s="34">
        <f>+P34/$P$20</f>
        <v>0.92991413460914285</v>
      </c>
      <c r="R34" s="34">
        <f>IF(P34=0,"",(M34-P34)/ABS(P34))</f>
        <v>-1.6709856977321292E-2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509</v>
      </c>
      <c r="D36" s="45">
        <f>+C36/$C$20</f>
        <v>6.0465668804941794E-2</v>
      </c>
      <c r="E36" s="69">
        <f>E24-E34</f>
        <v>-3489.1800000000012</v>
      </c>
      <c r="F36" s="45">
        <f>+E36/$E$20</f>
        <v>-0.49500059584272044</v>
      </c>
      <c r="G36" s="45">
        <f>IF(C36=0,"",(E36-C36)/ABS(C36)+1)</f>
        <v>-6.8549705304518689</v>
      </c>
      <c r="H36" s="69">
        <f>H24-H34</f>
        <v>506.78999999999996</v>
      </c>
      <c r="I36" s="45">
        <f>+H36/$H$20</f>
        <v>6.2177634258736687E-2</v>
      </c>
      <c r="J36" s="45">
        <f>IF(H36=0,"",(E36-H36)/ABS(H36))</f>
        <v>-7.8848635529509297</v>
      </c>
      <c r="K36" s="69">
        <f>K24-K34</f>
        <v>2989</v>
      </c>
      <c r="L36" s="45">
        <f>+K36/$K$20</f>
        <v>3.2175073736786582E-2</v>
      </c>
      <c r="M36" s="69">
        <f>M24-M34</f>
        <v>-2350.9800000000105</v>
      </c>
      <c r="N36" s="45">
        <f>+M36/$M$20</f>
        <v>-2.8789719374384778E-2</v>
      </c>
      <c r="O36" s="45">
        <f>IF(K36=0,"",(M36-K36)/ABS(K36)+1)</f>
        <v>-0.78654399464704272</v>
      </c>
      <c r="P36" s="69">
        <f>P24-P34</f>
        <v>5042.7200000000157</v>
      </c>
      <c r="Q36" s="45">
        <f>+P36/$P$20</f>
        <v>5.5293855517017099E-2</v>
      </c>
      <c r="R36" s="45">
        <f>IF(P36=0,"",(M36-P36)/ABS(P36))</f>
        <v>-1.4662126788717207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V37" s="54"/>
      <c r="W37" s="54"/>
      <c r="X37" s="54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5470.85</v>
      </c>
      <c r="N38" s="34">
        <f>+M38/$M$20</f>
        <v>6.6995140851624543E-2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V38" s="55"/>
      <c r="W38" s="55"/>
      <c r="X38" s="96"/>
    </row>
    <row r="39" spans="1:34" x14ac:dyDescent="0.2">
      <c r="B39" s="3" t="s">
        <v>57</v>
      </c>
      <c r="C39" s="32">
        <v>0</v>
      </c>
      <c r="D39" s="34">
        <f>+C39/$C$20</f>
        <v>0</v>
      </c>
      <c r="E39" s="32">
        <v>7</v>
      </c>
      <c r="F39" s="34">
        <f>+E39/$E$20</f>
        <v>9.9307120036772013E-4</v>
      </c>
      <c r="G39" s="34" t="str">
        <f>IF(C39=0,"",(E39-C39)/ABS(C39)+1)</f>
        <v/>
      </c>
      <c r="H39" s="32">
        <v>0.18</v>
      </c>
      <c r="I39" s="34">
        <f>+H39/$H$20</f>
        <v>2.2084046975221697E-5</v>
      </c>
      <c r="J39" s="34">
        <f>IF(H39=0,"",(E39-H39)/ABS(H39))</f>
        <v>37.888888888888893</v>
      </c>
      <c r="K39" s="32">
        <v>0</v>
      </c>
      <c r="L39" s="34">
        <f>+K39/$K$20</f>
        <v>0</v>
      </c>
      <c r="M39" s="32">
        <v>61.52</v>
      </c>
      <c r="N39" s="34">
        <f>+M39/$M$20</f>
        <v>7.5336393159964937E-4</v>
      </c>
      <c r="O39" s="34" t="str">
        <f>IF(K39=0,"",(M39-K39)/ABS(K39)+1)</f>
        <v/>
      </c>
      <c r="P39" s="32">
        <v>11.49</v>
      </c>
      <c r="Q39" s="34">
        <f>+P39/$P$20</f>
        <v>1.2598883140260109E-4</v>
      </c>
      <c r="R39" s="34">
        <f>IF(P39=0,"",(M39-P39)/ABS(P39))</f>
        <v>4.3542210617928632</v>
      </c>
      <c r="S39" s="34"/>
      <c r="T39" s="63"/>
      <c r="V39" s="55"/>
      <c r="W39" s="55"/>
    </row>
    <row r="40" spans="1:34" x14ac:dyDescent="0.2">
      <c r="J40" s="34"/>
      <c r="R40" s="34"/>
      <c r="S40" s="34"/>
      <c r="V40" s="55"/>
      <c r="W40" s="55"/>
      <c r="AG40" s="55"/>
    </row>
    <row r="41" spans="1:34" x14ac:dyDescent="0.2">
      <c r="B41" s="3" t="s">
        <v>58</v>
      </c>
      <c r="C41" s="32">
        <f>C36+C38-C39</f>
        <v>509</v>
      </c>
      <c r="D41" s="34">
        <f>+C41/$C$20</f>
        <v>6.0465668804941794E-2</v>
      </c>
      <c r="E41" s="32">
        <f>E36+E38-E39</f>
        <v>-3496.1800000000012</v>
      </c>
      <c r="F41" s="34">
        <f>+E41/$E$20</f>
        <v>-0.49599366704308817</v>
      </c>
      <c r="G41" s="34">
        <f>IF(C41=0,"",(E41-C41)/ABS(C41)+1)</f>
        <v>-6.8687229862475467</v>
      </c>
      <c r="H41" s="32">
        <f>H36+H38-H39</f>
        <v>506.60999999999996</v>
      </c>
      <c r="I41" s="34">
        <f>+H41/$H$20</f>
        <v>6.2155550211761466E-2</v>
      </c>
      <c r="J41" s="34">
        <f>IF(H41=0,"",(E41-H41)/ABS(H41))</f>
        <v>-7.901127099741422</v>
      </c>
      <c r="K41" s="32">
        <f>K36+K38-K39</f>
        <v>2989</v>
      </c>
      <c r="L41" s="34">
        <f>+K41/$K$20</f>
        <v>3.2175073736786582E-2</v>
      </c>
      <c r="M41" s="32">
        <f>M36+M38-M39</f>
        <v>3058.3499999999899</v>
      </c>
      <c r="N41" s="34">
        <f>+M41/$M$20</f>
        <v>3.7452057545640113E-2</v>
      </c>
      <c r="O41" s="34">
        <f>IF(K41=0,"",(M41-K41)/ABS(K41)+1)</f>
        <v>1.023201739712275</v>
      </c>
      <c r="P41" s="32">
        <f>P36+P38-P39</f>
        <v>5031.2300000000159</v>
      </c>
      <c r="Q41" s="34">
        <f>+P41/$P$20</f>
        <v>5.5167866685614499E-2</v>
      </c>
      <c r="R41" s="34">
        <f>IF(P41=0,"",(M41-P41)/ABS(P41))</f>
        <v>-0.39212677615613273</v>
      </c>
      <c r="S41" s="34"/>
      <c r="T41" s="63"/>
      <c r="V41" s="55"/>
      <c r="W41" s="55"/>
    </row>
    <row r="42" spans="1:34" x14ac:dyDescent="0.2">
      <c r="A42" s="94"/>
      <c r="B42" s="3" t="s">
        <v>44</v>
      </c>
      <c r="C42" s="32">
        <v>0</v>
      </c>
      <c r="D42" s="34">
        <f>+C42/$C$20</f>
        <v>0</v>
      </c>
      <c r="E42" s="32">
        <v>0</v>
      </c>
      <c r="F42" s="34">
        <f>+E42/$E$20</f>
        <v>0</v>
      </c>
      <c r="G42" s="34" t="str">
        <f>IF(C42=0,"",(E42-C42)/ABS(C42)+1)</f>
        <v/>
      </c>
      <c r="H42" s="32">
        <v>126.37</v>
      </c>
      <c r="I42" s="34">
        <f>+H42/$H$20</f>
        <v>1.5504227868104256E-2</v>
      </c>
      <c r="J42" s="34">
        <f>IF(H42=0,"",(E42-H42)/ABS(H42))</f>
        <v>-1</v>
      </c>
      <c r="K42" s="32">
        <v>0</v>
      </c>
      <c r="L42" s="34">
        <f>+K42/$K$20</f>
        <v>0</v>
      </c>
      <c r="M42" s="32">
        <v>362.9</v>
      </c>
      <c r="N42" s="34">
        <f>+M42/$M$20</f>
        <v>4.4440144794784253E-3</v>
      </c>
      <c r="O42" s="34" t="str">
        <f>IF(K42=0,"",(M42-K42)/ABS(K42)+1)</f>
        <v/>
      </c>
      <c r="P42" s="32">
        <v>468.01</v>
      </c>
      <c r="Q42" s="34">
        <f>+P42/$P$20</f>
        <v>5.1317696244326657E-3</v>
      </c>
      <c r="R42" s="34">
        <f>IF(P42=0,"",(M42-P42)/ABS(P42))</f>
        <v>-0.22458921817909877</v>
      </c>
      <c r="S42" s="34"/>
      <c r="T42" s="63"/>
      <c r="V42" s="55"/>
      <c r="W42" s="55"/>
      <c r="X42" s="97"/>
    </row>
    <row r="43" spans="1:34" x14ac:dyDescent="0.2">
      <c r="B43" s="20" t="s">
        <v>59</v>
      </c>
      <c r="C43" s="69">
        <f>C41-C42</f>
        <v>509</v>
      </c>
      <c r="D43" s="45">
        <f>+C43/$C$20</f>
        <v>6.0465668804941794E-2</v>
      </c>
      <c r="E43" s="69">
        <f>E41-E42</f>
        <v>-3496.1800000000012</v>
      </c>
      <c r="F43" s="45">
        <f>+E43/$E$20</f>
        <v>-0.49599366704308817</v>
      </c>
      <c r="G43" s="45">
        <f>IF(C43=0,"",(E43-C43)/ABS(C43)+1)</f>
        <v>-6.8687229862475467</v>
      </c>
      <c r="H43" s="69">
        <f>H41-H42</f>
        <v>380.23999999999995</v>
      </c>
      <c r="I43" s="45">
        <f>+H43/$H$20</f>
        <v>4.6651322343657209E-2</v>
      </c>
      <c r="J43" s="45">
        <f>IF(H43=0,"",(E43-H43)/ABS(H43))</f>
        <v>-10.194666526404379</v>
      </c>
      <c r="K43" s="69">
        <f>K41-K42</f>
        <v>2989</v>
      </c>
      <c r="L43" s="45">
        <f>+K43/$K$20</f>
        <v>3.2175073736786582E-2</v>
      </c>
      <c r="M43" s="69">
        <f>M41-M42</f>
        <v>2695.4499999999898</v>
      </c>
      <c r="N43" s="45">
        <f>+M43/$M$20</f>
        <v>3.3008043066161688E-2</v>
      </c>
      <c r="O43" s="45">
        <f>IF(K43=0,"",(M43-K43)/ABS(K43)+1)</f>
        <v>0.90178989628637996</v>
      </c>
      <c r="P43" s="69">
        <f>P41-P42</f>
        <v>4563.2200000000157</v>
      </c>
      <c r="Q43" s="45">
        <f>+P43/$P$20</f>
        <v>5.0036097061181832E-2</v>
      </c>
      <c r="R43" s="45">
        <f>IF(P43=0,"",(M43-P43)/ABS(P43))</f>
        <v>-0.40930965414773329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794</v>
      </c>
      <c r="D45" s="34">
        <f>+C45/$C$20</f>
        <v>9.4321691613209788E-2</v>
      </c>
      <c r="E45" s="32">
        <v>-3175.5100000000011</v>
      </c>
      <c r="F45" s="34">
        <f>+E45/$E$20</f>
        <v>-0.45050107535424289</v>
      </c>
      <c r="G45" s="34">
        <f>IF(C45=0,"",(E45-C45)/ABS(C45)+1)</f>
        <v>-3.9993828715365254</v>
      </c>
      <c r="H45" s="32">
        <v>782.93</v>
      </c>
      <c r="I45" s="34">
        <f>+H45/$H$20</f>
        <v>9.6057016101724013E-2</v>
      </c>
      <c r="J45" s="34">
        <f>IF(H45=0,"",(E45-H45)/ABS(H45))</f>
        <v>-5.0559309261364378</v>
      </c>
      <c r="K45" s="32">
        <v>6136</v>
      </c>
      <c r="L45" s="34">
        <f>+K45/$K$20</f>
        <v>6.6050937587461514E-2</v>
      </c>
      <c r="M45" s="32">
        <v>725.04999999998972</v>
      </c>
      <c r="N45" s="34">
        <f>+M45/$M$20</f>
        <v>8.8788445807268853E-3</v>
      </c>
      <c r="O45" s="34">
        <f>IF(K45=0,"",(M45-K45)/ABS(K45)+1)</f>
        <v>0.11816329856583929</v>
      </c>
      <c r="P45" s="32">
        <v>8295.9800000000159</v>
      </c>
      <c r="Q45" s="34">
        <f>+P45/$P$20</f>
        <v>9.0966129289760875E-2</v>
      </c>
      <c r="R45" s="34">
        <f>IF(P45=0,"",(M45-P45)/ABS(P45))</f>
        <v>-0.9126022483178613</v>
      </c>
      <c r="S45" s="34"/>
      <c r="T45" s="63"/>
    </row>
    <row r="46" spans="1:34" x14ac:dyDescent="0.2">
      <c r="B46" s="3" t="s">
        <v>35</v>
      </c>
      <c r="C46" s="32">
        <v>5936</v>
      </c>
      <c r="D46" s="34">
        <f>+C46/$C$20</f>
        <v>0.70515561891185552</v>
      </c>
      <c r="E46" s="32">
        <v>4806.08</v>
      </c>
      <c r="F46" s="34">
        <f>+E46/$E$20</f>
        <v>0.68182566209475604</v>
      </c>
      <c r="G46" s="34">
        <f>IF(C46=0,"",(E46-C46)/ABS(C46)+1)</f>
        <v>0.80964959568733152</v>
      </c>
      <c r="H46" s="32">
        <v>5953.45</v>
      </c>
      <c r="I46" s="34">
        <f>+H46/$H$20</f>
        <v>0.73042371924796456</v>
      </c>
      <c r="J46" s="34">
        <f>IF(H46=0,"",(E46-H46)/ABS(H46))</f>
        <v>-0.19272354685098556</v>
      </c>
      <c r="K46" s="32">
        <v>65286</v>
      </c>
      <c r="L46" s="34">
        <f>+K46/$K$20</f>
        <v>0.70277078085642319</v>
      </c>
      <c r="M46" s="32">
        <v>57637.16</v>
      </c>
      <c r="N46" s="34">
        <f>+M46/$M$20</f>
        <v>0.70581530337838183</v>
      </c>
      <c r="O46" s="34">
        <f>IF(K46=0,"",(M46-K46)/ABS(K46)+1)</f>
        <v>0.88284103789480139</v>
      </c>
      <c r="P46" s="32">
        <v>62709.77</v>
      </c>
      <c r="Q46" s="34">
        <f>+P46/$P$20</f>
        <v>0.68761798431905052</v>
      </c>
      <c r="R46" s="34">
        <f>IF(P46=0,"",(M46-P46)/ABS(P46))</f>
        <v>-8.0890266381139553E-2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110</v>
      </c>
      <c r="C56" s="55" t="s">
        <v>111</v>
      </c>
      <c r="E56" s="55" t="s">
        <v>112</v>
      </c>
      <c r="N56" s="55"/>
      <c r="R56" s="55"/>
      <c r="S56" s="55"/>
    </row>
    <row r="57" spans="2:19" x14ac:dyDescent="0.2">
      <c r="B57" s="2" t="s">
        <v>108</v>
      </c>
      <c r="C57" s="55">
        <f>+C36</f>
        <v>509</v>
      </c>
      <c r="E57" s="55">
        <f>+E36</f>
        <v>-3489.1800000000012</v>
      </c>
      <c r="N57" s="55"/>
      <c r="R57" s="55"/>
      <c r="S57" s="55"/>
    </row>
    <row r="58" spans="2:19" x14ac:dyDescent="0.2">
      <c r="B58" s="2" t="s">
        <v>113</v>
      </c>
      <c r="C58" s="55">
        <f>+'VENEZUELA USD'!C36</f>
        <v>9506.5362485615642</v>
      </c>
      <c r="E58" s="55">
        <f>+'VENEZUELA USD'!E36</f>
        <v>-496.86996547756036</v>
      </c>
      <c r="N58" s="55"/>
      <c r="R58" s="55"/>
      <c r="S58" s="55"/>
    </row>
    <row r="59" spans="2:19" x14ac:dyDescent="0.2">
      <c r="B59" s="2" t="s">
        <v>114</v>
      </c>
      <c r="C59" s="55">
        <f>+'PANAMA USD'!C36</f>
        <v>0</v>
      </c>
      <c r="E59" s="55">
        <f>+'PANAMA USD'!E36</f>
        <v>0</v>
      </c>
      <c r="N59" s="55"/>
      <c r="R59" s="55"/>
      <c r="S59" s="55"/>
    </row>
    <row r="60" spans="2:19" x14ac:dyDescent="0.2">
      <c r="B60" s="2" t="s">
        <v>115</v>
      </c>
      <c r="C60" s="55">
        <f>SUM(C57:C59)</f>
        <v>10015.536248561564</v>
      </c>
      <c r="E60" s="55">
        <f>SUM(E57:E59)</f>
        <v>-3986.0499654775617</v>
      </c>
      <c r="N60" s="55"/>
      <c r="R60" s="55"/>
      <c r="S60" s="55"/>
    </row>
    <row r="61" spans="2:19" x14ac:dyDescent="0.2">
      <c r="B61" s="2" t="s">
        <v>116</v>
      </c>
      <c r="C61" s="55">
        <f>+C60-C58</f>
        <v>509</v>
      </c>
      <c r="E61" s="55">
        <f>+E60-E58</f>
        <v>-3489.1800000000012</v>
      </c>
    </row>
    <row r="62" spans="2:19" x14ac:dyDescent="0.2">
      <c r="B62" s="79" t="s">
        <v>117</v>
      </c>
    </row>
    <row r="63" spans="2:19" x14ac:dyDescent="0.2">
      <c r="B63" s="2" t="s">
        <v>108</v>
      </c>
      <c r="C63" s="55">
        <f>+C43</f>
        <v>509</v>
      </c>
      <c r="E63" s="55">
        <f>+E43</f>
        <v>-3496.1800000000012</v>
      </c>
    </row>
    <row r="64" spans="2:19" x14ac:dyDescent="0.2">
      <c r="B64" s="2" t="s">
        <v>118</v>
      </c>
      <c r="C64" s="55">
        <f>+'VENEZUELA USD'!C43</f>
        <v>0</v>
      </c>
      <c r="E64" s="55">
        <f>+'VENEZUELA USD'!E43</f>
        <v>1362.0023014959722</v>
      </c>
    </row>
    <row r="65" spans="2:6" x14ac:dyDescent="0.2">
      <c r="B65" s="2" t="s">
        <v>114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119</v>
      </c>
      <c r="C66" s="55">
        <f>SUM(C63:C65)</f>
        <v>509</v>
      </c>
      <c r="E66" s="55">
        <f>SUM(E63:E65)</f>
        <v>-2134.1776985040287</v>
      </c>
    </row>
    <row r="68" spans="2:6" x14ac:dyDescent="0.2">
      <c r="B68" s="79" t="s">
        <v>120</v>
      </c>
      <c r="C68" s="98">
        <f>+C63+C65</f>
        <v>509</v>
      </c>
      <c r="D68" s="79"/>
      <c r="E68" s="98">
        <f>+E63+E65</f>
        <v>-3496.1800000000012</v>
      </c>
      <c r="F68" s="96">
        <f>+E68/C68</f>
        <v>-6.8687229862475467</v>
      </c>
    </row>
  </sheetData>
  <conditionalFormatting sqref="J10:J46">
    <cfRule type="cellIs" dxfId="4" priority="2" operator="lessThan">
      <formula>0</formula>
    </cfRule>
  </conditionalFormatting>
  <conditionalFormatting sqref="R10:S46">
    <cfRule type="cellIs" dxfId="3" priority="3" operator="lessThan">
      <formula>0</formula>
    </cfRule>
  </conditionalFormatting>
  <conditionalFormatting sqref="AD10:AD11 AD13:AD17 AD19:AD28 AD30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1C00E-359E-45F6-B761-68DCE44D88D9}">
  <sheetPr>
    <tabColor theme="0" tint="-0.14999847407452621"/>
  </sheetPr>
  <dimension ref="A1:AH48"/>
  <sheetViews>
    <sheetView showGridLines="0" topLeftCell="T25" zoomScale="98" zoomScaleNormal="98" workbookViewId="0">
      <selection activeCell="Z37" sqref="Z37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121</v>
      </c>
      <c r="T3" s="18" t="s">
        <v>121</v>
      </c>
    </row>
    <row r="4" spans="1:34" x14ac:dyDescent="0.2">
      <c r="B4" s="3" t="s">
        <v>103</v>
      </c>
      <c r="C4" s="91"/>
      <c r="S4" s="99"/>
      <c r="T4" s="3" t="s">
        <v>21</v>
      </c>
    </row>
    <row r="5" spans="1:34" ht="15.75" customHeight="1" thickBot="1" x14ac:dyDescent="0.25">
      <c r="B5" s="3" t="s">
        <v>122</v>
      </c>
      <c r="E5" s="100"/>
      <c r="T5" s="3" t="s">
        <v>122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NOVIEMBRE de 2024</v>
      </c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NOVIEMBRE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2024</v>
      </c>
      <c r="D7" s="61"/>
      <c r="E7" s="61" t="str">
        <f>+'COL. CONS.$'!E7:E7</f>
        <v>Real 2024</v>
      </c>
      <c r="F7" s="61"/>
      <c r="G7" s="61" t="s">
        <v>24</v>
      </c>
      <c r="H7" s="61" t="str">
        <f>+'COL. CONS.$'!H7:H7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>
        <v>399992</v>
      </c>
      <c r="D10" s="68">
        <f t="shared" ref="D10:D20" si="0">IF($C$20=0," ",C10/$C$20)</f>
        <v>0.60690458813872294</v>
      </c>
      <c r="E10" s="32">
        <v>102706</v>
      </c>
      <c r="F10" s="68">
        <f t="shared" ref="F10:F15" si="1">+E10/$E$20</f>
        <v>0.4375010649355075</v>
      </c>
      <c r="G10" s="68">
        <f t="shared" ref="G10:G15" si="2">IF(C10=0,"",(E10-C10)/ABS(C10)+1)</f>
        <v>0.2567701354027081</v>
      </c>
      <c r="H10" s="32">
        <v>98390</v>
      </c>
      <c r="I10" s="68">
        <f t="shared" ref="I10:I15" si="3">+H10/$H$20</f>
        <v>0.5323673275041122</v>
      </c>
      <c r="J10" s="68">
        <f t="shared" ref="J10:J15" si="4">IF(H10=0,"",(E10-H10)/ABS(H10))</f>
        <v>4.3866246569773351E-2</v>
      </c>
      <c r="K10" s="32">
        <v>2412118</v>
      </c>
      <c r="L10" s="68">
        <f t="shared" ref="L10:L20" si="5">IF($K$20=0," ",K10/$K$20)</f>
        <v>0.55803486945815428</v>
      </c>
      <c r="M10" s="32">
        <v>1112000</v>
      </c>
      <c r="N10" s="68">
        <f t="shared" ref="N10:N15" si="6">+M10/$M$20</f>
        <v>0.43945673346909597</v>
      </c>
      <c r="O10" s="68">
        <f>IF(K10=0,"",(M10-K10)/ABS(K10)+1)</f>
        <v>0.46100563902760971</v>
      </c>
      <c r="P10" s="32">
        <v>959591</v>
      </c>
      <c r="Q10" s="68">
        <f t="shared" ref="Q10:Q15" si="7">+P10/$P$20</f>
        <v>0.48058774890406836</v>
      </c>
      <c r="R10" s="68">
        <f t="shared" ref="R10:R15" si="8">IF(P10=0,"",(M10-P10)/ABS(P10))</f>
        <v>0.15882704193765887</v>
      </c>
      <c r="T10" s="3" t="s">
        <v>31</v>
      </c>
      <c r="U10" s="32">
        <v>236652</v>
      </c>
      <c r="V10" s="32">
        <v>197212</v>
      </c>
      <c r="W10" s="32">
        <v>137154</v>
      </c>
      <c r="X10" s="32">
        <v>236652</v>
      </c>
      <c r="Y10" s="32">
        <v>253979</v>
      </c>
      <c r="Z10" s="63">
        <f>+Y10-X10</f>
        <v>17327</v>
      </c>
      <c r="AA10" s="68">
        <f>IF(X10=0,"",(Y10-X10)/ABS(X10)+1)</f>
        <v>1.073217213461116</v>
      </c>
      <c r="AB10" s="32">
        <v>37026</v>
      </c>
      <c r="AC10" s="68">
        <f>IF(W10=0,"",(Y10-AB10)/ABS(AB10))</f>
        <v>5.8594771241830061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>
        <v>41126</v>
      </c>
      <c r="D11" s="68">
        <f t="shared" si="0"/>
        <v>6.2400143232347445E-2</v>
      </c>
      <c r="E11" s="32">
        <v>63479</v>
      </c>
      <c r="F11" s="68">
        <f t="shared" si="1"/>
        <v>0.27040416432380854</v>
      </c>
      <c r="G11" s="68">
        <f t="shared" si="2"/>
        <v>1.5435247775130088</v>
      </c>
      <c r="H11" s="32">
        <v>19251</v>
      </c>
      <c r="I11" s="68">
        <f t="shared" si="3"/>
        <v>0.10416305947537009</v>
      </c>
      <c r="J11" s="68">
        <f t="shared" si="4"/>
        <v>2.2974390940730354</v>
      </c>
      <c r="K11" s="32">
        <v>319617</v>
      </c>
      <c r="L11" s="68">
        <f t="shared" si="5"/>
        <v>7.3942249455294845E-2</v>
      </c>
      <c r="M11" s="32">
        <v>359672</v>
      </c>
      <c r="N11" s="68">
        <f t="shared" si="6"/>
        <v>0.1421405415830006</v>
      </c>
      <c r="O11" s="68">
        <f>IF(K11=0,"",(M11-K11)/ABS(K11)+1)</f>
        <v>1.1253218696126928</v>
      </c>
      <c r="P11" s="32">
        <v>328539</v>
      </c>
      <c r="Q11" s="68">
        <f t="shared" si="7"/>
        <v>0.16454074541882294</v>
      </c>
      <c r="R11" s="68">
        <f t="shared" si="8"/>
        <v>9.4761961289222887E-2</v>
      </c>
      <c r="T11" s="3" t="s">
        <v>32</v>
      </c>
      <c r="U11" s="32"/>
      <c r="V11" s="32">
        <v>321027</v>
      </c>
      <c r="W11" s="32">
        <v>201775</v>
      </c>
      <c r="X11" s="32">
        <f>+AD8+U11</f>
        <v>0</v>
      </c>
      <c r="Y11" s="32">
        <v>2304758</v>
      </c>
      <c r="Z11" s="63">
        <f>+Y11-X11</f>
        <v>2304758</v>
      </c>
      <c r="AA11" s="68" t="str">
        <f>IF(X11=0,"",(Y11-X11)/ABS(X11)+1)</f>
        <v/>
      </c>
      <c r="AB11" s="32">
        <v>2179669</v>
      </c>
      <c r="AC11" s="68">
        <f>IF(AB11=0,"",(Y11-AB11)/ABS(AB11))</f>
        <v>5.7388988878586608E-2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>
        <v>107889</v>
      </c>
      <c r="D12" s="68">
        <f t="shared" si="0"/>
        <v>0.16369909675618183</v>
      </c>
      <c r="E12" s="32">
        <v>35717</v>
      </c>
      <c r="F12" s="68">
        <f t="shared" si="1"/>
        <v>0.1521452060863194</v>
      </c>
      <c r="G12" s="68">
        <f t="shared" si="2"/>
        <v>0.33105321209761884</v>
      </c>
      <c r="H12" s="32">
        <v>33098</v>
      </c>
      <c r="I12" s="68">
        <f t="shared" si="3"/>
        <v>0.17908622630075319</v>
      </c>
      <c r="J12" s="68">
        <f t="shared" si="4"/>
        <v>7.9128648256692247E-2</v>
      </c>
      <c r="K12" s="32">
        <v>809490</v>
      </c>
      <c r="L12" s="68">
        <f t="shared" si="5"/>
        <v>0.18727261538518486</v>
      </c>
      <c r="M12" s="32">
        <v>406491</v>
      </c>
      <c r="N12" s="68">
        <f t="shared" si="6"/>
        <v>0.1606431718026855</v>
      </c>
      <c r="O12" s="68">
        <f>IF(K12=0,"",(M12-K12)/ABS(K12)+1)</f>
        <v>0.50215691361227432</v>
      </c>
      <c r="P12" s="32">
        <v>303098</v>
      </c>
      <c r="Q12" s="68">
        <f t="shared" si="7"/>
        <v>0.15179924104886905</v>
      </c>
      <c r="R12" s="68">
        <f t="shared" si="8"/>
        <v>0.34112069363704151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>
        <v>41126</v>
      </c>
      <c r="D13" s="68">
        <f t="shared" si="0"/>
        <v>6.2400143232347445E-2</v>
      </c>
      <c r="E13" s="32">
        <v>7200</v>
      </c>
      <c r="F13" s="68">
        <f t="shared" si="1"/>
        <v>3.0670142616163167E-2</v>
      </c>
      <c r="G13" s="68">
        <f t="shared" si="2"/>
        <v>0.17507173077858285</v>
      </c>
      <c r="H13" s="32">
        <v>0</v>
      </c>
      <c r="I13" s="68">
        <f t="shared" si="3"/>
        <v>0</v>
      </c>
      <c r="J13" s="68" t="str">
        <f t="shared" si="4"/>
        <v/>
      </c>
      <c r="K13" s="32">
        <v>267801</v>
      </c>
      <c r="L13" s="68">
        <f t="shared" si="5"/>
        <v>6.1954803237554375E-2</v>
      </c>
      <c r="M13" s="32">
        <v>263141</v>
      </c>
      <c r="N13" s="68">
        <f t="shared" si="6"/>
        <v>0.10399198228578362</v>
      </c>
      <c r="O13" s="68">
        <f>IF(K13=0,"",(M13-K13)/ABS(K13)+1)</f>
        <v>0.98259901942113737</v>
      </c>
      <c r="P13" s="32">
        <v>85291</v>
      </c>
      <c r="Q13" s="68">
        <f t="shared" si="7"/>
        <v>4.271591718948687E-2</v>
      </c>
      <c r="R13" s="68">
        <f t="shared" si="8"/>
        <v>2.0852141492068332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>
        <v>207377</v>
      </c>
      <c r="AC13" s="68">
        <f>IF(AB13=0,"",(Y13-AB13)/ABS(AB13))</f>
        <v>-1</v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>
        <v>68936</v>
      </c>
      <c r="D15" s="68">
        <f t="shared" si="0"/>
        <v>0.10459602864040032</v>
      </c>
      <c r="E15" s="32">
        <v>25654</v>
      </c>
      <c r="F15" s="68">
        <f t="shared" si="1"/>
        <v>0.10927942203820136</v>
      </c>
      <c r="G15" s="68">
        <f t="shared" si="2"/>
        <v>0.37214227689451085</v>
      </c>
      <c r="H15" s="32">
        <v>34077</v>
      </c>
      <c r="I15" s="68">
        <f t="shared" si="3"/>
        <v>0.18438338671976454</v>
      </c>
      <c r="J15" s="68">
        <f t="shared" si="4"/>
        <v>-0.24717551427649148</v>
      </c>
      <c r="K15" s="32">
        <v>513496</v>
      </c>
      <c r="L15" s="68">
        <f t="shared" si="5"/>
        <v>0.11879546246381163</v>
      </c>
      <c r="M15" s="32">
        <v>389093</v>
      </c>
      <c r="N15" s="68">
        <f t="shared" si="6"/>
        <v>0.15376757085943432</v>
      </c>
      <c r="O15" s="68"/>
      <c r="P15" s="32">
        <v>320183</v>
      </c>
      <c r="Q15" s="68">
        <f t="shared" si="7"/>
        <v>0.16035584661314176</v>
      </c>
      <c r="R15" s="68">
        <f t="shared" si="8"/>
        <v>0.21522067067895548</v>
      </c>
      <c r="T15" s="3" t="s">
        <v>35</v>
      </c>
      <c r="U15" s="32"/>
      <c r="V15" s="32">
        <v>172037</v>
      </c>
      <c r="W15" s="32">
        <v>143451</v>
      </c>
      <c r="X15" s="32">
        <f>+AD11+U15</f>
        <v>0</v>
      </c>
      <c r="Y15" s="32">
        <v>898661</v>
      </c>
      <c r="Z15" s="63">
        <f>+X15-Y15</f>
        <v>-898661</v>
      </c>
      <c r="AA15" s="68" t="str">
        <f>IF(X15=0,"",(Y15-X15)/ABS(X15)+1)</f>
        <v/>
      </c>
      <c r="AB15" s="32">
        <v>615781</v>
      </c>
      <c r="AC15" s="68">
        <f>IF(AB15=0,"",(Y15-AB15)/ABS(AB15))</f>
        <v>0.45938409921709178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>
        <f t="shared" si="0"/>
        <v>0</v>
      </c>
      <c r="E16" s="32"/>
      <c r="F16" s="68"/>
      <c r="G16" s="68"/>
      <c r="H16" s="32"/>
      <c r="I16" s="68"/>
      <c r="J16" s="68"/>
      <c r="K16" s="32"/>
      <c r="L16" s="68">
        <f t="shared" si="5"/>
        <v>0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140287</v>
      </c>
      <c r="W16" s="32">
        <v>59701</v>
      </c>
      <c r="X16" s="32">
        <f>+AD13+U16</f>
        <v>0</v>
      </c>
      <c r="Y16" s="32">
        <v>1005694</v>
      </c>
      <c r="Z16" s="63">
        <f>+X16-Y16</f>
        <v>-1005694</v>
      </c>
      <c r="AA16" s="68" t="str">
        <f>IF(X16=0,"",(Y16-X16)/ABS(X16)+1)</f>
        <v/>
      </c>
      <c r="AB16" s="32">
        <v>1057169</v>
      </c>
      <c r="AC16" s="68">
        <f>IF(AB16=0,"",(Y16-AB16)/ABS(AB16))</f>
        <v>-4.8691363443309439E-2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>
        <f t="shared" si="0"/>
        <v>0</v>
      </c>
      <c r="E17" s="32"/>
      <c r="F17" s="68"/>
      <c r="G17" s="68"/>
      <c r="H17" s="32"/>
      <c r="I17" s="68"/>
      <c r="J17" s="68"/>
      <c r="K17" s="32"/>
      <c r="L17" s="68">
        <f t="shared" si="5"/>
        <v>0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312324</v>
      </c>
      <c r="W17" s="32">
        <v>203152</v>
      </c>
      <c r="X17" s="32">
        <f>X13+X14+X15+X16</f>
        <v>0</v>
      </c>
      <c r="Y17" s="32">
        <f>Y13+Y14+Y15+Y16</f>
        <v>1904355</v>
      </c>
      <c r="Z17" s="63">
        <f>+Y17-X17</f>
        <v>1904355</v>
      </c>
      <c r="AA17" s="68" t="str">
        <f>IF(X17=0,"",(Y17-X17)/ABS(X17)+1)</f>
        <v/>
      </c>
      <c r="AB17" s="32">
        <v>1880327</v>
      </c>
      <c r="AC17" s="68">
        <f>IF(AB17=0,"",(Y17-AB17)/ABS(AB17))</f>
        <v>1.2778628398145642E-2</v>
      </c>
      <c r="AD17" s="67"/>
      <c r="AE17" s="67"/>
      <c r="AF17" s="67"/>
      <c r="AG17" s="67"/>
      <c r="AH17" s="67"/>
    </row>
    <row r="18" spans="2:34" x14ac:dyDescent="0.2">
      <c r="B18" s="3" t="s">
        <v>123</v>
      </c>
      <c r="C18" s="32"/>
      <c r="D18" s="68">
        <f t="shared" si="0"/>
        <v>0</v>
      </c>
      <c r="E18" s="32"/>
      <c r="F18" s="68"/>
      <c r="G18" s="68"/>
      <c r="H18" s="32"/>
      <c r="I18" s="68"/>
      <c r="J18" s="68"/>
      <c r="K18" s="32"/>
      <c r="L18" s="68">
        <f t="shared" si="5"/>
        <v>0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>
        <f t="shared" si="0"/>
        <v>0</v>
      </c>
      <c r="E19" s="32"/>
      <c r="F19" s="68"/>
      <c r="G19" s="68"/>
      <c r="H19" s="32"/>
      <c r="I19" s="68"/>
      <c r="J19" s="68"/>
      <c r="K19" s="32"/>
      <c r="L19" s="68">
        <f t="shared" si="5"/>
        <v>0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8703</v>
      </c>
      <c r="W19" s="32">
        <v>-1378</v>
      </c>
      <c r="X19" s="32">
        <f>X11-X17</f>
        <v>0</v>
      </c>
      <c r="Y19" s="32">
        <f>+Y11-Y17</f>
        <v>400403</v>
      </c>
      <c r="Z19" s="63">
        <f>+Y19-X19</f>
        <v>400403</v>
      </c>
      <c r="AA19" s="68" t="str">
        <f>IF(X19=0,"",(Y19-X19)/ABS(X19)+1)</f>
        <v/>
      </c>
      <c r="AB19" s="32">
        <v>299342</v>
      </c>
      <c r="AC19" s="68">
        <f>IF(AB19=0,"",(Y19-AB19)/ABS(AB19))</f>
        <v>0.33761049234654678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659069</v>
      </c>
      <c r="D20" s="68">
        <f t="shared" si="0"/>
        <v>1</v>
      </c>
      <c r="E20" s="32">
        <f>SUM(E10:E16)</f>
        <v>234756</v>
      </c>
      <c r="F20" s="68">
        <f>+E20/$E$20</f>
        <v>1</v>
      </c>
      <c r="G20" s="68">
        <f>IF(C20=0,"",(E20-C20)/ABS(C20)+1)</f>
        <v>0.35619335759988713</v>
      </c>
      <c r="H20" s="32">
        <v>184816</v>
      </c>
      <c r="I20" s="68">
        <f>+H20/$H$20</f>
        <v>1</v>
      </c>
      <c r="J20" s="68">
        <f>IF(H20=0,"",(E20-H20)/ABS(H20))</f>
        <v>0.27021470002597175</v>
      </c>
      <c r="K20" s="32">
        <f>SUM(K10:K16)</f>
        <v>4322522</v>
      </c>
      <c r="L20" s="68">
        <f t="shared" si="5"/>
        <v>1</v>
      </c>
      <c r="M20" s="32">
        <f>SUM(M10:M19)</f>
        <v>2530397</v>
      </c>
      <c r="N20" s="68">
        <f>+M20/$M$20</f>
        <v>1</v>
      </c>
      <c r="O20" s="68">
        <f>IF(K20=0,"",(M20-K20)/ABS(K20)+1)</f>
        <v>0.58539829294101908</v>
      </c>
      <c r="P20" s="32">
        <v>1996703</v>
      </c>
      <c r="Q20" s="68">
        <f>+P20/$P$20</f>
        <v>1</v>
      </c>
      <c r="R20" s="68">
        <f>IF(P20=0,"",(M20-P20)/ABS(P20))</f>
        <v>0.26728762364758302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236652</v>
      </c>
      <c r="V21" s="32">
        <f>+V10+V19</f>
        <v>205915</v>
      </c>
      <c r="W21" s="32">
        <v>135776</v>
      </c>
      <c r="X21" s="32">
        <f>+X10+X19</f>
        <v>236652</v>
      </c>
      <c r="Y21" s="32">
        <f>+Y10+Y19</f>
        <v>654382</v>
      </c>
      <c r="Z21" s="63">
        <f>+Y21-X21</f>
        <v>417730</v>
      </c>
      <c r="AA21" s="68">
        <f>IF(X21=0,"",(Y21-X21)/ABS(X21)+1)</f>
        <v>2.7651657285803628</v>
      </c>
      <c r="AB21" s="32">
        <v>336368</v>
      </c>
      <c r="AC21" s="68">
        <f>IF(AB21=0,"",(Y21-AB21)/ABS(AB21))</f>
        <v>0.94543476192741283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>
        <f>IF($C$20=0," ",C22/$C$20)</f>
        <v>0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>
        <f>IF($K$20=0," ",K22/$K$20)</f>
        <v>0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659069</v>
      </c>
      <c r="D24" s="68">
        <f>IF($C$20=0," ",C24/$C$20)</f>
        <v>1</v>
      </c>
      <c r="E24" s="32">
        <f>+E20-E22</f>
        <v>234756</v>
      </c>
      <c r="F24" s="68">
        <f>+E24/$E$20</f>
        <v>1</v>
      </c>
      <c r="G24" s="68">
        <f>IF(C24=0,"",(E24-C24)/ABS(C24)+1)</f>
        <v>0.35619335759988713</v>
      </c>
      <c r="H24" s="32">
        <v>184816</v>
      </c>
      <c r="I24" s="68">
        <f>+H24/$H$20</f>
        <v>1</v>
      </c>
      <c r="J24" s="68">
        <f>IF(H24=0,"",(E24-H24)/ABS(H24))</f>
        <v>0.27021470002597175</v>
      </c>
      <c r="K24" s="32">
        <f>+K20-K22</f>
        <v>4322522</v>
      </c>
      <c r="L24" s="68">
        <f>IF($K$20=0," ",K24/$K$20)</f>
        <v>1</v>
      </c>
      <c r="M24" s="32">
        <f>+M20-M22</f>
        <v>2530397</v>
      </c>
      <c r="N24" s="68">
        <f>+M24/$M$20</f>
        <v>1</v>
      </c>
      <c r="O24" s="68">
        <f>IF(K24=0,"",(M24-K24)/ABS(K24)+1)</f>
        <v>0.58539829294101908</v>
      </c>
      <c r="P24" s="32">
        <v>1996703</v>
      </c>
      <c r="Q24" s="68">
        <f>+P24/$P$20</f>
        <v>1</v>
      </c>
      <c r="R24" s="68">
        <f>IF(P24=0,"",(M24-P24)/ABS(P24))</f>
        <v>0.26728762364758302</v>
      </c>
    </row>
    <row r="25" spans="2:34" x14ac:dyDescent="0.2">
      <c r="T25" s="3" t="s">
        <v>44</v>
      </c>
      <c r="U25" s="32"/>
      <c r="V25" s="32">
        <v>18644</v>
      </c>
      <c r="W25" s="32">
        <v>8677</v>
      </c>
      <c r="X25" s="32">
        <f>+AD22+U25</f>
        <v>0</v>
      </c>
      <c r="Y25" s="32">
        <v>430526</v>
      </c>
      <c r="Z25" s="63">
        <f>+Y25-X25</f>
        <v>430526</v>
      </c>
      <c r="AA25" s="68" t="str">
        <f>IF(X25=0,"",(Y25-X25)/ABS(X25)+1)</f>
        <v/>
      </c>
      <c r="AB25" s="32">
        <v>215268</v>
      </c>
      <c r="AC25" s="68">
        <f>IF(AB25=0,"",(Y25-AB25)/ABS(AB25))</f>
        <v>0.99995354627719868</v>
      </c>
      <c r="AD25" s="67"/>
      <c r="AE25" s="67"/>
      <c r="AF25" s="67"/>
    </row>
    <row r="26" spans="2:34" x14ac:dyDescent="0.2">
      <c r="B26" s="3" t="s">
        <v>45</v>
      </c>
      <c r="C26" s="32">
        <v>17615</v>
      </c>
      <c r="D26" s="68">
        <f>IF($C$20=0," ",C26/$C$20)</f>
        <v>2.6727095342065854E-2</v>
      </c>
      <c r="E26" s="32">
        <v>4525</v>
      </c>
      <c r="F26" s="68">
        <f>+E26/$E$20</f>
        <v>1.9275332685852544E-2</v>
      </c>
      <c r="G26" s="68">
        <f>IF(C26=0,"",(E26-C26)/ABS(C26)+1)</f>
        <v>0.25688333806414987</v>
      </c>
      <c r="H26" s="32">
        <v>2887</v>
      </c>
      <c r="I26" s="68">
        <f>+H26/$H$20</f>
        <v>1.562094190979136E-2</v>
      </c>
      <c r="J26" s="68">
        <f>IF(H26=0,"",(E26-H26)/ABS(H26))</f>
        <v>0.56737097332871489</v>
      </c>
      <c r="K26" s="32">
        <v>111612</v>
      </c>
      <c r="L26" s="68">
        <f>IF($K$20=0," ",K26/$K$20)</f>
        <v>2.5821036885410879E-2</v>
      </c>
      <c r="M26" s="32">
        <v>42000</v>
      </c>
      <c r="N26" s="68">
        <f>+M26/$M$20</f>
        <v>1.6598185976350748E-2</v>
      </c>
      <c r="O26" s="68">
        <f>IF(K26=0,"",(M26-K26)/ABS(K26)+1)</f>
        <v>0.3763036232663155</v>
      </c>
      <c r="P26" s="32">
        <v>42085</v>
      </c>
      <c r="Q26" s="68">
        <f>+P26/$P$20</f>
        <v>2.1077245839766855E-2</v>
      </c>
      <c r="R26" s="68">
        <f>IF(P26=0,"",(M26-P26)/ABS(P26))</f>
        <v>-2.019721991208269E-3</v>
      </c>
      <c r="AF26" s="67"/>
    </row>
    <row r="27" spans="2:34" x14ac:dyDescent="0.2">
      <c r="B27" s="3" t="s">
        <v>46</v>
      </c>
      <c r="C27" s="32">
        <v>36414</v>
      </c>
      <c r="D27" s="68">
        <f>IF($C$20=0," ",C27/$C$20)</f>
        <v>5.5250664194492531E-2</v>
      </c>
      <c r="E27" s="32">
        <v>56046</v>
      </c>
      <c r="F27" s="68">
        <f>+E27/$E$20</f>
        <v>0.23874150181465009</v>
      </c>
      <c r="G27" s="68">
        <f>IF(C27=0,"",(E27-C27)/ABS(C27)+1)</f>
        <v>1.5391333003789751</v>
      </c>
      <c r="H27" s="32">
        <v>23173</v>
      </c>
      <c r="I27" s="68">
        <f>+H27/$H$20</f>
        <v>0.12538416587308457</v>
      </c>
      <c r="J27" s="68">
        <f>IF(H27=0,"",(E27-H27)/ABS(H27))</f>
        <v>1.4185906011306262</v>
      </c>
      <c r="K27" s="32">
        <v>347325</v>
      </c>
      <c r="L27" s="68">
        <f>IF($K$20=0," ",K27/$K$20)</f>
        <v>8.035239612429966E-2</v>
      </c>
      <c r="M27" s="32">
        <v>391855</v>
      </c>
      <c r="N27" s="68">
        <f>+M27/$M$20</f>
        <v>0.15485909918483148</v>
      </c>
      <c r="O27" s="68">
        <f>IF(K27=0,"",(M27-K27)/ABS(K27)+1)</f>
        <v>1.1282084502987115</v>
      </c>
      <c r="P27" s="32">
        <v>219820</v>
      </c>
      <c r="Q27" s="68">
        <f>+P27/$P$20</f>
        <v>0.11009148581436498</v>
      </c>
      <c r="R27" s="68">
        <f>IF(P27=0,"",(M27-P27)/ABS(P27))</f>
        <v>0.78261759621508509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54029</v>
      </c>
      <c r="D28" s="68">
        <f>IF($C$20=0," ",C28/$C$20)</f>
        <v>8.1977759536558392E-2</v>
      </c>
      <c r="E28" s="32">
        <f>SUM(E26:E27)</f>
        <v>60571</v>
      </c>
      <c r="F28" s="68">
        <f>+E28/$E$20</f>
        <v>0.25801683450050267</v>
      </c>
      <c r="G28" s="68">
        <f>IF(C28=0,"",(E28-C28)/ABS(C28)+1)</f>
        <v>1.1210831220270596</v>
      </c>
      <c r="H28" s="32">
        <v>26059</v>
      </c>
      <c r="I28" s="68">
        <f>+H28/$H$20</f>
        <v>0.1409996969959311</v>
      </c>
      <c r="J28" s="68">
        <f>IF(H28=0,"",(E28-H28)/ABS(H28))</f>
        <v>1.3243792931424843</v>
      </c>
      <c r="K28" s="32">
        <f>+K26+K27</f>
        <v>458937</v>
      </c>
      <c r="L28" s="68">
        <f>IF($K$20=0," ",K28/$K$20)</f>
        <v>0.10617343300971054</v>
      </c>
      <c r="M28" s="32">
        <f>SUM(M26:M27)</f>
        <v>433855</v>
      </c>
      <c r="N28" s="68">
        <f>+M28/$M$20</f>
        <v>0.17145728516118222</v>
      </c>
      <c r="O28" s="68">
        <f>IF(K28=0,"",(M28-K28)/ABS(K28)+1)</f>
        <v>0.94534761851844584</v>
      </c>
      <c r="P28" s="32">
        <v>261905</v>
      </c>
      <c r="Q28" s="68">
        <f>+P28/$P$20</f>
        <v>0.13116873165413184</v>
      </c>
      <c r="R28" s="68">
        <f>IF(P28=0,"",(M28-P28)/ABS(P28))</f>
        <v>0.65653576678566661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>
        <v>413059</v>
      </c>
      <c r="D30" s="68">
        <f>IF($C$20=0," ",C30/$C$20)</f>
        <v>0.62673104030078797</v>
      </c>
      <c r="E30" s="32">
        <v>141890</v>
      </c>
      <c r="F30" s="68">
        <f>+E30/$E$20</f>
        <v>0.60441479663991549</v>
      </c>
      <c r="G30" s="68">
        <f>IF(C30=0,"",(E30-C30)/ABS(C30)+1)</f>
        <v>0.3435102491411639</v>
      </c>
      <c r="H30" s="32">
        <v>104403</v>
      </c>
      <c r="I30" s="68">
        <f>+H30/$H$20</f>
        <v>0.56490238940351489</v>
      </c>
      <c r="J30" s="68">
        <f>IF(H30=0,"",(E30-H30)/ABS(H30))</f>
        <v>0.35906056339377224</v>
      </c>
      <c r="K30" s="32">
        <v>2934352</v>
      </c>
      <c r="L30" s="68">
        <f>IF($K$20=0," ",K30/$K$20)</f>
        <v>0.67885183695999696</v>
      </c>
      <c r="M30" s="32">
        <v>1567483</v>
      </c>
      <c r="N30" s="68">
        <f>+M30/$M$20</f>
        <v>0.61946129401829042</v>
      </c>
      <c r="O30" s="68">
        <f>IF(K30=0,"",(M30-K30)/ABS(K30)+1)</f>
        <v>0.53418369711609248</v>
      </c>
      <c r="P30" s="32">
        <v>1014559</v>
      </c>
      <c r="Q30" s="68">
        <f>+P30/$P$20</f>
        <v>0.50811713109060286</v>
      </c>
      <c r="R30" s="68">
        <f>IF(P30=0,"",(M30-P30)/ABS(P30))</f>
        <v>0.54498949790007289</v>
      </c>
      <c r="T30" s="3" t="s">
        <v>51</v>
      </c>
      <c r="U30" s="32">
        <f>+U21-U25-U23+U27</f>
        <v>236652</v>
      </c>
      <c r="V30" s="32">
        <f>+V21-V25-V23+V27</f>
        <v>187271</v>
      </c>
      <c r="W30" s="32">
        <v>127100</v>
      </c>
      <c r="X30" s="32">
        <f>+X21-X25-X23-X27</f>
        <v>236652</v>
      </c>
      <c r="Y30" s="32">
        <f>+Y21-Y25-Y23+Y27-22598-13987</f>
        <v>187271</v>
      </c>
      <c r="Z30" s="63">
        <f>+Y30-X30</f>
        <v>-49381</v>
      </c>
      <c r="AA30" s="68">
        <f>IF(U30=0,"",(V30-U30)/ABS(U30)+1)</f>
        <v>0.7913349559691023</v>
      </c>
      <c r="AB30" s="32">
        <v>121100</v>
      </c>
      <c r="AC30" s="68">
        <f>IF(AB30=0,"",(Y30-AB30)/ABS(AB30))</f>
        <v>0.54641618497109823</v>
      </c>
      <c r="AD30" s="55"/>
      <c r="AF30" s="67"/>
    </row>
    <row r="31" spans="2:34" x14ac:dyDescent="0.2">
      <c r="B31" s="3" t="s">
        <v>52</v>
      </c>
      <c r="C31" s="32">
        <v>54740</v>
      </c>
      <c r="D31" s="68">
        <f>IF($C$20=0," ",C31/$C$20)</f>
        <v>8.3056554017864589E-2</v>
      </c>
      <c r="E31" s="32">
        <v>53884</v>
      </c>
      <c r="F31" s="68">
        <f>+E31/$E$20</f>
        <v>0.22953193954574111</v>
      </c>
      <c r="G31" s="68">
        <f>IF(C31=0,"",(E31-C31)/ABS(C31)+1)</f>
        <v>0.98436244062842526</v>
      </c>
      <c r="H31" s="32">
        <v>33326</v>
      </c>
      <c r="I31" s="68">
        <f>+H31/$H$20</f>
        <v>0.18031988572417973</v>
      </c>
      <c r="J31" s="68">
        <f>IF(H31=0,"",(E31-H31)/ABS(H31))</f>
        <v>0.61687571265678454</v>
      </c>
      <c r="K31" s="32">
        <v>481206</v>
      </c>
      <c r="L31" s="68">
        <f>IF($K$20=0," ",K31/$K$20)</f>
        <v>0.11132528648784205</v>
      </c>
      <c r="M31" s="32">
        <v>473882</v>
      </c>
      <c r="N31" s="68">
        <f>+M31/$M$20</f>
        <v>0.18727575159154869</v>
      </c>
      <c r="O31" s="68">
        <f>IF(K31=0,"",(M31-K31)/ABS(K31)+1)</f>
        <v>0.98477990714995245</v>
      </c>
      <c r="P31" s="32">
        <v>275957</v>
      </c>
      <c r="Q31" s="68">
        <f>+P31/$P$20</f>
        <v>0.1382063331401816</v>
      </c>
      <c r="R31" s="68">
        <f>IF(P31=0,"",(M31-P31)/ABS(P31))</f>
        <v>0.71723130777621147</v>
      </c>
      <c r="T31" s="61"/>
      <c r="U31" s="61"/>
      <c r="V31" s="61" t="s">
        <v>61</v>
      </c>
      <c r="W31" s="61" t="s">
        <v>81</v>
      </c>
      <c r="X31" s="32"/>
      <c r="Y31" s="32" t="s">
        <v>61</v>
      </c>
      <c r="Z31" s="61"/>
      <c r="AA31" s="61"/>
      <c r="AB31" s="32"/>
      <c r="AC31" s="61"/>
      <c r="AD31" s="55"/>
    </row>
    <row r="32" spans="2:34" x14ac:dyDescent="0.2">
      <c r="B32" s="3" t="s">
        <v>53</v>
      </c>
      <c r="C32" s="32">
        <f>SUM(C30:C31)</f>
        <v>467799</v>
      </c>
      <c r="D32" s="68">
        <f>IF($C$20=0," ",C32/$C$20)</f>
        <v>0.70978759431865257</v>
      </c>
      <c r="E32" s="32">
        <f>SUM(E30:E31)</f>
        <v>195774</v>
      </c>
      <c r="F32" s="68">
        <f>+E32/$E$20</f>
        <v>0.83394673618565662</v>
      </c>
      <c r="G32" s="68">
        <f>IF(C32=0,"",(E32-C32)/ABS(C32)+1)</f>
        <v>0.41850025331392326</v>
      </c>
      <c r="H32" s="32">
        <v>137729</v>
      </c>
      <c r="I32" s="68">
        <f>+H32/$H$20</f>
        <v>0.74522227512769457</v>
      </c>
      <c r="J32" s="68">
        <f>IF(H32=0,"",(E32-H32)/ABS(H32))</f>
        <v>0.42144355945370982</v>
      </c>
      <c r="K32" s="32">
        <f>+K30+K31</f>
        <v>3415558</v>
      </c>
      <c r="L32" s="68">
        <f>IF($K$20=0," ",K32/$K$20)</f>
        <v>0.79017712344783897</v>
      </c>
      <c r="M32" s="32">
        <f>+M30+M31</f>
        <v>2041365</v>
      </c>
      <c r="N32" s="68">
        <f>+M32/$M$20</f>
        <v>0.80673704560983905</v>
      </c>
      <c r="O32" s="68">
        <f>IF(K32=0,"",(M32-K32)/ABS(K32)+1)</f>
        <v>0.59766661845590097</v>
      </c>
      <c r="P32" s="32">
        <v>1290517</v>
      </c>
      <c r="Q32" s="68">
        <f>+P32/$P$20</f>
        <v>0.64632396505639544</v>
      </c>
      <c r="R32" s="68">
        <f>IF(P32=0,"",(M32-P32)/ABS(P32))</f>
        <v>0.58181953434166311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521828</v>
      </c>
      <c r="D34" s="68">
        <f>IF($C$20=0," ",C34/$C$20)</f>
        <v>0.79176535385521096</v>
      </c>
      <c r="E34" s="32">
        <f>E28+E32</f>
        <v>256345</v>
      </c>
      <c r="F34" s="68">
        <f>+E34/$E$20</f>
        <v>1.0919635706861592</v>
      </c>
      <c r="G34" s="68">
        <f>IF(C34=0,"",(E34-C34)/ABS(C34)+1)</f>
        <v>0.49124424139754863</v>
      </c>
      <c r="H34" s="32">
        <v>163788</v>
      </c>
      <c r="I34" s="68">
        <f>+H34/$H$20</f>
        <v>0.88622197212362563</v>
      </c>
      <c r="J34" s="68">
        <f>IF(H34=0,"",(E34-H34)/ABS(H34))</f>
        <v>0.56510244950790045</v>
      </c>
      <c r="K34" s="32">
        <f>K28+K32</f>
        <v>3874495</v>
      </c>
      <c r="L34" s="68">
        <f>IF($K$20=0," ",K34/$K$20)</f>
        <v>0.89635055645754957</v>
      </c>
      <c r="M34" s="32">
        <f>M28+M32</f>
        <v>2475220</v>
      </c>
      <c r="N34" s="68">
        <f>+M34/$M$20</f>
        <v>0.97819433077102136</v>
      </c>
      <c r="O34" s="68">
        <f>IF(K34=0,"",(M34-K34)/ABS(K34)+1)</f>
        <v>0.63884970815551445</v>
      </c>
      <c r="P34" s="32">
        <v>1552422</v>
      </c>
      <c r="Q34" s="68">
        <f>+P34/$P$20</f>
        <v>0.77749269671052734</v>
      </c>
      <c r="R34" s="68">
        <f>IF(P34=0,"",(M34-P34)/ABS(P34))</f>
        <v>0.59442471183737411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137241</v>
      </c>
      <c r="D36" s="68">
        <f>IF($C$20=0," ",C36/$C$20)</f>
        <v>0.20823464614478909</v>
      </c>
      <c r="E36" s="32">
        <f>E24-E34</f>
        <v>-21589</v>
      </c>
      <c r="F36" s="68">
        <f>+E36/$E$20</f>
        <v>-9.1963570686159249E-2</v>
      </c>
      <c r="G36" s="68">
        <f>IF(C36=0,"",(E36-C36)/ABS(C36)+1)</f>
        <v>-0.15730721868829289</v>
      </c>
      <c r="H36" s="32">
        <v>21028</v>
      </c>
      <c r="I36" s="68">
        <f>+H36/$H$20</f>
        <v>0.11377802787637434</v>
      </c>
      <c r="J36" s="68">
        <f>IF(H36=0,"",(E36-H36)/ABS(H36))</f>
        <v>-2.0266787140954916</v>
      </c>
      <c r="K36" s="32">
        <f>K24-K34</f>
        <v>448027</v>
      </c>
      <c r="L36" s="68">
        <f>IF($K$20=0," ",K36/$K$20)</f>
        <v>0.10364944354245045</v>
      </c>
      <c r="M36" s="32">
        <f>M24-M34</f>
        <v>55177</v>
      </c>
      <c r="N36" s="68">
        <f>+M36/$M$20</f>
        <v>2.1805669228978693E-2</v>
      </c>
      <c r="O36" s="68">
        <f>IF(K36=0,"",(M36-K36)/ABS(K36)+1)</f>
        <v>0.12315552410903807</v>
      </c>
      <c r="P36" s="32">
        <v>444281</v>
      </c>
      <c r="Q36" s="68">
        <f>+P36/$P$20</f>
        <v>0.22250730328947269</v>
      </c>
      <c r="R36" s="68">
        <f>IF(P36=0,"",(M36-P36)/ABS(P36))</f>
        <v>-0.87580607768506868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>
        <f>IF($C$20=0," ",C38/$C$20)</f>
        <v>0</v>
      </c>
      <c r="E38" s="32">
        <v>80980</v>
      </c>
      <c r="F38" s="68">
        <f>+E38/$E$20</f>
        <v>0.34495390959123517</v>
      </c>
      <c r="G38" s="68" t="str">
        <f>IF(C38=0,"",(E38-C38)/ABS(C38)+1)</f>
        <v/>
      </c>
      <c r="H38" s="32">
        <v>17013</v>
      </c>
      <c r="I38" s="68">
        <f>+H38/$H$20</f>
        <v>9.2053718292788508E-2</v>
      </c>
      <c r="J38" s="68">
        <f>IF(H38=0,"",(E38-H38)/ABS(H38))</f>
        <v>3.7598894962675602</v>
      </c>
      <c r="K38" s="32">
        <f>+S28+C38</f>
        <v>0</v>
      </c>
      <c r="L38" s="68">
        <f>IF($K$20=0," ",K38/$K$20)</f>
        <v>0</v>
      </c>
      <c r="M38" s="32">
        <v>166545</v>
      </c>
      <c r="N38" s="68">
        <f>+M38/$M$20</f>
        <v>6.5817735319793694E-2</v>
      </c>
      <c r="O38" s="68" t="str">
        <f>IF(K38=0,"",(M38-K38)/ABS(K38)+1)</f>
        <v/>
      </c>
      <c r="P38" s="32">
        <v>302110</v>
      </c>
      <c r="Q38" s="68">
        <f>+P38/$P$20</f>
        <v>0.15130442534518154</v>
      </c>
      <c r="R38" s="68">
        <f>IF(P38=0,"",(M38-P38)/ABS(P38))</f>
        <v>-0.44872728476382773</v>
      </c>
      <c r="AD38" s="55"/>
    </row>
    <row r="39" spans="2:30" x14ac:dyDescent="0.2">
      <c r="B39" s="3" t="s">
        <v>57</v>
      </c>
      <c r="C39" s="32">
        <v>3757</v>
      </c>
      <c r="D39" s="68">
        <f>IF($C$20=0," ",C39/$C$20)</f>
        <v>5.7004653534000237E-3</v>
      </c>
      <c r="E39" s="32">
        <v>212</v>
      </c>
      <c r="F39" s="68">
        <f>+E39/$E$20</f>
        <v>9.0306531036480427E-4</v>
      </c>
      <c r="G39" s="68">
        <f>IF(C39=0,"",(E39-C39)/ABS(C39)+1)</f>
        <v>5.6428001064679267E-2</v>
      </c>
      <c r="H39" s="32">
        <v>4644</v>
      </c>
      <c r="I39" s="68">
        <f>+H39/$H$20</f>
        <v>2.5127694571898538E-2</v>
      </c>
      <c r="J39" s="68">
        <f>IF(H39=0,"",(E39-H39)/ABS(H39))</f>
        <v>-0.95434969853574503</v>
      </c>
      <c r="K39" s="32">
        <v>24638</v>
      </c>
      <c r="L39" s="68">
        <f>IF($K$20=0," ",K39/$K$20)</f>
        <v>5.69991315255307E-3</v>
      </c>
      <c r="M39" s="32">
        <v>32397</v>
      </c>
      <c r="N39" s="68">
        <f>+M39/$M$20</f>
        <v>1.2803129311329408E-2</v>
      </c>
      <c r="O39" s="68">
        <f>IF(K39=0,"",(M39-K39)/ABS(K39)+1)</f>
        <v>1.3149200422112184</v>
      </c>
      <c r="P39" s="32">
        <v>51086</v>
      </c>
      <c r="Q39" s="68">
        <f>+P39/$P$20</f>
        <v>2.5585177164555769E-2</v>
      </c>
      <c r="R39" s="68">
        <f>IF(P39=0,"",(M39-P39)/ABS(P39))</f>
        <v>-0.36583408370199272</v>
      </c>
    </row>
    <row r="41" spans="2:30" x14ac:dyDescent="0.2">
      <c r="B41" s="3" t="s">
        <v>58</v>
      </c>
      <c r="C41" s="32">
        <f>C36+C38-C39</f>
        <v>133484</v>
      </c>
      <c r="D41" s="68">
        <f>IF($C$20=0," ",C41/$C$20)</f>
        <v>0.20253418079138907</v>
      </c>
      <c r="E41" s="32">
        <f>E36+E38-E39</f>
        <v>59179</v>
      </c>
      <c r="F41" s="68">
        <f>+E41/$E$20</f>
        <v>0.25208727359471111</v>
      </c>
      <c r="G41" s="68">
        <f>IF(C41=0,"",(E41-C41)/ABS(C41)+1)</f>
        <v>0.44334152407779215</v>
      </c>
      <c r="H41" s="32">
        <v>33397</v>
      </c>
      <c r="I41" s="68">
        <f>+H41/$H$20</f>
        <v>0.1807040515972643</v>
      </c>
      <c r="J41" s="68">
        <f>IF(H41=0,"",(E41-H41)/ABS(H41))</f>
        <v>0.77198550768033058</v>
      </c>
      <c r="K41" s="32">
        <f>K36+K38-K39</f>
        <v>423389</v>
      </c>
      <c r="L41" s="68">
        <f>IF($K$20=0," ",K41/$K$20)</f>
        <v>9.7949530389897385E-2</v>
      </c>
      <c r="M41" s="32">
        <f>M36+M38-M39</f>
        <v>189325</v>
      </c>
      <c r="N41" s="68">
        <f>+M41/$M$20</f>
        <v>7.4820275237442974E-2</v>
      </c>
      <c r="O41" s="68">
        <f>IF(K41=0,"",(M41-K41)/ABS(K41)+1)</f>
        <v>0.44716560893173884</v>
      </c>
      <c r="P41" s="32">
        <v>695306</v>
      </c>
      <c r="Q41" s="68">
        <f>+P41/$P$20</f>
        <v>0.34822705229570949</v>
      </c>
      <c r="R41" s="68">
        <f>IF(P41=0,"",(M41-P41)/ABS(P41))</f>
        <v>-0.72770981409623969</v>
      </c>
    </row>
    <row r="42" spans="2:30" x14ac:dyDescent="0.2">
      <c r="B42" s="3" t="s">
        <v>44</v>
      </c>
      <c r="C42" s="32">
        <v>15094</v>
      </c>
      <c r="D42" s="68">
        <f>IF($C$20=0," ",C42/$C$20)</f>
        <v>2.2902002673468182E-2</v>
      </c>
      <c r="E42" s="32">
        <v>0</v>
      </c>
      <c r="F42" s="68">
        <f>+E42/$E$20</f>
        <v>0</v>
      </c>
      <c r="G42" s="68">
        <f>IF(C42=0,"",(E42-C42)/ABS(C42)+1)</f>
        <v>0</v>
      </c>
      <c r="H42" s="32"/>
      <c r="I42" s="68">
        <f>+H42/$H$20</f>
        <v>0</v>
      </c>
      <c r="J42" s="68" t="str">
        <f>IF(H42=0,"",(E42-H42)/ABS(H42))</f>
        <v/>
      </c>
      <c r="K42" s="32">
        <v>84719</v>
      </c>
      <c r="L42" s="68">
        <f>IF($K$20=0," ",K42/$K$20)</f>
        <v>1.9599437550578112E-2</v>
      </c>
      <c r="M42" s="32">
        <v>0</v>
      </c>
      <c r="N42" s="68">
        <f>+M42/$M$20</f>
        <v>0</v>
      </c>
      <c r="O42" s="68">
        <f>IF(K42=0,"",(M42-K42)/ABS(K42)+1)</f>
        <v>0</v>
      </c>
      <c r="P42" s="32"/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118390</v>
      </c>
      <c r="D43" s="72">
        <f>IF($C$20=0," ",C43/$C$20)</f>
        <v>0.1796321781179209</v>
      </c>
      <c r="E43" s="69">
        <f>+E41-E42</f>
        <v>59179</v>
      </c>
      <c r="F43" s="72">
        <f>+E43/$E$20</f>
        <v>0.25208727359471111</v>
      </c>
      <c r="G43" s="72">
        <f>IF(C43=0,"",(E43-C43)/ABS(C43)+1)</f>
        <v>0.49986485345046039</v>
      </c>
      <c r="H43" s="69">
        <v>33397</v>
      </c>
      <c r="I43" s="72">
        <f>+H43/$H$20</f>
        <v>0.1807040515972643</v>
      </c>
      <c r="J43" s="72">
        <f>IF(H43=0,"",(E43-H43)/ABS(H43))</f>
        <v>0.77198550768033058</v>
      </c>
      <c r="K43" s="69">
        <f>+K41-K42</f>
        <v>338670</v>
      </c>
      <c r="L43" s="72">
        <f>IF($K$20=0," ",K43/$K$20)</f>
        <v>7.8350092839319263E-2</v>
      </c>
      <c r="M43" s="69">
        <f>+M41-M42</f>
        <v>189325</v>
      </c>
      <c r="N43" s="72">
        <f>+M43/$M$20</f>
        <v>7.4820275237442974E-2</v>
      </c>
      <c r="O43" s="72">
        <f>IF(K43=0,"",(M43-K43)/ABS(K43)+1)</f>
        <v>0.55902500959636225</v>
      </c>
      <c r="P43" s="69">
        <v>695306</v>
      </c>
      <c r="Q43" s="72">
        <f>+P43/$P$20</f>
        <v>0.34822705229570949</v>
      </c>
      <c r="R43" s="72">
        <f>IF(P43=0,"",(M43-P43)/ABS(P43))</f>
        <v>-0.72770981409623969</v>
      </c>
    </row>
    <row r="45" spans="2:30" x14ac:dyDescent="0.2">
      <c r="B45" s="3" t="s">
        <v>60</v>
      </c>
      <c r="C45" s="32">
        <v>118392</v>
      </c>
      <c r="D45" s="68">
        <f>IF($C$20=0," ",C45/$C$20)</f>
        <v>0.17963521270155325</v>
      </c>
      <c r="E45" s="32">
        <v>59639</v>
      </c>
      <c r="F45" s="68">
        <f>+E45/$E$20</f>
        <v>0.25404675492852152</v>
      </c>
      <c r="G45" s="68">
        <f>IF(C45=0,"",(E45-C45)/ABS(C45)+1)</f>
        <v>0.50374180687884318</v>
      </c>
      <c r="H45" s="32">
        <v>33397</v>
      </c>
      <c r="I45" s="68">
        <f>+H45/$H$20</f>
        <v>0.1807040515972643</v>
      </c>
      <c r="J45" s="68">
        <f>IF(H45=0,"",(E45-H45)/ABS(H45))</f>
        <v>0.78575919992813725</v>
      </c>
      <c r="K45" s="32">
        <f>+K43</f>
        <v>338670</v>
      </c>
      <c r="L45" s="68">
        <f>IF($K$20=0," ",K45/$K$20)</f>
        <v>7.8350092839319263E-2</v>
      </c>
      <c r="M45" s="32">
        <v>194366</v>
      </c>
      <c r="N45" s="68">
        <f>+M45/$M$20</f>
        <v>7.6812452749509263E-2</v>
      </c>
      <c r="O45" s="68">
        <f>IF(K45=0,"",(M45-K45)/ABS(K45)+1)</f>
        <v>0.5739097056131337</v>
      </c>
      <c r="P45" s="32">
        <v>700347</v>
      </c>
      <c r="Q45" s="68">
        <f>+P45/$P$20</f>
        <v>0.3507517142008601</v>
      </c>
      <c r="R45" s="68">
        <f>IF(P45=0,"",(M45-P45)/ABS(P45))</f>
        <v>-0.7224718603777841</v>
      </c>
    </row>
    <row r="46" spans="2:30" x14ac:dyDescent="0.2">
      <c r="B46" s="3" t="s">
        <v>35</v>
      </c>
      <c r="C46" s="32">
        <v>135106</v>
      </c>
      <c r="D46" s="68"/>
      <c r="E46" s="32">
        <v>92686</v>
      </c>
      <c r="F46" s="68">
        <f>+E46/$E$20</f>
        <v>0.39481844979468045</v>
      </c>
      <c r="G46" s="68"/>
      <c r="H46" s="32">
        <v>61774</v>
      </c>
      <c r="I46" s="68">
        <f>+H46/$H$20</f>
        <v>0.33424595273136526</v>
      </c>
      <c r="J46" s="68"/>
      <c r="K46" s="102">
        <v>2351951</v>
      </c>
      <c r="L46" s="68"/>
      <c r="M46" s="32">
        <v>1018041</v>
      </c>
      <c r="N46" s="68">
        <f>+M46/$M$20</f>
        <v>0.40232461546547832</v>
      </c>
      <c r="O46" s="68">
        <f>IF(K46=0,"",(M46-K46)/ABS(K46)+1)</f>
        <v>0.43284957892405074</v>
      </c>
      <c r="P46" s="32">
        <v>646950</v>
      </c>
      <c r="Q46" s="68"/>
      <c r="R46" s="68">
        <f>IF(P46=0,"",(M46-P46)/ABS(P46))</f>
        <v>0.57360074194296318</v>
      </c>
    </row>
    <row r="47" spans="2:30" x14ac:dyDescent="0.2">
      <c r="B47" s="61"/>
      <c r="C47" s="61"/>
      <c r="D47" s="61"/>
      <c r="E47" s="61"/>
      <c r="F47" s="61"/>
      <c r="G47" s="61"/>
      <c r="H47" s="61"/>
      <c r="I47" s="61"/>
      <c r="J47" s="61"/>
      <c r="K47" s="61" t="s">
        <v>61</v>
      </c>
      <c r="L47" s="61"/>
      <c r="M47" s="32"/>
      <c r="N47" s="61"/>
      <c r="O47" s="61"/>
      <c r="P47" s="61"/>
      <c r="Q47" s="61"/>
      <c r="R47" s="61"/>
    </row>
    <row r="48" spans="2:30" x14ac:dyDescent="0.2">
      <c r="C48" s="2" t="s">
        <v>61</v>
      </c>
      <c r="E48" s="2" t="s">
        <v>61</v>
      </c>
      <c r="H48" s="67"/>
      <c r="M48" s="2" t="s">
        <v>61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B215B-30C9-4130-A2A4-DA39702A51AD}">
  <sheetPr>
    <tabColor theme="2" tint="-0.249977111117893"/>
  </sheetPr>
  <dimension ref="A1:AY82"/>
  <sheetViews>
    <sheetView showGridLines="0" topLeftCell="AI73" zoomScale="96" zoomScaleNormal="96" workbookViewId="0">
      <selection activeCell="AP77" sqref="AP77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121</v>
      </c>
      <c r="S3" s="54"/>
      <c r="T3" s="18" t="s">
        <v>121</v>
      </c>
      <c r="AF3" s="2" t="str">
        <f>+B6</f>
        <v>NOVIEMBRE de 2024</v>
      </c>
      <c r="AG3" s="2" t="s">
        <v>124</v>
      </c>
      <c r="AH3" s="103">
        <f>_xlfn.XLOOKUP(Paramet!E3,'VENEZUELA USD'!AL69:AL80,'VENEZUELA USD'!AM69:AM80,0,0)</f>
        <v>43.45</v>
      </c>
      <c r="AI3" s="2" t="s">
        <v>125</v>
      </c>
    </row>
    <row r="4" spans="1:35" x14ac:dyDescent="0.2">
      <c r="B4" s="2" t="s">
        <v>87</v>
      </c>
      <c r="S4" s="54"/>
      <c r="T4" s="3" t="s">
        <v>21</v>
      </c>
      <c r="AG4" s="2" t="s">
        <v>126</v>
      </c>
      <c r="AH4" s="103">
        <f>+AM54</f>
        <v>24.95</v>
      </c>
    </row>
    <row r="5" spans="1:35" ht="13.5" thickBot="1" x14ac:dyDescent="0.25">
      <c r="B5" s="3" t="s">
        <v>127</v>
      </c>
      <c r="S5" s="54"/>
      <c r="T5" s="3" t="s">
        <v>128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NOVIEMBRE de 2024</v>
      </c>
      <c r="C6" s="91"/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NOVIEMBRE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1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1"/>
      <c r="R7" s="51" t="s">
        <v>25</v>
      </c>
      <c r="S7" s="51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54"/>
      <c r="AE7" s="54"/>
      <c r="AH7" s="2">
        <v>2819322440</v>
      </c>
      <c r="AI7" s="104">
        <f>1/AH4</f>
        <v>4.0080160320641281E-2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5">
        <f>+AI7*AH7</f>
        <v>112998895.39078155</v>
      </c>
    </row>
    <row r="9" spans="1:35" x14ac:dyDescent="0.2">
      <c r="S9" s="68"/>
      <c r="AD9" s="68"/>
      <c r="AE9" s="68"/>
      <c r="AH9" s="2">
        <f>+AH7/AH4</f>
        <v>112998895.39078157</v>
      </c>
    </row>
    <row r="10" spans="1:35" x14ac:dyDescent="0.2">
      <c r="B10" s="3" t="s">
        <v>65</v>
      </c>
      <c r="C10" s="32">
        <f>'VZLA BFS'!C10/'VENEZUELA USD'!$AH$3</f>
        <v>9205.7997698504023</v>
      </c>
      <c r="D10" s="34" t="str">
        <f t="shared" ref="D10:D20" si="0">IF(DD19&lt;=0," ",C10/$C$20)</f>
        <v xml:space="preserve"> </v>
      </c>
      <c r="E10" s="32">
        <f>'VZLA BFS'!E10/'VENEZUELA USD'!$AH$3</f>
        <v>2363.7744533947066</v>
      </c>
      <c r="F10" s="34">
        <f t="shared" ref="F10:F20" si="1">+E10/$E$20</f>
        <v>0.43750106493550756</v>
      </c>
      <c r="G10" s="34">
        <f>IF(C10=0,"",(E10-C10)/ABS(C10)+1)</f>
        <v>0.25677013540270799</v>
      </c>
      <c r="H10" s="63">
        <f>+'VZLA BFS'!H10/'VENEZUELA USD'!$AH$4</f>
        <v>3943.4869739478959</v>
      </c>
      <c r="I10" s="34">
        <f t="shared" ref="I10:I20" si="2">IF($H$20&lt;=0," ",H10/$H$20)</f>
        <v>0.5323673275041122</v>
      </c>
      <c r="J10" s="34">
        <f>IF(E10=0,"",(E10-H10)/ABS(H10))</f>
        <v>-0.40058773643461809</v>
      </c>
      <c r="K10" s="32">
        <f>'VZLA BFS'!K10/'VENEZUELA USD'!$AH$3</f>
        <v>55514.79861910241</v>
      </c>
      <c r="L10" s="34">
        <f t="shared" ref="L10:L22" si="3">IF($K$20&lt;=0," ",K10/$K$20)</f>
        <v>0.55803486945815428</v>
      </c>
      <c r="M10" s="32">
        <f>'VZLA BFS'!M10/'VENEZUELA USD'!$AH$3</f>
        <v>25592.635212888377</v>
      </c>
      <c r="N10" s="34">
        <f t="shared" ref="N10:N15" si="4">+M10/$M$20</f>
        <v>0.43945673346909603</v>
      </c>
      <c r="O10" s="34">
        <f>IF(K10=0,"",(M10-K10)/ABS(K10)+1)</f>
        <v>0.46100563902760983</v>
      </c>
      <c r="P10" s="63">
        <f>+'VZLA BFS'!P10/'VENEZUELA USD'!$AH$4</f>
        <v>38460.561122244493</v>
      </c>
      <c r="Q10" s="34">
        <f t="shared" ref="Q10:Q22" si="5">IF($P$20&lt;=0," ",P10/$P$20)</f>
        <v>0.48058774890406841</v>
      </c>
      <c r="R10" s="34">
        <f>IF(M10=0,"",(M10-P10)/ABS(P10))</f>
        <v>-0.3345745754581223</v>
      </c>
      <c r="S10" s="68"/>
      <c r="T10" s="3" t="s">
        <v>31</v>
      </c>
      <c r="U10" s="32">
        <f>+'VZLA BFS'!U10/'VENEZUELA USD'!$AH$3</f>
        <v>5446.5362485615642</v>
      </c>
      <c r="V10" s="32">
        <f>+'VZLA BFS'!V10/'VENEZUELA USD'!$AH$3</f>
        <v>4538.8262370540851</v>
      </c>
      <c r="W10" s="32">
        <f>+'VZLA BFS'!W10/'VENEZUELA USD'!$AH$3</f>
        <v>3156.5937859608744</v>
      </c>
      <c r="X10" s="32">
        <f>+'VZLA BFS'!X10/'VENEZUELA USD'!$AH$3</f>
        <v>5446.5362485615642</v>
      </c>
      <c r="Y10" s="32">
        <f>+'VZLA BFS'!Y10/'VENEZUELA USD'!$AH$3</f>
        <v>5845.316455696202</v>
      </c>
      <c r="Z10" s="63">
        <f>+Y10-X10</f>
        <v>398.78020713463775</v>
      </c>
      <c r="AA10" s="68">
        <f>IF(X10=0,"",(Y10-X10)/ABS(X10)+1)</f>
        <v>1.073217213461116</v>
      </c>
      <c r="AB10" s="32">
        <f>+'VZLA BFS'!AB10/'VENEZUELA USD'!$AH$3</f>
        <v>852.15189873417717</v>
      </c>
      <c r="AC10" s="68">
        <f>IF(W10=0,"",(Y10-AB10)/ABS(AB10))</f>
        <v>5.8594771241830061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946.51323360184108</v>
      </c>
      <c r="D11" s="34" t="str">
        <f t="shared" si="0"/>
        <v xml:space="preserve"> </v>
      </c>
      <c r="E11" s="32">
        <f>'VZLA BFS'!E11/'VENEZUELA USD'!$AH$3</f>
        <v>1460.9666283084005</v>
      </c>
      <c r="F11" s="34">
        <f t="shared" si="1"/>
        <v>0.27040416432380854</v>
      </c>
      <c r="G11" s="34">
        <f t="shared" ref="G11:G22" si="6">IF(C11=0,"",(E11-C11)/ABS(C11)+1)</f>
        <v>1.543524777513009</v>
      </c>
      <c r="H11" s="63">
        <f>+'VZLA BFS'!H11/'VENEZUELA USD'!$AH$4</f>
        <v>771.58316633266531</v>
      </c>
      <c r="I11" s="34">
        <f t="shared" si="2"/>
        <v>0.10416305947537009</v>
      </c>
      <c r="J11" s="34">
        <f t="shared" ref="J11:J20" si="7">IF(E11=0,"",(E11-H11)/ABS(H11))</f>
        <v>0.89346617714895804</v>
      </c>
      <c r="K11" s="32">
        <f>'VZLA BFS'!K11/'VENEZUELA USD'!$AH$3</f>
        <v>7355.9723820483314</v>
      </c>
      <c r="L11" s="34">
        <f t="shared" si="3"/>
        <v>7.3942249455294845E-2</v>
      </c>
      <c r="M11" s="32">
        <f>'VZLA BFS'!M11/'VENEZUELA USD'!$AH$3</f>
        <v>8277.8365937859598</v>
      </c>
      <c r="N11" s="34">
        <f t="shared" si="4"/>
        <v>0.1421405415830006</v>
      </c>
      <c r="O11" s="34">
        <f t="shared" ref="O11:O22" si="8">IF(K11=0,"",(M11-K11)/ABS(K11)+1)</f>
        <v>1.1253218696126925</v>
      </c>
      <c r="P11" s="63">
        <f>+'VZLA BFS'!P11/'VENEZUELA USD'!$AH$4</f>
        <v>13167.895791583167</v>
      </c>
      <c r="Q11" s="34">
        <f t="shared" si="5"/>
        <v>0.16454074541882294</v>
      </c>
      <c r="R11" s="34">
        <f t="shared" ref="R11:R22" si="9">IF(M11=0,"",(M11-P11)/ABS(P11))</f>
        <v>-0.37136223396625762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7388.4234752589182</v>
      </c>
      <c r="W11" s="32">
        <f>+'VZLA BFS'!W11/'VENEZUELA USD'!$AH$3</f>
        <v>4643.8434982738781</v>
      </c>
      <c r="X11" s="32">
        <f>+'VZLA BFS'!X11/'VENEZUELA USD'!$AH$3</f>
        <v>0</v>
      </c>
      <c r="Y11" s="32">
        <f>+'VZLA BFS'!Y11/'VENEZUELA USD'!$AH$3</f>
        <v>53043.912543153048</v>
      </c>
      <c r="Z11" s="63">
        <f>+Y11-X11</f>
        <v>53043.912543153048</v>
      </c>
      <c r="AA11" s="68" t="str">
        <f>IF(X11=0,"",(Y11-X11)/ABS(X11)+1)</f>
        <v/>
      </c>
      <c r="AB11" s="32">
        <f>+'VZLA BFS'!AB11/'VENEZUELA USD'!$AH$3</f>
        <v>50164.994246260067</v>
      </c>
      <c r="AC11" s="68">
        <f>IF(AB11=0,"",(Y11-AB11)/ABS(AB11))</f>
        <v>5.7388988878586643E-2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2483.0609896432679</v>
      </c>
      <c r="D12" s="34" t="str">
        <f t="shared" si="0"/>
        <v xml:space="preserve"> </v>
      </c>
      <c r="E12" s="32">
        <f>'VZLA BFS'!E12/'VENEZUELA USD'!$AH$3</f>
        <v>822.02531645569616</v>
      </c>
      <c r="F12" s="34">
        <f t="shared" si="1"/>
        <v>0.1521452060863194</v>
      </c>
      <c r="G12" s="34">
        <f t="shared" si="6"/>
        <v>0.33105321209761884</v>
      </c>
      <c r="H12" s="63">
        <f>+'VZLA BFS'!H12/'VENEZUELA USD'!$AH$4</f>
        <v>1326.5731462925853</v>
      </c>
      <c r="I12" s="34">
        <f t="shared" si="2"/>
        <v>0.17908622630075319</v>
      </c>
      <c r="J12" s="34">
        <f t="shared" si="7"/>
        <v>-0.38033924570760719</v>
      </c>
      <c r="K12" s="32">
        <f>'VZLA BFS'!K12/'VENEZUELA USD'!$AH$3</f>
        <v>18630.379746835442</v>
      </c>
      <c r="L12" s="34">
        <f t="shared" si="3"/>
        <v>0.18727261538518486</v>
      </c>
      <c r="M12" s="32">
        <f>'VZLA BFS'!M12/'VENEZUELA USD'!$AH$3</f>
        <v>9355.3739930955107</v>
      </c>
      <c r="N12" s="34">
        <f t="shared" si="4"/>
        <v>0.1606431718026855</v>
      </c>
      <c r="O12" s="34">
        <f t="shared" si="8"/>
        <v>0.50215691361227432</v>
      </c>
      <c r="P12" s="63">
        <f>+'VZLA BFS'!P12/'VENEZUELA USD'!$AH$4</f>
        <v>12148.216432865733</v>
      </c>
      <c r="Q12" s="34">
        <f t="shared" si="5"/>
        <v>0.15179924104886908</v>
      </c>
      <c r="R12" s="34">
        <f t="shared" si="9"/>
        <v>-0.22989732321647463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946.51323360184108</v>
      </c>
      <c r="D13" s="34" t="str">
        <f t="shared" si="0"/>
        <v xml:space="preserve"> </v>
      </c>
      <c r="E13" s="32">
        <f>'VZLA BFS'!E13/'VENEZUELA USD'!$AH$3</f>
        <v>165.70771001150746</v>
      </c>
      <c r="F13" s="34">
        <f t="shared" si="1"/>
        <v>3.0670142616163163E-2</v>
      </c>
      <c r="G13" s="34">
        <f t="shared" si="6"/>
        <v>0.17507173077858285</v>
      </c>
      <c r="H13" s="63">
        <f>+'VZLA BFS'!H13/'VENEZUELA USD'!$AH$4</f>
        <v>0</v>
      </c>
      <c r="I13" s="34">
        <f t="shared" si="2"/>
        <v>0</v>
      </c>
      <c r="J13" s="34" t="e">
        <f t="shared" si="7"/>
        <v>#DIV/0!</v>
      </c>
      <c r="K13" s="32">
        <f>'VZLA BFS'!K13/'VENEZUELA USD'!$AH$3</f>
        <v>6163.4292289988489</v>
      </c>
      <c r="L13" s="34">
        <f t="shared" si="3"/>
        <v>6.1954803237554368E-2</v>
      </c>
      <c r="M13" s="32">
        <f>'VZLA BFS'!M13/'VENEZUELA USD'!$AH$3</f>
        <v>6056.1795166858456</v>
      </c>
      <c r="N13" s="34">
        <f t="shared" si="4"/>
        <v>0.10399198228578362</v>
      </c>
      <c r="O13" s="34">
        <f t="shared" si="8"/>
        <v>0.98259901942113737</v>
      </c>
      <c r="P13" s="63">
        <f>+'VZLA BFS'!P13/'VENEZUELA USD'!$AH$4</f>
        <v>3418.4769539078156</v>
      </c>
      <c r="Q13" s="34">
        <f t="shared" si="5"/>
        <v>4.271591718948687E-2</v>
      </c>
      <c r="R13" s="34">
        <f t="shared" si="9"/>
        <v>0.77160168061474066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4772.7733026467204</v>
      </c>
      <c r="AC13" s="68">
        <f>IF(AB13=0,"",(Y13-AB13)/ABS(AB13))</f>
        <v>-1</v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>
        <f t="shared" si="3"/>
        <v>0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1586.5592635212888</v>
      </c>
      <c r="D15" s="34" t="str">
        <f t="shared" si="0"/>
        <v xml:space="preserve"> </v>
      </c>
      <c r="E15" s="32">
        <f>'VZLA BFS'!E15/'VENEZUELA USD'!$AH$3</f>
        <v>590.42577675489065</v>
      </c>
      <c r="F15" s="34">
        <f t="shared" si="1"/>
        <v>0.10927942203820136</v>
      </c>
      <c r="G15" s="34">
        <f t="shared" si="6"/>
        <v>0.37214227689451085</v>
      </c>
      <c r="H15" s="63">
        <f>+'VZLA BFS'!H15/'VENEZUELA USD'!$AH$4</f>
        <v>1365.8116232464931</v>
      </c>
      <c r="I15" s="34">
        <f t="shared" si="2"/>
        <v>0.18438338671976454</v>
      </c>
      <c r="J15" s="34">
        <f t="shared" si="7"/>
        <v>-0.56771068081009124</v>
      </c>
      <c r="K15" s="32">
        <f>'VZLA BFS'!K15/'VENEZUELA USD'!$AH$3</f>
        <v>11818.089758342921</v>
      </c>
      <c r="L15" s="34">
        <f t="shared" si="3"/>
        <v>0.11879546246381162</v>
      </c>
      <c r="M15" s="32">
        <f>'VZLA BFS'!M15/'VENEZUELA USD'!$AH$3</f>
        <v>8954.9597238204824</v>
      </c>
      <c r="N15" s="34">
        <f t="shared" si="4"/>
        <v>0.15376757085943432</v>
      </c>
      <c r="O15" s="34">
        <f t="shared" si="8"/>
        <v>0.75773326374499517</v>
      </c>
      <c r="P15" s="63">
        <f>+'VZLA BFS'!P15/'VENEZUELA USD'!$AH$4</f>
        <v>12832.985971943888</v>
      </c>
      <c r="Q15" s="34">
        <f t="shared" si="5"/>
        <v>0.16035584661314176</v>
      </c>
      <c r="R15" s="34">
        <f t="shared" si="9"/>
        <v>-0.3021920429588047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3959.4246260069044</v>
      </c>
      <c r="W15" s="32">
        <f>+'VZLA BFS'!W15/'VENEZUELA USD'!$AH$3</f>
        <v>3301.5189873417721</v>
      </c>
      <c r="X15" s="32">
        <f>+'VZLA BFS'!X15/'VENEZUELA USD'!$AH$3</f>
        <v>0</v>
      </c>
      <c r="Y15" s="32">
        <f>+'VZLA BFS'!Y15/'VENEZUELA USD'!$AH$3</f>
        <v>20682.646720368237</v>
      </c>
      <c r="Z15" s="63">
        <f>+X15-Y15</f>
        <v>-20682.646720368237</v>
      </c>
      <c r="AA15" s="68" t="str">
        <f>IF(X15=0,"",(Y15-X15)/ABS(X15)+1)</f>
        <v/>
      </c>
      <c r="AB15" s="32">
        <f>+'VZLA BFS'!AB15/'VENEZUELA USD'!$AH$3</f>
        <v>14172.1749136939</v>
      </c>
      <c r="AC15" s="68">
        <f>IF(AB15=0,"",(Y15-AB15)/ABS(AB15))</f>
        <v>0.45938409921709172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>
        <f t="shared" si="3"/>
        <v>0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3228.6996547756039</v>
      </c>
      <c r="W16" s="32">
        <f>+'VZLA BFS'!W16/'VENEZUELA USD'!$AH$3</f>
        <v>1374.0161104718065</v>
      </c>
      <c r="X16" s="32">
        <f>+'VZLA BFS'!X16/'VENEZUELA USD'!$AH$3</f>
        <v>0</v>
      </c>
      <c r="Y16" s="32">
        <f>+'VZLA BFS'!Y16/'VENEZUELA USD'!$AH$3</f>
        <v>23146.006904487916</v>
      </c>
      <c r="Z16" s="63">
        <f>+X16-Y16</f>
        <v>-23146.006904487916</v>
      </c>
      <c r="AA16" s="68" t="str">
        <f>IF(X16=0,"",(Y16-X16)/ABS(X16)+1)</f>
        <v/>
      </c>
      <c r="AB16" s="32">
        <f>+'VZLA BFS'!AB16/'VENEZUELA USD'!$AH$3</f>
        <v>24330.701956271576</v>
      </c>
      <c r="AC16" s="68">
        <f>IF(AB16=0,"",(Y16-AB16)/ABS(AB16))</f>
        <v>-4.8691363443309446E-2</v>
      </c>
      <c r="AD16" s="68"/>
      <c r="AE16" s="68"/>
    </row>
    <row r="17" spans="2:33" x14ac:dyDescent="0.2">
      <c r="B17" s="3" t="s">
        <v>76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>
        <f t="shared" si="3"/>
        <v>0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7188.1242807825083</v>
      </c>
      <c r="W17" s="32">
        <f>+'VZLA BFS'!W17/'VENEZUELA USD'!$AH$3</f>
        <v>4675.5350978135784</v>
      </c>
      <c r="X17" s="32">
        <f>+'VZLA BFS'!X17/'VENEZUELA USD'!$AH$3</f>
        <v>0</v>
      </c>
      <c r="Y17" s="32">
        <f>+'VZLA BFS'!Y17/'VENEZUELA USD'!$AH$3</f>
        <v>43828.653624856153</v>
      </c>
      <c r="Z17" s="63">
        <f>+Y17-X17</f>
        <v>43828.653624856153</v>
      </c>
      <c r="AA17" s="68" t="str">
        <f>IF(X17=0,"",(Y17-X17)/ABS(X17)+1)</f>
        <v/>
      </c>
      <c r="AB17" s="32">
        <f>+'VZLA BFS'!AB17/'VENEZUELA USD'!$AH$3</f>
        <v>43275.650172612193</v>
      </c>
      <c r="AC17" s="68">
        <f>IF(AB17=0,"",(Y17-AB17)/ABS(AB17))</f>
        <v>1.2778628398145678E-2</v>
      </c>
      <c r="AD17" s="68"/>
      <c r="AE17" s="68"/>
    </row>
    <row r="18" spans="2:33" x14ac:dyDescent="0.2">
      <c r="B18" s="3" t="s">
        <v>123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>
        <f t="shared" si="3"/>
        <v>0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80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>
        <f t="shared" si="3"/>
        <v>0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200.29919447640987</v>
      </c>
      <c r="W19" s="32">
        <f>+'VZLA BFS'!W19/'VENEZUELA USD'!$AH$3</f>
        <v>-31.714614499424624</v>
      </c>
      <c r="X19" s="32">
        <f>+'VZLA BFS'!X19/'VENEZUELA USD'!$AH$3</f>
        <v>0</v>
      </c>
      <c r="Y19" s="32">
        <f>Y11-Y17</f>
        <v>9215.258918296895</v>
      </c>
      <c r="Z19" s="63">
        <f>+Y19-X19</f>
        <v>9215.258918296895</v>
      </c>
      <c r="AA19" s="68" t="str">
        <f>IF(X19=0,"",(Y19-X19)/ABS(X19)+1)</f>
        <v/>
      </c>
      <c r="AB19" s="32">
        <f>+'VZLA BFS'!AB19/'VENEZUELA USD'!$AH$3</f>
        <v>6889.3440736478706</v>
      </c>
      <c r="AC19" s="68">
        <f>IF(AB19=0,"",(Y19-AB19)/ABS(AB19))</f>
        <v>0.33761049234654716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15168.446490218641</v>
      </c>
      <c r="D20" s="34" t="str">
        <f t="shared" si="0"/>
        <v xml:space="preserve"> </v>
      </c>
      <c r="E20" s="32">
        <f>'VZLA BFS'!E20/'VENEZUELA USD'!$AH$3</f>
        <v>5402.8998849252011</v>
      </c>
      <c r="F20" s="34">
        <f t="shared" si="1"/>
        <v>1</v>
      </c>
      <c r="G20" s="34">
        <f t="shared" si="6"/>
        <v>0.35619335759988724</v>
      </c>
      <c r="H20" s="63">
        <f>+'VZLA BFS'!H20/'VENEZUELA USD'!$AH$4</f>
        <v>7407.4549098196394</v>
      </c>
      <c r="I20" s="34">
        <f t="shared" si="2"/>
        <v>1</v>
      </c>
      <c r="J20" s="34">
        <f t="shared" si="7"/>
        <v>-0.27061319296552372</v>
      </c>
      <c r="K20" s="32">
        <f>'VZLA BFS'!K20/'VENEZUELA USD'!$AH$3</f>
        <v>99482.66973532796</v>
      </c>
      <c r="L20" s="34">
        <f t="shared" si="3"/>
        <v>1</v>
      </c>
      <c r="M20" s="32">
        <f>'VZLA BFS'!M20/'VENEZUELA USD'!$AH$3</f>
        <v>58236.985040276173</v>
      </c>
      <c r="N20" s="34">
        <f>+M20/$M$20</f>
        <v>1</v>
      </c>
      <c r="O20" s="34">
        <f t="shared" si="8"/>
        <v>0.58539829294101908</v>
      </c>
      <c r="P20" s="63">
        <f>+'VZLA BFS'!P20/'VENEZUELA USD'!$AH$4</f>
        <v>80028.176352705414</v>
      </c>
      <c r="Q20" s="34">
        <f t="shared" si="5"/>
        <v>1</v>
      </c>
      <c r="R20" s="34">
        <f t="shared" si="9"/>
        <v>-0.27229398826220502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>
        <f t="shared" si="3"/>
        <v>0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5446.5362485615642</v>
      </c>
      <c r="V21" s="32">
        <f>+V10+V19</f>
        <v>4739.125431530495</v>
      </c>
      <c r="W21" s="32">
        <f>+'VZLA BFS'!W21/'VENEZUELA USD'!$AH$3</f>
        <v>3124.8791714614499</v>
      </c>
      <c r="X21" s="32">
        <f>+'VZLA BFS'!X21/'VENEZUELA USD'!$AH$3</f>
        <v>5446.5362485615642</v>
      </c>
      <c r="Y21" s="32">
        <f>+Y10+Y19</f>
        <v>15060.575373993097</v>
      </c>
      <c r="Z21" s="63">
        <f>+Y21-X21</f>
        <v>9614.0391254315327</v>
      </c>
      <c r="AA21" s="68">
        <f>IF(X21=0,"",(Y21-X21)/ABS(X21)+1)</f>
        <v>2.7651657285803637</v>
      </c>
      <c r="AB21" s="32">
        <f>+'VZLA BFS'!AB21/'VENEZUELA USD'!$AH$3</f>
        <v>7741.4959723820475</v>
      </c>
      <c r="AC21" s="68">
        <f>IF(AB21=0,"",(Y21-AB21)/ABS(AB21))</f>
        <v>0.94543476192741327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>
        <f t="shared" si="3"/>
        <v>0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5402.8998849252011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7407.4549098196394</v>
      </c>
      <c r="I24" s="34">
        <f>IF($H$20&lt;=0," ",H24/$H$20)</f>
        <v>1</v>
      </c>
      <c r="J24" s="34">
        <f>IF(E24=0,"",(E24-H24)/ABS(H24))</f>
        <v>-0.27061319296552372</v>
      </c>
      <c r="K24" s="32">
        <f>'VZLA BFS'!K22/'VENEZUELA USD'!$AH$3</f>
        <v>0</v>
      </c>
      <c r="L24" s="34">
        <f>IF($K$20&lt;=0," ",K24/$K$20)</f>
        <v>0</v>
      </c>
      <c r="M24" s="32">
        <f>'VZLA BFS'!M24/'VENEZUELA USD'!$AH$3</f>
        <v>58236.985040276173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80028.176352705414</v>
      </c>
      <c r="Q24" s="34">
        <f>IF($P$20&lt;=0," ",P24/$P$20)</f>
        <v>1</v>
      </c>
      <c r="R24" s="34">
        <f>IF(M24=0,"",(M24-P24)/ABS(P24))</f>
        <v>-0.27229398826220502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199.70080552359033</v>
      </c>
      <c r="X25" s="32">
        <f>+'VZLA BFS'!X25/'VENEZUELA USD'!$AH$3</f>
        <v>0</v>
      </c>
      <c r="Y25" s="32">
        <f>+'VZLA BFS'!Y25/'VENEZUELA USD'!$AH$3</f>
        <v>9908.5385500575376</v>
      </c>
      <c r="Z25" s="63">
        <f>+Y25-X25</f>
        <v>9908.5385500575376</v>
      </c>
      <c r="AA25" s="68" t="str">
        <f>IF(X25=0,"",(Y25-X25)/ABS(X25)+1)</f>
        <v/>
      </c>
      <c r="AB25" s="32">
        <f>+'VZLA BFS'!AB25/'VENEZUELA USD'!$AH$3</f>
        <v>4954.3843498273873</v>
      </c>
      <c r="AC25" s="68">
        <f>IF(AB25=0,"",(Y25-AB25)/ABS(AB25))</f>
        <v>0.9999535462771989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104.14269275028768</v>
      </c>
      <c r="F26" s="34">
        <f>+E26/$E$20</f>
        <v>1.9275332685852544E-2</v>
      </c>
      <c r="G26" s="34" t="str">
        <f>IF(C26=0,"",(E26-C26)/ABS(C26)+1)</f>
        <v/>
      </c>
      <c r="H26" s="63">
        <f>+'VZLA BFS'!H26/'VENEZUELA USD'!$AH$4</f>
        <v>115.71142284569139</v>
      </c>
      <c r="I26" s="34">
        <f>IF($H$20&lt;=0," ",H26/$H$20)</f>
        <v>1.5620941909791361E-2</v>
      </c>
      <c r="J26" s="34">
        <f>IF(E26=0,"",(E26-H26)/ABS(H26))</f>
        <v>-9.9979153405030316E-2</v>
      </c>
      <c r="K26" s="32">
        <f>'VZLA BFS'!K23/'VENEZUELA USD'!$AH$3</f>
        <v>0</v>
      </c>
      <c r="L26" s="34">
        <f>IF($K$20&lt;=0," ",K26/$K$20)</f>
        <v>0</v>
      </c>
      <c r="M26" s="32">
        <f>'VZLA BFS'!M26/'VENEZUELA USD'!$AH$3</f>
        <v>966.62830840046024</v>
      </c>
      <c r="N26" s="34">
        <f>+M26/$M$20</f>
        <v>1.6598185976350748E-2</v>
      </c>
      <c r="O26" s="34" t="str">
        <f>IF(K26=0,"",(M26-K26)/ABS(K26)+1)</f>
        <v/>
      </c>
      <c r="P26" s="63">
        <f>+'VZLA BFS'!P26/'VENEZUELA USD'!$AH$4</f>
        <v>1686.7735470941884</v>
      </c>
      <c r="Q26" s="34">
        <f>IF($P$20&lt;=0," ",P26/$P$20)</f>
        <v>2.1077245839766855E-2</v>
      </c>
      <c r="R26" s="34">
        <f>IF(M26=0,"",(M26-P26)/ABS(P26))</f>
        <v>-0.42693652620668926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15168.446490218641</v>
      </c>
      <c r="D27" s="34" t="str">
        <f>IF(DD33&lt;=0," ",C27/$C$20)</f>
        <v xml:space="preserve"> </v>
      </c>
      <c r="E27" s="32">
        <f>'VZLA BFS'!E27/'VENEZUELA USD'!$AH$3</f>
        <v>1289.8964326812427</v>
      </c>
      <c r="F27" s="34">
        <f>+E27/$E$20</f>
        <v>0.23874150181465009</v>
      </c>
      <c r="G27" s="34">
        <f>IF(C27=0,"",(E27-C27)/ABS(C27)+1)</f>
        <v>8.5038137129799685E-2</v>
      </c>
      <c r="H27" s="63">
        <f>+'VZLA BFS'!H27/'VENEZUELA USD'!$AH$4</f>
        <v>928.77755511022042</v>
      </c>
      <c r="I27" s="34">
        <f>IF($H$20&lt;=0," ",H27/$H$20)</f>
        <v>0.12538416587308457</v>
      </c>
      <c r="J27" s="34">
        <f>IF(E27=0,"",(E27-H27)/ABS(H27))</f>
        <v>0.38881094357213158</v>
      </c>
      <c r="K27" s="32">
        <f>'VZLA BFS'!K24/'VENEZUELA USD'!$AH$3</f>
        <v>99482.66973532796</v>
      </c>
      <c r="L27" s="34">
        <f>IF($K$20&lt;=0," ",K27/$K$20)</f>
        <v>1</v>
      </c>
      <c r="M27" s="32">
        <f>'VZLA BFS'!M27/'VENEZUELA USD'!$AH$3</f>
        <v>9018.5270425776744</v>
      </c>
      <c r="N27" s="34">
        <f>+M27/$M$20</f>
        <v>0.15485909918483146</v>
      </c>
      <c r="O27" s="34">
        <f>IF(K27=0,"",(M27-K27)/ABS(K27)+1)</f>
        <v>9.0654252309184225E-2</v>
      </c>
      <c r="P27" s="63">
        <f>+'VZLA BFS'!P27/'VENEZUELA USD'!$AH$4</f>
        <v>8810.4208416833662</v>
      </c>
      <c r="Q27" s="34">
        <f>IF($P$20&lt;=0," ",P27/$P$20)</f>
        <v>0.11009148581436497</v>
      </c>
      <c r="R27" s="34">
        <f>IF(M27=0,"",(M27-P27)/ABS(P27))</f>
        <v>2.3620460887603442E-2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1394.0391254315305</v>
      </c>
      <c r="F28" s="34">
        <f>+E28/$E$20</f>
        <v>0.25801683450050267</v>
      </c>
      <c r="G28" s="34" t="str">
        <f>IF(C28=0,"",(E28-C28)/ABS(C28)+1)</f>
        <v/>
      </c>
      <c r="H28" s="63">
        <f>+'VZLA BFS'!H28/'VENEZUELA USD'!$AH$4</f>
        <v>1044.4488977955912</v>
      </c>
      <c r="I28" s="34">
        <f>IF($H$20&lt;=0," ",H28/$H$20)</f>
        <v>0.1409996969959311</v>
      </c>
      <c r="J28" s="34">
        <f>IF(E28=0,"",(E28-H28)/ABS(H28))</f>
        <v>0.33471262057318724</v>
      </c>
      <c r="K28" s="32">
        <f>'VZLA BFS'!K25/'VENEZUELA USD'!$AH$3</f>
        <v>0</v>
      </c>
      <c r="L28" s="34">
        <f>IF($K$20&lt;=0," ",K28/$K$20)</f>
        <v>0</v>
      </c>
      <c r="M28" s="32">
        <f>'VZLA BFS'!M28/'VENEZUELA USD'!$AH$3</f>
        <v>9985.1553509781352</v>
      </c>
      <c r="N28" s="34">
        <f>+M28/$M$20</f>
        <v>0.17145728516118222</v>
      </c>
      <c r="O28" s="34" t="str">
        <f>IF(K28=0,"",(M28-K28)/ABS(K28)+1)</f>
        <v/>
      </c>
      <c r="P28" s="63">
        <f>+'VZLA BFS'!P28/'VENEZUELA USD'!$AH$4</f>
        <v>10497.194388777556</v>
      </c>
      <c r="Q28" s="34">
        <f>IF($P$20&lt;=0," ",P28/$P$20)</f>
        <v>0.13116873165413184</v>
      </c>
      <c r="R28" s="34">
        <f>IF(M28=0,"",(M28-P28)/ABS(P28))</f>
        <v>-4.8778656356677226E-2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405.40851553509776</v>
      </c>
      <c r="D30" s="34" t="str">
        <f>IF(DD35&lt;=0," ",C30/$C$20)</f>
        <v xml:space="preserve"> </v>
      </c>
      <c r="E30" s="32">
        <f>'VZLA BFS'!E30/'VENEZUELA USD'!$AH$3</f>
        <v>3265.5926352128881</v>
      </c>
      <c r="F30" s="34">
        <f>+E30/$E$20</f>
        <v>0.60441479663991549</v>
      </c>
      <c r="G30" s="34">
        <f>IF(C30=0,"",(E30-C30)/ABS(C30)+1)</f>
        <v>8.0550667045131998</v>
      </c>
      <c r="H30" s="63">
        <f>+'VZLA BFS'!H30/'VENEZUELA USD'!$AH$4</f>
        <v>4184.4889779559117</v>
      </c>
      <c r="I30" s="34">
        <f>IF($H$20&lt;=0," ",H30/$H$20)</f>
        <v>0.56490238940351478</v>
      </c>
      <c r="J30" s="34">
        <f>IF(E30=0,"",(E30-H30)/ABS(H30))</f>
        <v>-0.21959583298792601</v>
      </c>
      <c r="K30" s="32">
        <f>'VZLA BFS'!K26/'VENEZUELA USD'!$AH$3</f>
        <v>2568.7456846950518</v>
      </c>
      <c r="L30" s="34">
        <f>IF($K$20&lt;=0," ",K30/$K$20)</f>
        <v>2.5821036885410879E-2</v>
      </c>
      <c r="M30" s="32">
        <f>'VZLA BFS'!M30/'VENEZUELA USD'!$AH$3</f>
        <v>36075.558112773302</v>
      </c>
      <c r="N30" s="34">
        <f>+M30/$M$20</f>
        <v>0.61946129401829042</v>
      </c>
      <c r="O30" s="34">
        <f>IF(K30=0,"",(M30-K30)/ABS(K30)+1)</f>
        <v>14.044036483532237</v>
      </c>
      <c r="P30" s="63">
        <f>+'VZLA BFS'!P30/'VENEZUELA USD'!$AH$4</f>
        <v>40663.687374749497</v>
      </c>
      <c r="Q30" s="34">
        <f>IF($P$20&lt;=0," ",P30/$P$20)</f>
        <v>0.50811713109060286</v>
      </c>
      <c r="R30" s="34">
        <f>IF(M30=0,"",(M30-P30)/ABS(P30))</f>
        <v>-0.11283111685599957</v>
      </c>
      <c r="S30" s="68"/>
      <c r="T30" s="3" t="s">
        <v>51</v>
      </c>
      <c r="U30" s="32">
        <f>+'VZLA BFS'!U30/'VENEZUELA USD'!$AH$3</f>
        <v>5446.5362485615642</v>
      </c>
      <c r="V30" s="32">
        <f>+V21-V25-V23+V27</f>
        <v>3003.0354315304949</v>
      </c>
      <c r="W30" s="32">
        <f>+W21-W25-W23+W27</f>
        <v>2925.1783659378598</v>
      </c>
      <c r="X30" s="32">
        <f>+X21-X25-X23-X27</f>
        <v>5446.5362485615642</v>
      </c>
      <c r="Y30" s="32">
        <f>+Y21-Y25-Y23+Y27</f>
        <v>5152.0368239355594</v>
      </c>
      <c r="Z30" s="63">
        <f>+Y30-X30</f>
        <v>-294.49942462600484</v>
      </c>
      <c r="AA30" s="68">
        <f>IF(U30=0,"",(V30-U30)/ABS(U30)+1)</f>
        <v>0.55136609663134062</v>
      </c>
      <c r="AB30" s="32">
        <f>+AB21-AB25-AB23-AB27</f>
        <v>2787.1116225546602</v>
      </c>
      <c r="AC30" s="68">
        <f>IF(AB30=0,"",(Y30-AB30)/ABS(AB30))</f>
        <v>0.84852188274153661</v>
      </c>
    </row>
    <row r="31" spans="2:33" x14ac:dyDescent="0.2">
      <c r="B31" s="3" t="s">
        <v>52</v>
      </c>
      <c r="C31" s="32">
        <f>'VZLA BFS'!C27/'VENEZUELA USD'!$AH$3</f>
        <v>838.06674338319897</v>
      </c>
      <c r="D31" s="34" t="str">
        <f>IF(DD36&lt;=0," ",C31/$C$20)</f>
        <v xml:space="preserve"> </v>
      </c>
      <c r="E31" s="32">
        <f>'VZLA BFS'!E31/'VENEZUELA USD'!$AH$3</f>
        <v>1240.1380897583429</v>
      </c>
      <c r="F31" s="34">
        <f>+E31/$E$20</f>
        <v>0.22953193954574111</v>
      </c>
      <c r="G31" s="34">
        <f>IF(C31=0,"",(E31-C31)/ABS(C31)+1)</f>
        <v>1.479760531663646</v>
      </c>
      <c r="H31" s="63">
        <f>+'VZLA BFS'!H31/'VENEZUELA USD'!$AH$4</f>
        <v>1335.7114228456915</v>
      </c>
      <c r="I31" s="34">
        <f>IF($H$20&lt;=0," ",H31/$H$20)</f>
        <v>0.18031988572417973</v>
      </c>
      <c r="J31" s="34">
        <f>IF(E31=0,"",(E31-H31)/ABS(H31))</f>
        <v>-7.1552381339775178E-2</v>
      </c>
      <c r="K31" s="32">
        <f>'VZLA BFS'!K27/'VENEZUELA USD'!$AH$3</f>
        <v>7993.6708860759491</v>
      </c>
      <c r="L31" s="34">
        <f>IF($K$20&lt;=0," ",K31/$K$20)</f>
        <v>8.035239612429966E-2</v>
      </c>
      <c r="M31" s="32">
        <f>'VZLA BFS'!M31/'VENEZUELA USD'!$AH$3</f>
        <v>10906.375143843497</v>
      </c>
      <c r="N31" s="34">
        <f>+M31/$M$20</f>
        <v>0.18727575159154869</v>
      </c>
      <c r="O31" s="34">
        <f>IF(K31=0,"",(M31-K31)/ABS(K31)+1)</f>
        <v>1.3643763046138342</v>
      </c>
      <c r="P31" s="63">
        <f>+'VZLA BFS'!P31/'VENEZUELA USD'!$AH$4</f>
        <v>11060.400801603208</v>
      </c>
      <c r="Q31" s="34">
        <f>IF($P$20&lt;=0," ",P31/$P$20)</f>
        <v>0.1382063331401816</v>
      </c>
      <c r="R31" s="34">
        <f>IF(M31=0,"",(M31-P31)/ABS(P31))</f>
        <v>-1.3925865845420729E-2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1243.4752589182967</v>
      </c>
      <c r="D32" s="34" t="str">
        <f>IF(DD37&lt;=0," ",C32/$C$20)</f>
        <v xml:space="preserve"> </v>
      </c>
      <c r="E32" s="32">
        <f>'VZLA BFS'!E32/'VENEZUELA USD'!$AH$3</f>
        <v>4505.7307249712312</v>
      </c>
      <c r="F32" s="34">
        <f>+E32/$E$20</f>
        <v>0.83394673618565662</v>
      </c>
      <c r="G32" s="34">
        <f>IF(C32=0,"",(E32-C32)/ABS(C32)+1)</f>
        <v>3.6234984915508344</v>
      </c>
      <c r="H32" s="63">
        <f>+'VZLA BFS'!H32/'VENEZUELA USD'!$AH$4</f>
        <v>5520.2004008016038</v>
      </c>
      <c r="I32" s="34">
        <f>IF($H$20&lt;=0," ",H32/$H$20)</f>
        <v>0.74522227512769468</v>
      </c>
      <c r="J32" s="34">
        <f>IF(E32=0,"",(E32-H32)/ABS(H32))</f>
        <v>-0.18377406655074671</v>
      </c>
      <c r="K32" s="32">
        <f>'VZLA BFS'!K28/'VENEZUELA USD'!$AH$3</f>
        <v>10562.416570771</v>
      </c>
      <c r="L32" s="34">
        <f>IF($K$20&lt;=0," ",K32/$K$20)</f>
        <v>0.10617343300971052</v>
      </c>
      <c r="M32" s="32">
        <f>'VZLA BFS'!M32/'VENEZUELA USD'!$AH$3</f>
        <v>46981.933256616801</v>
      </c>
      <c r="N32" s="34">
        <f>+M32/$M$20</f>
        <v>0.80673704560983917</v>
      </c>
      <c r="O32" s="34">
        <f>IF(K32=0,"",(M32-K32)/ABS(K32)+1)</f>
        <v>4.4480288144124369</v>
      </c>
      <c r="P32" s="63">
        <f>+'VZLA BFS'!P32/'VENEZUELA USD'!$AH$4</f>
        <v>51724.128256513024</v>
      </c>
      <c r="Q32" s="34">
        <f>IF($P$20&lt;=0," ",P32/$P$20)</f>
        <v>0.64632396505639544</v>
      </c>
      <c r="R32" s="34">
        <f>IF(M32=0,"",(M32-P32)/ABS(P32))</f>
        <v>-9.1682453813015069E-2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5899.7698504027612</v>
      </c>
      <c r="F34" s="34">
        <f>+E34/$E$20</f>
        <v>1.0919635706861592</v>
      </c>
      <c r="G34" s="34" t="str">
        <f>IF(C34=0,"",(E34-C34)/ABS(C34)+1)</f>
        <v/>
      </c>
      <c r="H34" s="63">
        <f>+'VZLA BFS'!H34/'VENEZUELA USD'!$AH$4</f>
        <v>6564.6492985971945</v>
      </c>
      <c r="I34" s="34">
        <f>IF($H$20&lt;=0," ",H34/$H$20)</f>
        <v>0.88622197212362563</v>
      </c>
      <c r="J34" s="34">
        <f>IF(E34=0,"",(E34-H34)/ABS(H34))</f>
        <v>-0.1012817925150262</v>
      </c>
      <c r="K34" s="32">
        <f>'VZLA BFS'!K29/'VENEZUELA USD'!$AH$3</f>
        <v>0</v>
      </c>
      <c r="L34" s="34">
        <f>IF($K$20&lt;=0," ",K34/$K$20)</f>
        <v>0</v>
      </c>
      <c r="M34" s="32">
        <f>'VZLA BFS'!M34/'VENEZUELA USD'!$AH$3</f>
        <v>56967.088607594931</v>
      </c>
      <c r="N34" s="34">
        <f>+M34/$M$20</f>
        <v>0.97819433077102136</v>
      </c>
      <c r="O34" s="34" t="str">
        <f>IF(K34=0,"",(M34-K34)/ABS(K34)+1)</f>
        <v/>
      </c>
      <c r="P34" s="63">
        <f>+'VZLA BFS'!P34/'VENEZUELA USD'!$AH$4</f>
        <v>62221.32264529058</v>
      </c>
      <c r="Q34" s="34">
        <f>IF($P$20&lt;=0," ",P34/$P$20)</f>
        <v>0.77749269671052723</v>
      </c>
      <c r="R34" s="34">
        <f>IF(M34=0,"",(M34-P34)/ABS(P34))</f>
        <v>-8.4444267886248994E-2</v>
      </c>
      <c r="S34" s="68"/>
      <c r="AL34" s="79" t="s">
        <v>129</v>
      </c>
      <c r="AT34" s="79" t="s">
        <v>130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6" t="s">
        <v>6</v>
      </c>
      <c r="AM35" s="107">
        <v>1788641</v>
      </c>
      <c r="AN35"/>
      <c r="AO35"/>
      <c r="AP35"/>
      <c r="AQ35"/>
      <c r="AT35" s="106" t="s">
        <v>6</v>
      </c>
      <c r="AU35" s="107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9506.5362485615642</v>
      </c>
      <c r="D36" s="34" t="str">
        <f>IF(DD39&lt;=0," ",C36/$C$20)</f>
        <v xml:space="preserve"> </v>
      </c>
      <c r="E36" s="32">
        <f>'VZLA BFS'!E36/'VENEZUELA USD'!$AH$3</f>
        <v>-496.86996547756036</v>
      </c>
      <c r="F36" s="34">
        <f>+E36/$E$20</f>
        <v>-9.1963570686159235E-2</v>
      </c>
      <c r="G36" s="34">
        <f>IF(C36=0,"",(E36-C36)/ABS(C36)+1)</f>
        <v>-5.226614115659034E-2</v>
      </c>
      <c r="H36" s="63">
        <f>+'VZLA BFS'!H36/'VENEZUELA USD'!$AH$4</f>
        <v>842.8056112224449</v>
      </c>
      <c r="I36" s="34">
        <f>IF($H$20&lt;=0," ",H36/$H$20)</f>
        <v>0.11377802787637434</v>
      </c>
      <c r="J36" s="34">
        <f>IF(E36=0,"",(E36-H36)/ABS(H36))</f>
        <v>-1.5895427828925779</v>
      </c>
      <c r="K36" s="32">
        <f>'VZLA BFS'!K30/'VENEZUELA USD'!$AH$3</f>
        <v>67533.99309551208</v>
      </c>
      <c r="L36" s="34">
        <f>IF($K$20&lt;=0," ",K36/$K$20)</f>
        <v>0.67885183695999696</v>
      </c>
      <c r="M36" s="32">
        <f>'VZLA BFS'!M36/'VENEZUELA USD'!$AH$3</f>
        <v>1269.8964326812427</v>
      </c>
      <c r="N36" s="34">
        <f>+M36/$M$20</f>
        <v>2.1805669228978693E-2</v>
      </c>
      <c r="O36" s="34">
        <f>IF(K36=0,"",(M36-K36)/ABS(K36)+1)</f>
        <v>1.8803810858410985E-2</v>
      </c>
      <c r="P36" s="63">
        <f>+'VZLA BFS'!P36/'VENEZUELA USD'!$AH$4</f>
        <v>17806.85370741483</v>
      </c>
      <c r="Q36" s="34">
        <f>IF($P$20&lt;=0," ",P36/$P$20)</f>
        <v>0.22250730328947269</v>
      </c>
      <c r="R36" s="34">
        <f>IF(M36=0,"",(M36-P36)/ABS(P36))</f>
        <v>-0.92868496290546532</v>
      </c>
      <c r="AL36" s="106" t="s">
        <v>9</v>
      </c>
      <c r="AM36" s="107">
        <v>1899023</v>
      </c>
      <c r="AN36"/>
      <c r="AO36"/>
      <c r="AP36"/>
      <c r="AQ36"/>
      <c r="AT36" s="106" t="s">
        <v>9</v>
      </c>
      <c r="AU36" s="107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6" t="s">
        <v>10</v>
      </c>
      <c r="AM37" s="107">
        <v>2115582</v>
      </c>
      <c r="AN37"/>
      <c r="AO37"/>
      <c r="AP37"/>
      <c r="AQ37"/>
      <c r="AT37" s="106" t="s">
        <v>10</v>
      </c>
      <c r="AU37" s="107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1259.8388952819332</v>
      </c>
      <c r="D38" s="34" t="str">
        <f>IF(DD40&lt;=0," ",C38/$C$20)</f>
        <v xml:space="preserve"> </v>
      </c>
      <c r="E38" s="32">
        <f>'VZLA BFS'!E38/'VENEZUELA USD'!$AH$3</f>
        <v>1863.7514384349827</v>
      </c>
      <c r="F38" s="34">
        <f>+E38/$E$20</f>
        <v>0.34495390959123517</v>
      </c>
      <c r="G38" s="34">
        <f>IF(C38=0,"",(E38-C38)/ABS(C38)+1)</f>
        <v>1.4793569601753744</v>
      </c>
      <c r="H38" s="63">
        <f>+'VZLA BFS'!H38/'VENEZUELA USD'!$AH$4</f>
        <v>681.88376753507021</v>
      </c>
      <c r="I38" s="34">
        <f>IF($H$20&lt;=0," ",H38/$H$20)</f>
        <v>9.2053718292788508E-2</v>
      </c>
      <c r="J38" s="34">
        <f>IF(E38=0,"",(E38-H38)/ABS(H38))</f>
        <v>1.7332391929085293</v>
      </c>
      <c r="K38" s="32">
        <f>'VZLA BFS'!K31/'VENEZUELA USD'!$AH$3</f>
        <v>11074.93670886076</v>
      </c>
      <c r="L38" s="34">
        <f>IF($K$20&lt;=0," ",K38/$K$20)</f>
        <v>0.11132528648784205</v>
      </c>
      <c r="M38" s="32">
        <f>'VZLA BFS'!M38/'VENEZUELA USD'!$AH$3</f>
        <v>3833.0264672036819</v>
      </c>
      <c r="N38" s="34">
        <f>+M38/$M$20</f>
        <v>6.5817735319793694E-2</v>
      </c>
      <c r="O38" s="34">
        <f>IF(K38=0,"",(M38-K38)/ABS(K38)+1)</f>
        <v>0.34609917582075034</v>
      </c>
      <c r="P38" s="63">
        <f>+'VZLA BFS'!P38/'VENEZUELA USD'!$AH$4</f>
        <v>12108.617234468938</v>
      </c>
      <c r="Q38" s="34">
        <f>IF($P$20&lt;=0," ",P38/$P$20)</f>
        <v>0.15130442534518154</v>
      </c>
      <c r="R38" s="34">
        <f>IF(M38=0,"",(M38-P38)/ABS(P38))</f>
        <v>-0.68344639251685868</v>
      </c>
      <c r="AL38" s="106" t="s">
        <v>11</v>
      </c>
      <c r="AM38" s="107">
        <v>2900823</v>
      </c>
      <c r="AN38"/>
      <c r="AO38"/>
      <c r="AP38"/>
      <c r="AQ38"/>
      <c r="AT38" s="106" t="s">
        <v>11</v>
      </c>
      <c r="AU38" s="107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10766.375143843497</v>
      </c>
      <c r="D39" s="34" t="str">
        <f>IF(DD41&lt;=0," ",C39/$C$20)</f>
        <v xml:space="preserve"> </v>
      </c>
      <c r="E39" s="32">
        <f>'VZLA BFS'!E39/'VENEZUELA USD'!$AH$3</f>
        <v>4.8791714614499417</v>
      </c>
      <c r="F39" s="34">
        <f>+E39/$E$20</f>
        <v>9.0306531036480427E-4</v>
      </c>
      <c r="G39" s="34">
        <f>IF(C39=0,"",(E39-C39)/ABS(C39)+1)</f>
        <v>4.5318609060740478E-4</v>
      </c>
      <c r="H39" s="63">
        <f>+'VZLA BFS'!H39/'VENEZUELA USD'!$AH$4</f>
        <v>186.13226452905812</v>
      </c>
      <c r="I39" s="34">
        <f>IF($H$20&lt;=0," ",H39/$H$20)</f>
        <v>2.5127694571898538E-2</v>
      </c>
      <c r="J39" s="34">
        <f>IF(E39=0,"",(E39-H39)/ABS(H39))</f>
        <v>-0.97378653575297669</v>
      </c>
      <c r="K39" s="32">
        <f>'VZLA BFS'!K32/'VENEZUELA USD'!$AH$3</f>
        <v>78608.929804372834</v>
      </c>
      <c r="L39" s="34">
        <f>IF($K$20&lt;=0," ",K39/$K$20)</f>
        <v>0.79017712344783897</v>
      </c>
      <c r="M39" s="32">
        <f>'VZLA BFS'!M39/'VENEZUELA USD'!$AH$3</f>
        <v>745.61565017261216</v>
      </c>
      <c r="N39" s="34">
        <f>+M39/$M$20</f>
        <v>1.2803129311329408E-2</v>
      </c>
      <c r="O39" s="34">
        <f>IF(K39=0,"",(M39-K39)/ABS(K39)+1)</f>
        <v>9.4851265883933999E-3</v>
      </c>
      <c r="P39" s="63">
        <f>+'VZLA BFS'!P39/'VENEZUELA USD'!$AH$4</f>
        <v>2047.5350701402806</v>
      </c>
      <c r="Q39" s="34">
        <f>IF($P$20&lt;=0," ",P39/$P$20)</f>
        <v>2.5585177164555769E-2</v>
      </c>
      <c r="R39" s="34">
        <f>IF(M39=0,"",(M39-P39)/ABS(P39))</f>
        <v>-0.63584718960563225</v>
      </c>
      <c r="AL39" s="106" t="s">
        <v>12</v>
      </c>
      <c r="AM39" s="107">
        <v>3143738</v>
      </c>
      <c r="AN39"/>
      <c r="AO39"/>
      <c r="AP39"/>
      <c r="AQ39"/>
      <c r="AT39" s="106" t="s">
        <v>12</v>
      </c>
      <c r="AU39" s="107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6" t="s">
        <v>13</v>
      </c>
      <c r="AM40" s="107">
        <v>3267940</v>
      </c>
      <c r="AN40"/>
      <c r="AO40"/>
      <c r="AP40"/>
      <c r="AQ40"/>
      <c r="AT40" s="106" t="s">
        <v>13</v>
      </c>
      <c r="AU40" s="107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1362.0023014959722</v>
      </c>
      <c r="F41" s="34">
        <f>+E41/$E$20</f>
        <v>0.25208727359471111</v>
      </c>
      <c r="G41" s="34" t="str">
        <f>IF(C41=0,"",(E41-C41)/ABS(C41)+1)</f>
        <v/>
      </c>
      <c r="H41" s="63">
        <f>+'VZLA BFS'!H41/'VENEZUELA USD'!$AH$4</f>
        <v>1338.5571142284568</v>
      </c>
      <c r="I41" s="34">
        <f>IF($H$20&lt;=0," ",H41/$H$20)</f>
        <v>0.1807040515972643</v>
      </c>
      <c r="J41" s="34">
        <f>IF(E41=0,"",(E41-H41)/ABS(H41))</f>
        <v>1.751526850688712E-2</v>
      </c>
      <c r="K41" s="32">
        <f>'VZLA BFS'!K33/'VENEZUELA USD'!$AH$3</f>
        <v>0</v>
      </c>
      <c r="L41" s="34">
        <f>IF($K$20&lt;=0," ",K41/$K$20)</f>
        <v>0</v>
      </c>
      <c r="M41" s="32">
        <f>'VZLA BFS'!M41/'VENEZUELA USD'!$AH$3</f>
        <v>4357.307249712313</v>
      </c>
      <c r="N41" s="34">
        <f>+M41/$M$20</f>
        <v>7.4820275237442987E-2</v>
      </c>
      <c r="O41" s="34" t="str">
        <f>IF(K41=0,"",(M41-K41)/ABS(K41)+1)</f>
        <v/>
      </c>
      <c r="P41" s="63">
        <f>+'VZLA BFS'!P41/'VENEZUELA USD'!$AH$4</f>
        <v>27867.975951903809</v>
      </c>
      <c r="Q41" s="34">
        <f>IF($P$20&lt;=0," ",P41/$P$20)</f>
        <v>0.34822705229570949</v>
      </c>
      <c r="R41" s="34">
        <f>IF(M41=0,"",(M41-P41)/ABS(P41))</f>
        <v>-0.8436446458389224</v>
      </c>
      <c r="AL41" s="106" t="s">
        <v>14</v>
      </c>
      <c r="AM41" s="107">
        <v>4139112</v>
      </c>
      <c r="AN41"/>
      <c r="AO41"/>
      <c r="AP41"/>
      <c r="AQ41"/>
      <c r="AT41" s="106" t="s">
        <v>14</v>
      </c>
      <c r="AU41" s="107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12009.850402761795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>
        <f>IF(C42=0,"",(E42-C42)/ABS(C42)+1)</f>
        <v>0</v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89171.346375143839</v>
      </c>
      <c r="L42" s="34">
        <f>IF($K$20&lt;=0," ",K42/$K$20)</f>
        <v>0.89635055645754957</v>
      </c>
      <c r="M42" s="32">
        <f>'VZLA BFS'!M42/'VENEZUELA USD'!$AH$3</f>
        <v>0</v>
      </c>
      <c r="N42" s="34">
        <f>+M42/$M$20</f>
        <v>0</v>
      </c>
      <c r="O42" s="34">
        <f>IF(K42=0,"",(M42-K42)/ABS(K42)+1)</f>
        <v>0</v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6" t="s">
        <v>15</v>
      </c>
      <c r="AM42" s="107">
        <v>4148043</v>
      </c>
      <c r="AN42"/>
      <c r="AO42"/>
      <c r="AP42"/>
      <c r="AQ42"/>
      <c r="AT42" s="106" t="s">
        <v>15</v>
      </c>
      <c r="AU42" s="107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1362.0023014959722</v>
      </c>
      <c r="F43" s="34">
        <f>+E43/$E$20</f>
        <v>0.25208727359471111</v>
      </c>
      <c r="G43" s="34" t="str">
        <f>IF(C43=0,"",(E43-C43)/ABS(C43)+1)</f>
        <v/>
      </c>
      <c r="H43" s="63">
        <f>+'VZLA BFS'!H43/'VENEZUELA USD'!$AH$4</f>
        <v>1338.5571142284568</v>
      </c>
      <c r="I43" s="34">
        <f>IF($H$20&lt;=0," ",H43/$H$20)</f>
        <v>0.1807040515972643</v>
      </c>
      <c r="J43" s="34">
        <f>IF(E43=0,"",(E43-H43)/ABS(H43))</f>
        <v>1.751526850688712E-2</v>
      </c>
      <c r="K43" s="32">
        <f>'VZLA BFS'!K35/'VENEZUELA USD'!$AH$3</f>
        <v>0</v>
      </c>
      <c r="L43" s="34">
        <f>IF($K$20&lt;=0," ",K43/$K$20)</f>
        <v>0</v>
      </c>
      <c r="M43" s="32">
        <f>'VZLA BFS'!M43/'VENEZUELA USD'!$AH$3</f>
        <v>4357.307249712313</v>
      </c>
      <c r="N43" s="34">
        <f>+M43/$M$20</f>
        <v>7.4820275237442987E-2</v>
      </c>
      <c r="O43" s="34" t="str">
        <f>IF(K43=0,"",(M43-K43)/ABS(K43)+1)</f>
        <v/>
      </c>
      <c r="P43" s="63">
        <f>+'VZLA BFS'!P43/'VENEZUELA USD'!$AH$4</f>
        <v>27867.975951903809</v>
      </c>
      <c r="Q43" s="34">
        <f>IF($P$20&lt;=0," ",P43/$P$20)</f>
        <v>0.34822705229570949</v>
      </c>
      <c r="R43" s="34">
        <f>IF(M43=0,"",(M43-P43)/ABS(P43))</f>
        <v>-0.8436446458389224</v>
      </c>
      <c r="AL43" s="106" t="s">
        <v>16</v>
      </c>
      <c r="AM43" s="107">
        <v>4549688</v>
      </c>
      <c r="AN43"/>
      <c r="AO43"/>
      <c r="AP43"/>
      <c r="AQ43"/>
      <c r="AT43" s="106" t="s">
        <v>16</v>
      </c>
      <c r="AU43" s="107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6" t="s">
        <v>17</v>
      </c>
      <c r="AM44" s="107">
        <v>4.5599999999999996</v>
      </c>
      <c r="AN44"/>
      <c r="AO44"/>
      <c r="AP44"/>
      <c r="AQ44"/>
      <c r="AT44" s="106" t="s">
        <v>17</v>
      </c>
      <c r="AU44" s="107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3158.5960874568468</v>
      </c>
      <c r="D45" s="34" t="str">
        <f>IF(DD45&lt;=0," ",C45/$C$20)</f>
        <v xml:space="preserve"> </v>
      </c>
      <c r="E45" s="32">
        <f>'VZLA BFS'!E45/'VENEZUELA USD'!$AH$3</f>
        <v>1372.5891829689297</v>
      </c>
      <c r="F45" s="34">
        <f>+E45/$E$20</f>
        <v>0.25404675492852152</v>
      </c>
      <c r="G45" s="34">
        <f>IF(C45=0,"",(E45-C45)/ABS(C45)+1)</f>
        <v>0.43455672867437567</v>
      </c>
      <c r="H45" s="63">
        <f>+'VZLA BFS'!H45/'VENEZUELA USD'!$AH$4</f>
        <v>1338.5571142284568</v>
      </c>
      <c r="I45" s="34">
        <f>IF($H$20&lt;=0," ",H45/$H$20)</f>
        <v>0.1807040515972643</v>
      </c>
      <c r="J45" s="34">
        <f>IF(E45=0,"",(E45-H45)/ABS(H45))</f>
        <v>2.5424442766559779E-2</v>
      </c>
      <c r="K45" s="32">
        <f>'VZLA BFS'!K36/'VENEZUELA USD'!$AH$3</f>
        <v>10311.323360184118</v>
      </c>
      <c r="L45" s="34">
        <f>IF($K$20&lt;=0," ",K45/$K$20)</f>
        <v>0.10364944354245044</v>
      </c>
      <c r="M45" s="32">
        <f>'VZLA BFS'!M45/'VENEZUELA USD'!$AH$3</f>
        <v>4473.3256616800918</v>
      </c>
      <c r="N45" s="34">
        <f>+M45/$M$20</f>
        <v>7.6812452749509277E-2</v>
      </c>
      <c r="O45" s="34">
        <f>IF(K45=0,"",(M45-K45)/ABS(K45)+1)</f>
        <v>0.43382653277592653</v>
      </c>
      <c r="P45" s="63">
        <f>+'VZLA BFS'!P45/'VENEZUELA USD'!$AH$4</f>
        <v>28070.020040080162</v>
      </c>
      <c r="Q45" s="34">
        <f>IF($P$20&lt;=0," ",P45/$P$20)</f>
        <v>0.35075171420086015</v>
      </c>
      <c r="R45" s="34">
        <f>IF(M45=0,"",(M45-P45)/ABS(P45))</f>
        <v>-0.84063689105697847</v>
      </c>
      <c r="AL45" s="106" t="s">
        <v>7</v>
      </c>
      <c r="AM45" s="107">
        <v>4.99</v>
      </c>
      <c r="AN45"/>
      <c r="AO45"/>
      <c r="AP45" s="108" t="s">
        <v>131</v>
      </c>
      <c r="AQ45" t="s">
        <v>132</v>
      </c>
      <c r="AT45" s="106" t="s">
        <v>7</v>
      </c>
      <c r="AU45" s="107">
        <v>13.1</v>
      </c>
      <c r="AV45"/>
      <c r="AW45"/>
      <c r="AX45" s="108" t="s">
        <v>131</v>
      </c>
      <c r="AY45" t="s">
        <v>132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2133.164556962025</v>
      </c>
      <c r="F46" s="34">
        <f>+E46/$E$20</f>
        <v>0.39481844979468039</v>
      </c>
      <c r="G46" s="34" t="str">
        <f>IF(C46=0,"",(E46-C46)/ABS(C46)+1)</f>
        <v/>
      </c>
      <c r="H46" s="63">
        <f>+'VZLA BFS'!H46/'VENEZUELA USD'!$AH$4</f>
        <v>2475.9118236472946</v>
      </c>
      <c r="I46" s="34">
        <f>IF($H$20&lt;=0," ",H46/$H$20)</f>
        <v>0.33424595273136526</v>
      </c>
      <c r="J46" s="34">
        <f>IF(E46=0,"",(E46-H46)/ABS(H46))</f>
        <v>-0.13843274361053964</v>
      </c>
      <c r="K46" s="32">
        <f>'VZLA BFS'!K37/'VENEZUELA USD'!$AH$3</f>
        <v>0</v>
      </c>
      <c r="L46" s="34">
        <f>IF($K$20&lt;=0," ",K46/$K$20)</f>
        <v>0</v>
      </c>
      <c r="M46" s="32">
        <f>'VZLA BFS'!M46/'VENEZUELA USD'!$AH$3</f>
        <v>23430.172612197926</v>
      </c>
      <c r="N46" s="34">
        <f>+M46/$M$20</f>
        <v>0.40232461546547832</v>
      </c>
      <c r="O46" s="34" t="str">
        <f>IF(K46=0,"",(M46-K46)/ABS(K46)+1)</f>
        <v/>
      </c>
      <c r="P46" s="63">
        <f>+'VZLA BFS'!P46/'VENEZUELA USD'!$AH$4</f>
        <v>25929.859719438879</v>
      </c>
      <c r="Q46" s="34">
        <f>IF($P$20&lt;=0," ",P46/$P$20)</f>
        <v>0.32400912904923768</v>
      </c>
      <c r="R46" s="34">
        <f>IF(M46=0,"",(M46-P46)/ABS(P46))</f>
        <v>-9.6401875455076516E-2</v>
      </c>
      <c r="AL46" s="106" t="s">
        <v>18</v>
      </c>
      <c r="AM46" s="107">
        <v>4.6900000000000004</v>
      </c>
      <c r="AN46" s="109">
        <f>1/AM46</f>
        <v>0.21321961620469082</v>
      </c>
      <c r="AO46" t="s">
        <v>133</v>
      </c>
      <c r="AP46">
        <v>11272</v>
      </c>
      <c r="AQ46" s="110">
        <f>+AP46*AN46</f>
        <v>2403.4115138592751</v>
      </c>
      <c r="AT46" s="106" t="s">
        <v>18</v>
      </c>
      <c r="AU46" s="107">
        <v>18.600000000000001</v>
      </c>
      <c r="AV46" s="109">
        <f>1/AU46</f>
        <v>5.3763440860215048E-2</v>
      </c>
      <c r="AW46" t="s">
        <v>133</v>
      </c>
      <c r="AX46" s="111">
        <v>11272</v>
      </c>
      <c r="AY46" s="110">
        <f>+AX46*AV46</f>
        <v>606.02150537634407</v>
      </c>
    </row>
    <row r="47" spans="2:51" ht="15" x14ac:dyDescent="0.25">
      <c r="E47" s="53"/>
      <c r="M47" s="53"/>
      <c r="P47" s="63">
        <f>+'VZLA BFS'!P47/'VENEZUELA USD'!$AH$4</f>
        <v>0</v>
      </c>
      <c r="AL47" t="s">
        <v>134</v>
      </c>
      <c r="AM47" s="112">
        <f>AVERAGE(AM35:AM46)</f>
        <v>2329383.6866666665</v>
      </c>
      <c r="AN47" s="109">
        <f>1/AM47</f>
        <v>4.2929810392507461E-7</v>
      </c>
      <c r="AO47" t="s">
        <v>135</v>
      </c>
      <c r="AP47" s="113">
        <v>11272</v>
      </c>
      <c r="AQ47" s="114">
        <f>+AP47*AN47</f>
        <v>4.8390482274434411E-3</v>
      </c>
      <c r="AT47" t="s">
        <v>134</v>
      </c>
      <c r="AU47" s="112">
        <f>AVERAGE(AU35:AU46)</f>
        <v>7.725833333333334</v>
      </c>
      <c r="AV47" s="109">
        <f>1/AU47</f>
        <v>0.12943587531010678</v>
      </c>
      <c r="AW47" t="s">
        <v>135</v>
      </c>
      <c r="AX47" s="113">
        <v>11272</v>
      </c>
      <c r="AY47" s="114">
        <f>+AX47*AV47</f>
        <v>1459.0011864955236</v>
      </c>
    </row>
    <row r="51" spans="35:43" x14ac:dyDescent="0.2">
      <c r="AL51" s="79" t="s">
        <v>136</v>
      </c>
    </row>
    <row r="52" spans="35:43" ht="15" x14ac:dyDescent="0.25">
      <c r="AL52" s="106" t="s">
        <v>6</v>
      </c>
      <c r="AM52" s="107">
        <v>23.11</v>
      </c>
      <c r="AN52"/>
      <c r="AO52"/>
      <c r="AP52"/>
      <c r="AQ52"/>
    </row>
    <row r="53" spans="35:43" ht="15" x14ac:dyDescent="0.25">
      <c r="AL53" s="106" t="s">
        <v>9</v>
      </c>
      <c r="AM53" s="107">
        <v>25.1</v>
      </c>
      <c r="AN53"/>
      <c r="AO53"/>
      <c r="AP53"/>
      <c r="AQ53"/>
    </row>
    <row r="54" spans="35:43" ht="15" x14ac:dyDescent="0.25">
      <c r="AL54" s="106" t="s">
        <v>10</v>
      </c>
      <c r="AM54" s="107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06" t="s">
        <v>11</v>
      </c>
      <c r="AM55" s="107">
        <v>28.23</v>
      </c>
      <c r="AN55"/>
      <c r="AO55"/>
      <c r="AP55"/>
      <c r="AQ55"/>
    </row>
    <row r="56" spans="35:43" ht="15" x14ac:dyDescent="0.25">
      <c r="AL56" s="106" t="s">
        <v>12</v>
      </c>
      <c r="AM56" s="107">
        <v>28.23</v>
      </c>
      <c r="AN56"/>
      <c r="AO56"/>
      <c r="AP56"/>
      <c r="AQ56"/>
    </row>
    <row r="57" spans="35:43" ht="15" x14ac:dyDescent="0.25">
      <c r="AL57" s="106" t="s">
        <v>13</v>
      </c>
      <c r="AM57" s="107">
        <v>28.35</v>
      </c>
      <c r="AN57"/>
      <c r="AO57"/>
      <c r="AP57"/>
      <c r="AQ57"/>
    </row>
    <row r="58" spans="35:43" ht="15" x14ac:dyDescent="0.25">
      <c r="AL58" s="106" t="s">
        <v>14</v>
      </c>
      <c r="AM58" s="107">
        <v>33.93</v>
      </c>
      <c r="AN58"/>
      <c r="AO58"/>
      <c r="AP58"/>
      <c r="AQ58"/>
    </row>
    <row r="59" spans="35:43" ht="15" x14ac:dyDescent="0.25">
      <c r="AL59" s="106" t="s">
        <v>15</v>
      </c>
      <c r="AM59" s="107">
        <v>34.659999999999997</v>
      </c>
      <c r="AN59"/>
      <c r="AO59"/>
      <c r="AP59"/>
      <c r="AQ59"/>
    </row>
    <row r="60" spans="35:43" ht="15" x14ac:dyDescent="0.25">
      <c r="AL60" s="106" t="s">
        <v>16</v>
      </c>
      <c r="AM60" s="107">
        <v>35.74</v>
      </c>
      <c r="AN60"/>
      <c r="AO60"/>
      <c r="AP60"/>
      <c r="AQ60"/>
    </row>
    <row r="61" spans="35:43" ht="15" x14ac:dyDescent="0.25">
      <c r="AL61" s="106" t="s">
        <v>17</v>
      </c>
      <c r="AM61" s="107">
        <v>37.29</v>
      </c>
      <c r="AN61"/>
      <c r="AO61"/>
      <c r="AP61"/>
      <c r="AQ61"/>
    </row>
    <row r="62" spans="35:43" ht="23.25" x14ac:dyDescent="0.25">
      <c r="AL62" s="106" t="s">
        <v>7</v>
      </c>
      <c r="AM62" s="107">
        <v>37.950000000000003</v>
      </c>
      <c r="AN62"/>
      <c r="AO62"/>
      <c r="AP62" s="108" t="s">
        <v>131</v>
      </c>
      <c r="AQ62" t="s">
        <v>132</v>
      </c>
    </row>
    <row r="63" spans="35:43" ht="15" x14ac:dyDescent="0.25">
      <c r="AL63" s="106" t="s">
        <v>18</v>
      </c>
      <c r="AM63" s="107">
        <v>39.08</v>
      </c>
      <c r="AN63" s="109">
        <f>1/AM63</f>
        <v>2.5588536335721598E-2</v>
      </c>
      <c r="AO63" t="s">
        <v>133</v>
      </c>
      <c r="AP63" s="111">
        <v>394358</v>
      </c>
      <c r="AQ63" s="110">
        <f>+AP63*AN63</f>
        <v>10091.044012282498</v>
      </c>
    </row>
    <row r="64" spans="35:43" ht="15" x14ac:dyDescent="0.25">
      <c r="AL64" t="s">
        <v>134</v>
      </c>
      <c r="AM64" s="112">
        <f>AVERAGE(AM52:AM63)</f>
        <v>31.385000000000002</v>
      </c>
      <c r="AN64" s="109">
        <f>1/AM64</f>
        <v>3.186235462800701E-2</v>
      </c>
      <c r="AO64" t="s">
        <v>135</v>
      </c>
      <c r="AP64" s="111">
        <v>394358</v>
      </c>
      <c r="AQ64" s="114">
        <f>+AP64*AN64</f>
        <v>12565.174446391589</v>
      </c>
    </row>
    <row r="69" spans="38:43" x14ac:dyDescent="0.2">
      <c r="AL69" s="79" t="s">
        <v>137</v>
      </c>
    </row>
    <row r="70" spans="38:43" ht="15" x14ac:dyDescent="0.25">
      <c r="AL70" s="106" t="s">
        <v>6</v>
      </c>
      <c r="AM70" s="107">
        <v>38.53</v>
      </c>
      <c r="AN70"/>
      <c r="AO70"/>
      <c r="AP70"/>
      <c r="AQ70"/>
    </row>
    <row r="71" spans="38:43" ht="15" x14ac:dyDescent="0.25">
      <c r="AL71" s="106" t="s">
        <v>9</v>
      </c>
      <c r="AM71" s="107">
        <v>38.92</v>
      </c>
      <c r="AN71"/>
      <c r="AO71"/>
      <c r="AP71"/>
      <c r="AQ71"/>
    </row>
    <row r="72" spans="38:43" ht="15" x14ac:dyDescent="0.25">
      <c r="AL72" s="106" t="s">
        <v>10</v>
      </c>
      <c r="AM72" s="107">
        <v>39.119999999999997</v>
      </c>
      <c r="AN72"/>
      <c r="AO72"/>
      <c r="AP72"/>
      <c r="AQ72"/>
    </row>
    <row r="73" spans="38:43" ht="15" x14ac:dyDescent="0.25">
      <c r="AL73" s="106" t="s">
        <v>11</v>
      </c>
      <c r="AM73" s="107">
        <v>40.86</v>
      </c>
      <c r="AN73"/>
      <c r="AO73"/>
      <c r="AP73"/>
      <c r="AQ73"/>
    </row>
    <row r="74" spans="38:43" ht="15" x14ac:dyDescent="0.25">
      <c r="AL74" s="106" t="s">
        <v>12</v>
      </c>
      <c r="AM74" s="107">
        <v>36.46</v>
      </c>
      <c r="AN74"/>
      <c r="AO74"/>
      <c r="AP74"/>
      <c r="AQ74"/>
    </row>
    <row r="75" spans="38:43" ht="15" x14ac:dyDescent="0.25">
      <c r="AL75" s="106" t="s">
        <v>13</v>
      </c>
      <c r="AM75" s="107">
        <v>40.46</v>
      </c>
      <c r="AN75"/>
      <c r="AO75"/>
      <c r="AP75"/>
      <c r="AQ75"/>
    </row>
    <row r="76" spans="38:43" ht="15" x14ac:dyDescent="0.25">
      <c r="AL76" s="106" t="s">
        <v>14</v>
      </c>
      <c r="AM76" s="107">
        <v>45.57</v>
      </c>
      <c r="AN76"/>
      <c r="AO76"/>
      <c r="AP76"/>
      <c r="AQ76"/>
    </row>
    <row r="77" spans="38:43" ht="15" x14ac:dyDescent="0.25">
      <c r="AL77" s="106" t="s">
        <v>15</v>
      </c>
      <c r="AM77" s="107">
        <v>43.18</v>
      </c>
      <c r="AN77"/>
      <c r="AO77"/>
      <c r="AP77"/>
      <c r="AQ77"/>
    </row>
    <row r="78" spans="38:43" ht="15" x14ac:dyDescent="0.25">
      <c r="AL78" s="106" t="s">
        <v>16</v>
      </c>
      <c r="AM78" s="107">
        <v>43.1</v>
      </c>
      <c r="AN78"/>
      <c r="AO78"/>
      <c r="AP78"/>
      <c r="AQ78"/>
    </row>
    <row r="79" spans="38:43" ht="15" x14ac:dyDescent="0.25">
      <c r="AL79" s="106" t="s">
        <v>17</v>
      </c>
      <c r="AM79" s="107">
        <v>43.45</v>
      </c>
      <c r="AN79"/>
      <c r="AO79"/>
      <c r="AP79"/>
      <c r="AQ79"/>
    </row>
    <row r="80" spans="38:43" ht="23.25" x14ac:dyDescent="0.25">
      <c r="AL80" s="106" t="s">
        <v>7</v>
      </c>
      <c r="AM80" s="107">
        <v>43.45</v>
      </c>
      <c r="AN80"/>
      <c r="AO80"/>
      <c r="AP80" s="108" t="s">
        <v>131</v>
      </c>
      <c r="AQ80" t="s">
        <v>132</v>
      </c>
    </row>
    <row r="81" spans="38:43" ht="15" x14ac:dyDescent="0.25">
      <c r="AL81" s="106" t="s">
        <v>18</v>
      </c>
      <c r="AM81" s="107"/>
      <c r="AN81" s="109" t="e">
        <f>1/AM81</f>
        <v>#DIV/0!</v>
      </c>
      <c r="AO81" t="s">
        <v>133</v>
      </c>
      <c r="AP81" s="111"/>
      <c r="AQ81" s="110" t="e">
        <f>+AP81*AN81</f>
        <v>#DIV/0!</v>
      </c>
    </row>
    <row r="82" spans="38:43" ht="15" x14ac:dyDescent="0.25">
      <c r="AL82" t="s">
        <v>134</v>
      </c>
      <c r="AM82" s="112">
        <f>AVERAGE(AM70:AM81)</f>
        <v>41.190909090909095</v>
      </c>
      <c r="AN82" s="109">
        <f>1/AM82</f>
        <v>2.4277201500772453E-2</v>
      </c>
      <c r="AO82" t="s">
        <v>135</v>
      </c>
      <c r="AP82" s="111"/>
      <c r="AQ82" s="114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31637-03C8-44DF-854B-83A4972A9E80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138</v>
      </c>
      <c r="T3" s="18" t="s">
        <v>138</v>
      </c>
    </row>
    <row r="4" spans="1:34" ht="14.25" customHeight="1" x14ac:dyDescent="0.2">
      <c r="A4" s="78" t="str">
        <f>+Paramet!A3</f>
        <v>202301</v>
      </c>
      <c r="B4" s="2" t="s">
        <v>20</v>
      </c>
      <c r="K4" s="115"/>
      <c r="L4" s="115"/>
      <c r="M4" s="115"/>
      <c r="N4" s="115"/>
      <c r="O4" s="115"/>
      <c r="P4" s="115"/>
      <c r="Q4" s="115"/>
      <c r="R4" s="115"/>
      <c r="S4" s="115"/>
      <c r="T4" s="3" t="s">
        <v>21</v>
      </c>
    </row>
    <row r="5" spans="1:34" ht="14.25" customHeight="1" x14ac:dyDescent="0.2">
      <c r="A5" s="78" t="str">
        <f>+Paramet!A4</f>
        <v>202311</v>
      </c>
      <c r="B5" s="3" t="s">
        <v>139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139</v>
      </c>
    </row>
    <row r="6" spans="1:34" ht="14.25" customHeight="1" thickBot="1" x14ac:dyDescent="0.25">
      <c r="A6" s="78" t="str">
        <f>+Paramet!B3</f>
        <v>202401</v>
      </c>
      <c r="B6" s="20" t="str">
        <f>+'COLOMB$ '!B6</f>
        <v>NOVIEMBRE de 2024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NOVIEMBRE de 2024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202411</v>
      </c>
      <c r="B7" s="61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T7" s="54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116" t="str">
        <f>+K7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7123.1</v>
      </c>
      <c r="Y10" s="32">
        <v>7123.1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-0.27865807779203411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76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78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80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7123.1</v>
      </c>
      <c r="Y21" s="32">
        <f>+Y10+Y19</f>
        <v>7123.1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-0.86529126879167984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140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7123.1</v>
      </c>
      <c r="Y30" s="69">
        <f>Y21-Y23-Y25-Y27-Y28</f>
        <v>7123.1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141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2100</v>
      </c>
      <c r="I31" s="34" t="str">
        <f t="shared" si="6"/>
        <v/>
      </c>
      <c r="J31" s="34">
        <f>IF(H31=0,"",(E31-H31)/ABS(H31))</f>
        <v>-1</v>
      </c>
      <c r="K31" s="32">
        <f>+K27</f>
        <v>0</v>
      </c>
      <c r="L31" s="34" t="str">
        <f>IF($K$20&lt;=0," ",K31/$K$20)</f>
        <v xml:space="preserve"> </v>
      </c>
      <c r="M31" s="32">
        <v>2250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2100</v>
      </c>
      <c r="Q31" s="34" t="e">
        <f>+P31/$P$20</f>
        <v>#DIV/0!</v>
      </c>
      <c r="R31" s="34">
        <f t="shared" si="9"/>
        <v>7.1428571428571425E-2</v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2100</v>
      </c>
      <c r="I32" s="34" t="str">
        <f t="shared" si="6"/>
        <v/>
      </c>
      <c r="J32" s="34">
        <f>IF(H32=0,"",(E32-H32)/ABS(H32))</f>
        <v>-1</v>
      </c>
      <c r="K32" s="32">
        <f>+K28</f>
        <v>0</v>
      </c>
      <c r="L32" s="34" t="str">
        <f>IF($K$20&lt;=0," ",K32/$K$20)</f>
        <v xml:space="preserve"> </v>
      </c>
      <c r="M32" s="32">
        <f>SUM(M30:M31)</f>
        <v>2250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2100</v>
      </c>
      <c r="Q32" s="34" t="e">
        <f>+P32/$P$20</f>
        <v>#DIV/0!</v>
      </c>
      <c r="R32" s="34">
        <f t="shared" si="9"/>
        <v>7.1428571428571425E-2</v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2100</v>
      </c>
      <c r="I34" s="34" t="str">
        <f t="shared" si="6"/>
        <v/>
      </c>
      <c r="J34" s="34">
        <f>IF(H34=0,"",(E34-H34)/ABS(H34))</f>
        <v>-1</v>
      </c>
      <c r="K34" s="32">
        <f>+K30</f>
        <v>0</v>
      </c>
      <c r="L34" s="34" t="str">
        <f>IF($K$20&lt;=0," ",K34/$K$20)</f>
        <v xml:space="preserve"> </v>
      </c>
      <c r="M34" s="32">
        <f>M28+M32</f>
        <v>2250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2100</v>
      </c>
      <c r="Q34" s="34" t="e">
        <f>+P34/$P$20</f>
        <v>#DIV/0!</v>
      </c>
      <c r="R34" s="34">
        <f t="shared" si="9"/>
        <v>7.1428571428571425E-2</v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-2100</v>
      </c>
      <c r="I36" s="34" t="str">
        <f t="shared" si="6"/>
        <v/>
      </c>
      <c r="J36" s="45">
        <f>IF(H36=0,"",(E36-H36)/ABS(H36))</f>
        <v>1</v>
      </c>
      <c r="K36" s="69">
        <f>+K31</f>
        <v>0</v>
      </c>
      <c r="L36" s="45" t="str">
        <f>IF($K$20&lt;=0," ",K36/$K$20)</f>
        <v xml:space="preserve"> </v>
      </c>
      <c r="M36" s="69">
        <f>+M24-M34</f>
        <v>-2250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-2100</v>
      </c>
      <c r="Q36" s="45" t="e">
        <f>+P36/$P$20</f>
        <v>#DIV/0!</v>
      </c>
      <c r="R36" s="45">
        <f t="shared" si="9"/>
        <v>-7.1428571428571425E-2</v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125</v>
      </c>
      <c r="I39" s="34" t="str">
        <f t="shared" si="6"/>
        <v/>
      </c>
      <c r="J39" s="34">
        <f>IF(H39=0,"",(E39-H39)/ABS(H39))</f>
        <v>-1</v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359.07</v>
      </c>
      <c r="Q39" s="34" t="e">
        <f>+P39/$P$20</f>
        <v>#DIV/0!</v>
      </c>
      <c r="R39" s="34">
        <f t="shared" si="9"/>
        <v>-1</v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-2225</v>
      </c>
      <c r="I41" s="34" t="str">
        <f t="shared" si="6"/>
        <v/>
      </c>
      <c r="J41" s="34">
        <f>IF(H41=0,"",(E41-H41)/ABS(H41))</f>
        <v>1</v>
      </c>
      <c r="K41" s="32">
        <f>+K36</f>
        <v>0</v>
      </c>
      <c r="L41" s="34" t="str">
        <f>IF($K$20&lt;=0," ",K41/$K$20)</f>
        <v xml:space="preserve"> </v>
      </c>
      <c r="M41" s="32">
        <f>+M36-M39+M38</f>
        <v>-2250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-2459.0700000000002</v>
      </c>
      <c r="Q41" s="34" t="e">
        <f>+P41/$P$20</f>
        <v>#DIV/0!</v>
      </c>
      <c r="R41" s="34">
        <f t="shared" si="9"/>
        <v>8.5019946565164942E-2</v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-2225</v>
      </c>
      <c r="I43" s="34" t="str">
        <f t="shared" si="6"/>
        <v/>
      </c>
      <c r="J43" s="45">
        <f>IF(H43=0,"",(E43-H43)/ABS(H43))</f>
        <v>1</v>
      </c>
      <c r="K43" s="69">
        <f>+K39</f>
        <v>0</v>
      </c>
      <c r="L43" s="45" t="str">
        <f>IF($K$20&lt;=0," ",K43/$K$20)</f>
        <v xml:space="preserve"> </v>
      </c>
      <c r="M43" s="69">
        <f>M41-M42</f>
        <v>-2250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-2459.0700000000002</v>
      </c>
      <c r="Q43" s="45" t="e">
        <f>+P43/$P$20</f>
        <v>#DIV/0!</v>
      </c>
      <c r="R43" s="45">
        <f t="shared" si="9"/>
        <v>8.5019946565164942E-2</v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-2100</v>
      </c>
      <c r="I45" s="34" t="str">
        <f t="shared" si="6"/>
        <v/>
      </c>
      <c r="J45" s="34">
        <f>IF(H45=0,"",(E45-H45)/ABS(H45))</f>
        <v>1</v>
      </c>
      <c r="K45" s="32">
        <f>+K41</f>
        <v>0</v>
      </c>
      <c r="L45" s="34" t="str">
        <f>IF($K$20&lt;=0," ",K45/$K$20)</f>
        <v xml:space="preserve"> </v>
      </c>
      <c r="M45" s="32">
        <f>+M36</f>
        <v>-2250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-2100</v>
      </c>
      <c r="Q45" s="34" t="e">
        <f>+P45/$P$20</f>
        <v>#DIV/0!</v>
      </c>
      <c r="R45" s="34">
        <f t="shared" si="9"/>
        <v>-7.1428571428571425E-2</v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Biable Musicar</dc:creator>
  <cp:lastModifiedBy>Robert Gutierrez</cp:lastModifiedBy>
  <dcterms:created xsi:type="dcterms:W3CDTF">2024-12-18T14:23:42Z</dcterms:created>
  <dcterms:modified xsi:type="dcterms:W3CDTF">2024-12-18T14:27:03Z</dcterms:modified>
</cp:coreProperties>
</file>