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4/Consolidado/"/>
    </mc:Choice>
  </mc:AlternateContent>
  <xr:revisionPtr revIDLastSave="1" documentId="8_{AF3BDA5E-1F7C-4BAB-8AFC-9CAF1CD24C8F}" xr6:coauthVersionLast="47" xr6:coauthVersionMax="47" xr10:uidLastSave="{0B42E337-695B-4F19-B301-A91624DA7618}"/>
  <bookViews>
    <workbookView xWindow="-120" yWindow="-120" windowWidth="20730" windowHeight="11160" firstSheet="1" activeTab="1" xr2:uid="{2C0A58E2-B7F8-45D5-BC5D-6F9DCDFA5D7F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1" r:id="rId12"/>
    <pivotCache cacheId="0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R28" i="10"/>
  <c r="P28" i="10"/>
  <c r="H28" i="10"/>
  <c r="J28" i="10" s="1"/>
  <c r="E28" i="10"/>
  <c r="I28" i="10" s="1"/>
  <c r="AC27" i="10"/>
  <c r="Y27" i="10"/>
  <c r="X27" i="10"/>
  <c r="Z27" i="10" s="1"/>
  <c r="R27" i="10"/>
  <c r="K27" i="10"/>
  <c r="K31" i="10" s="1"/>
  <c r="J27" i="10"/>
  <c r="I27" i="10"/>
  <c r="C27" i="10"/>
  <c r="G27" i="10" s="1"/>
  <c r="R26" i="10"/>
  <c r="J26" i="10"/>
  <c r="I26" i="10"/>
  <c r="G26" i="10"/>
  <c r="C26" i="10"/>
  <c r="C28" i="10" s="1"/>
  <c r="AC25" i="10"/>
  <c r="Y25" i="10"/>
  <c r="X25" i="10"/>
  <c r="Z25" i="10" s="1"/>
  <c r="R25" i="10"/>
  <c r="I25" i="10"/>
  <c r="G25" i="10"/>
  <c r="AC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O15" i="10"/>
  <c r="K15" i="10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V47" i="9"/>
  <c r="AY47" i="9" s="1"/>
  <c r="AU47" i="9"/>
  <c r="AM47" i="9"/>
  <c r="AN47" i="9" s="1"/>
  <c r="AQ47" i="9" s="1"/>
  <c r="AV46" i="9"/>
  <c r="AY46" i="9" s="1"/>
  <c r="AQ46" i="9"/>
  <c r="AN46" i="9"/>
  <c r="D46" i="9"/>
  <c r="D45" i="9"/>
  <c r="H44" i="9"/>
  <c r="D43" i="9"/>
  <c r="P42" i="9"/>
  <c r="K42" i="9"/>
  <c r="O42" i="9" s="1"/>
  <c r="D42" i="9"/>
  <c r="D41" i="9"/>
  <c r="P39" i="9"/>
  <c r="D39" i="9"/>
  <c r="P38" i="9"/>
  <c r="H38" i="9"/>
  <c r="D38" i="9"/>
  <c r="P36" i="9"/>
  <c r="D36" i="9"/>
  <c r="P34" i="9"/>
  <c r="K34" i="9"/>
  <c r="O34" i="9" s="1"/>
  <c r="D34" i="9"/>
  <c r="P32" i="9"/>
  <c r="H32" i="9"/>
  <c r="D32" i="9"/>
  <c r="D31" i="9"/>
  <c r="P30" i="9"/>
  <c r="D30" i="9"/>
  <c r="H29" i="9"/>
  <c r="AA28" i="9"/>
  <c r="Y28" i="9"/>
  <c r="Z28" i="9" s="1"/>
  <c r="D28" i="9"/>
  <c r="P27" i="9"/>
  <c r="M27" i="9"/>
  <c r="D27" i="9"/>
  <c r="H26" i="9"/>
  <c r="D26" i="9"/>
  <c r="P24" i="9"/>
  <c r="H24" i="9"/>
  <c r="D24" i="9"/>
  <c r="AC23" i="9"/>
  <c r="AA23" i="9"/>
  <c r="Z23" i="9"/>
  <c r="U23" i="9"/>
  <c r="H22" i="9"/>
  <c r="D22" i="9"/>
  <c r="O21" i="9"/>
  <c r="H21" i="9"/>
  <c r="G21" i="9"/>
  <c r="AC20" i="9"/>
  <c r="D20" i="9"/>
  <c r="D19" i="9"/>
  <c r="C19" i="9"/>
  <c r="H18" i="9"/>
  <c r="D18" i="9"/>
  <c r="P17" i="9"/>
  <c r="D17" i="9"/>
  <c r="AB16" i="9"/>
  <c r="H16" i="9"/>
  <c r="D16" i="9"/>
  <c r="U15" i="9"/>
  <c r="D15" i="9"/>
  <c r="H14" i="9"/>
  <c r="E14" i="9"/>
  <c r="D14" i="9"/>
  <c r="U13" i="9"/>
  <c r="M13" i="9"/>
  <c r="E13" i="9"/>
  <c r="D13" i="9"/>
  <c r="E12" i="9"/>
  <c r="D12" i="9"/>
  <c r="AB11" i="9"/>
  <c r="V11" i="9"/>
  <c r="U11" i="9"/>
  <c r="D11" i="9"/>
  <c r="C11" i="9"/>
  <c r="G11" i="9" s="1"/>
  <c r="W10" i="9"/>
  <c r="K10" i="9"/>
  <c r="O10" i="9" s="1"/>
  <c r="D10" i="9"/>
  <c r="C10" i="9"/>
  <c r="G10" i="9" s="1"/>
  <c r="G7" i="9"/>
  <c r="O7" i="9" s="1"/>
  <c r="AH4" i="9"/>
  <c r="AH3" i="9"/>
  <c r="E38" i="9" s="1"/>
  <c r="R46" i="8"/>
  <c r="O46" i="8"/>
  <c r="I46" i="8"/>
  <c r="Q45" i="8"/>
  <c r="I45" i="8"/>
  <c r="Q43" i="8"/>
  <c r="I43" i="8"/>
  <c r="R42" i="8"/>
  <c r="Q42" i="8"/>
  <c r="K42" i="8"/>
  <c r="O42" i="8" s="1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F38" i="8"/>
  <c r="Q36" i="8"/>
  <c r="I36" i="8"/>
  <c r="Q34" i="8"/>
  <c r="M34" i="8"/>
  <c r="I34" i="8"/>
  <c r="Q32" i="8"/>
  <c r="M32" i="8"/>
  <c r="K32" i="8"/>
  <c r="I32" i="8"/>
  <c r="G32" i="8"/>
  <c r="E32" i="8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M28" i="9" s="1"/>
  <c r="K28" i="8"/>
  <c r="K34" i="8" s="1"/>
  <c r="O34" i="8" s="1"/>
  <c r="J28" i="8"/>
  <c r="I28" i="8"/>
  <c r="E28" i="8"/>
  <c r="E28" i="9" s="1"/>
  <c r="C28" i="8"/>
  <c r="G28" i="8" s="1"/>
  <c r="AC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AC25" i="8"/>
  <c r="X25" i="8"/>
  <c r="Q24" i="8"/>
  <c r="I24" i="8"/>
  <c r="D24" i="8"/>
  <c r="AC23" i="8"/>
  <c r="AA23" i="8"/>
  <c r="Z23" i="8"/>
  <c r="R22" i="8"/>
  <c r="Q22" i="8"/>
  <c r="K22" i="8"/>
  <c r="K24" i="9" s="1"/>
  <c r="O24" i="9" s="1"/>
  <c r="J22" i="8"/>
  <c r="I22" i="8"/>
  <c r="G22" i="8"/>
  <c r="AC20" i="8"/>
  <c r="Q20" i="8"/>
  <c r="M20" i="8"/>
  <c r="N20" i="8" s="1"/>
  <c r="K20" i="8"/>
  <c r="L27" i="8" s="1"/>
  <c r="I20" i="8"/>
  <c r="E20" i="8"/>
  <c r="C20" i="8"/>
  <c r="D41" i="8" s="1"/>
  <c r="B19" i="8"/>
  <c r="L18" i="8"/>
  <c r="Y17" i="8"/>
  <c r="Y19" i="8" s="1"/>
  <c r="V17" i="8"/>
  <c r="U17" i="8"/>
  <c r="U19" i="8" s="1"/>
  <c r="B17" i="8"/>
  <c r="AC16" i="8"/>
  <c r="X16" i="8"/>
  <c r="L16" i="8"/>
  <c r="B16" i="8"/>
  <c r="AC15" i="8"/>
  <c r="AA15" i="8"/>
  <c r="Z15" i="8"/>
  <c r="X15" i="8"/>
  <c r="X15" i="9" s="1"/>
  <c r="AA15" i="9" s="1"/>
  <c r="R15" i="8"/>
  <c r="Q15" i="8"/>
  <c r="L15" i="8"/>
  <c r="J15" i="8"/>
  <c r="I15" i="8"/>
  <c r="G15" i="8"/>
  <c r="F15" i="8"/>
  <c r="B15" i="8"/>
  <c r="AC14" i="8"/>
  <c r="X14" i="8"/>
  <c r="Z14" i="8" s="1"/>
  <c r="R14" i="8"/>
  <c r="Q14" i="8"/>
  <c r="O14" i="8"/>
  <c r="N14" i="8"/>
  <c r="J14" i="8"/>
  <c r="I14" i="8"/>
  <c r="G14" i="8"/>
  <c r="F14" i="8"/>
  <c r="B14" i="8"/>
  <c r="AC13" i="8"/>
  <c r="X13" i="8"/>
  <c r="X13" i="9" s="1"/>
  <c r="AA13" i="9" s="1"/>
  <c r="R13" i="8"/>
  <c r="Q13" i="8"/>
  <c r="O13" i="8"/>
  <c r="L13" i="8"/>
  <c r="J13" i="8"/>
  <c r="I13" i="8"/>
  <c r="G13" i="8"/>
  <c r="F13" i="8"/>
  <c r="B13" i="8"/>
  <c r="R12" i="8"/>
  <c r="Q12" i="8"/>
  <c r="O12" i="8"/>
  <c r="J12" i="8"/>
  <c r="I12" i="8"/>
  <c r="G12" i="8"/>
  <c r="F12" i="8"/>
  <c r="D12" i="8"/>
  <c r="B12" i="8"/>
  <c r="AC11" i="8"/>
  <c r="X11" i="8"/>
  <c r="R11" i="8"/>
  <c r="Q11" i="8"/>
  <c r="O11" i="8"/>
  <c r="L11" i="8"/>
  <c r="J11" i="8"/>
  <c r="I11" i="8"/>
  <c r="G11" i="8"/>
  <c r="F11" i="8"/>
  <c r="B11" i="8"/>
  <c r="AC10" i="8"/>
  <c r="AA10" i="8"/>
  <c r="Z10" i="8"/>
  <c r="R10" i="8"/>
  <c r="Q10" i="8"/>
  <c r="O10" i="8"/>
  <c r="J10" i="8"/>
  <c r="I10" i="8"/>
  <c r="G10" i="8"/>
  <c r="F10" i="8"/>
  <c r="B10" i="8"/>
  <c r="W39" i="7"/>
  <c r="V39" i="7"/>
  <c r="AD28" i="7"/>
  <c r="Z28" i="7"/>
  <c r="Y28" i="7"/>
  <c r="AB28" i="7" s="1"/>
  <c r="AD27" i="7"/>
  <c r="Z27" i="7"/>
  <c r="Y27" i="7"/>
  <c r="AB27" i="7" s="1"/>
  <c r="Z25" i="7"/>
  <c r="AD25" i="7" s="1"/>
  <c r="Y25" i="7"/>
  <c r="AD23" i="7"/>
  <c r="AB23" i="7"/>
  <c r="Z23" i="7"/>
  <c r="Y23" i="7"/>
  <c r="AA23" i="7" s="1"/>
  <c r="W19" i="7"/>
  <c r="W21" i="7" s="1"/>
  <c r="W30" i="7" s="1"/>
  <c r="W38" i="7" s="1"/>
  <c r="B19" i="7"/>
  <c r="W17" i="7"/>
  <c r="V17" i="7"/>
  <c r="V19" i="7" s="1"/>
  <c r="V21" i="7" s="1"/>
  <c r="V30" i="7" s="1"/>
  <c r="R17" i="7"/>
  <c r="K17" i="7"/>
  <c r="O17" i="7" s="1"/>
  <c r="J17" i="7"/>
  <c r="G17" i="7"/>
  <c r="B17" i="7"/>
  <c r="Z16" i="7"/>
  <c r="AB16" i="7" s="1"/>
  <c r="Y16" i="7"/>
  <c r="R16" i="7"/>
  <c r="K16" i="7"/>
  <c r="B16" i="7"/>
  <c r="AD15" i="7"/>
  <c r="Z15" i="7"/>
  <c r="Y15" i="7"/>
  <c r="AB15" i="7" s="1"/>
  <c r="B15" i="7"/>
  <c r="AD14" i="7"/>
  <c r="Z14" i="7"/>
  <c r="Y14" i="7"/>
  <c r="AB14" i="7" s="1"/>
  <c r="R14" i="7"/>
  <c r="B14" i="7"/>
  <c r="Z13" i="7"/>
  <c r="Z17" i="7" s="1"/>
  <c r="Y13" i="7"/>
  <c r="B13" i="7"/>
  <c r="B12" i="7"/>
  <c r="AD11" i="7"/>
  <c r="AB11" i="7"/>
  <c r="Z11" i="7"/>
  <c r="Y11" i="7"/>
  <c r="B11" i="7"/>
  <c r="AD10" i="7"/>
  <c r="AB10" i="7"/>
  <c r="AA10" i="7"/>
  <c r="B10" i="7"/>
  <c r="U3" i="7"/>
  <c r="Z27" i="6"/>
  <c r="Y27" i="6"/>
  <c r="AE20" i="6"/>
  <c r="B19" i="6"/>
  <c r="B17" i="6"/>
  <c r="H16" i="6"/>
  <c r="E16" i="6"/>
  <c r="B16" i="6"/>
  <c r="B15" i="6"/>
  <c r="P14" i="6"/>
  <c r="R14" i="6" s="1"/>
  <c r="M14" i="6"/>
  <c r="B14" i="6"/>
  <c r="B13" i="6"/>
  <c r="B12" i="6"/>
  <c r="B11" i="6"/>
  <c r="AD10" i="6"/>
  <c r="Z10" i="6"/>
  <c r="Y10" i="6"/>
  <c r="X10" i="6"/>
  <c r="W10" i="6"/>
  <c r="B10" i="6"/>
  <c r="E7" i="6"/>
  <c r="M7" i="6" s="1"/>
  <c r="X7" i="6" s="1"/>
  <c r="AA7" i="6" s="1"/>
  <c r="B6" i="6"/>
  <c r="V6" i="6" s="1"/>
  <c r="AJ5" i="6"/>
  <c r="AI5" i="6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E7" i="5"/>
  <c r="M7" i="5" s="1"/>
  <c r="AC20" i="4"/>
  <c r="AC10" i="4"/>
  <c r="AA10" i="4"/>
  <c r="Z10" i="4"/>
  <c r="I7" i="4"/>
  <c r="F7" i="4"/>
  <c r="E7" i="3" s="1"/>
  <c r="D7" i="4"/>
  <c r="C7" i="3" s="1"/>
  <c r="B6" i="4"/>
  <c r="T3" i="4"/>
  <c r="X27" i="3"/>
  <c r="W27" i="3"/>
  <c r="AC20" i="3"/>
  <c r="B19" i="3"/>
  <c r="B18" i="3"/>
  <c r="B17" i="3"/>
  <c r="J16" i="3"/>
  <c r="B16" i="3"/>
  <c r="B15" i="3"/>
  <c r="R14" i="3"/>
  <c r="B14" i="3"/>
  <c r="B13" i="3"/>
  <c r="B12" i="3"/>
  <c r="B11" i="3"/>
  <c r="AB10" i="3"/>
  <c r="AA10" i="3"/>
  <c r="Y10" i="3"/>
  <c r="AA10" i="6" s="1"/>
  <c r="X10" i="3"/>
  <c r="W10" i="3"/>
  <c r="AC10" i="3" s="1"/>
  <c r="V10" i="3"/>
  <c r="U10" i="3"/>
  <c r="B10" i="3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B3" i="2" s="1"/>
  <c r="E4" i="2"/>
  <c r="D4" i="2"/>
  <c r="A3" i="2"/>
  <c r="A4" i="10" s="1"/>
  <c r="M7" i="3" l="1"/>
  <c r="V7" i="3" s="1"/>
  <c r="Y7" i="3" s="1"/>
  <c r="E7" i="8"/>
  <c r="C7" i="8"/>
  <c r="K7" i="3"/>
  <c r="U7" i="3"/>
  <c r="X7" i="3" s="1"/>
  <c r="A6" i="10"/>
  <c r="A7" i="5"/>
  <c r="B6" i="11"/>
  <c r="B6" i="7"/>
  <c r="U6" i="7" s="1"/>
  <c r="T6" i="3"/>
  <c r="B6" i="8"/>
  <c r="W7" i="4"/>
  <c r="AB7" i="4" s="1"/>
  <c r="H7" i="10"/>
  <c r="P7" i="10" s="1"/>
  <c r="H7" i="7"/>
  <c r="P7" i="4"/>
  <c r="H7" i="5"/>
  <c r="P7" i="5" s="1"/>
  <c r="A4" i="2"/>
  <c r="H7" i="3"/>
  <c r="H7" i="8" s="1"/>
  <c r="AB10" i="6"/>
  <c r="B18" i="6"/>
  <c r="B18" i="7"/>
  <c r="A5" i="5"/>
  <c r="N28" i="9"/>
  <c r="J13" i="9"/>
  <c r="L7" i="4"/>
  <c r="C7" i="10"/>
  <c r="C7" i="7"/>
  <c r="K7" i="7" s="1"/>
  <c r="U7" i="4"/>
  <c r="X7" i="4" s="1"/>
  <c r="C7" i="6"/>
  <c r="N7" i="4"/>
  <c r="V7" i="4" s="1"/>
  <c r="Y7" i="4" s="1"/>
  <c r="E7" i="10"/>
  <c r="M7" i="10" s="1"/>
  <c r="V7" i="10" s="1"/>
  <c r="Y7" i="10" s="1"/>
  <c r="E7" i="7"/>
  <c r="M7" i="7" s="1"/>
  <c r="W7" i="7" s="1"/>
  <c r="Z7" i="7" s="1"/>
  <c r="C7" i="5"/>
  <c r="K7" i="5" s="1"/>
  <c r="X8" i="11"/>
  <c r="AG8" i="11"/>
  <c r="U21" i="8"/>
  <c r="U19" i="9"/>
  <c r="H7" i="6"/>
  <c r="T6" i="4"/>
  <c r="B6" i="10"/>
  <c r="T6" i="10" s="1"/>
  <c r="Z19" i="7"/>
  <c r="AD16" i="7"/>
  <c r="AB25" i="7"/>
  <c r="AA28" i="7"/>
  <c r="D10" i="8"/>
  <c r="D14" i="8"/>
  <c r="V19" i="8"/>
  <c r="V21" i="8" s="1"/>
  <c r="V30" i="8" s="1"/>
  <c r="V17" i="9"/>
  <c r="V19" i="9" s="1"/>
  <c r="F42" i="8"/>
  <c r="E20" i="9"/>
  <c r="F28" i="9" s="1"/>
  <c r="F28" i="8"/>
  <c r="F31" i="8"/>
  <c r="C39" i="9"/>
  <c r="G39" i="9" s="1"/>
  <c r="D34" i="8"/>
  <c r="D45" i="8"/>
  <c r="AI7" i="9"/>
  <c r="AI8" i="9" s="1"/>
  <c r="P47" i="9"/>
  <c r="H46" i="9"/>
  <c r="H45" i="9"/>
  <c r="P43" i="9"/>
  <c r="H41" i="9"/>
  <c r="H35" i="9"/>
  <c r="H28" i="9"/>
  <c r="P22" i="9"/>
  <c r="P19" i="9"/>
  <c r="P16" i="9"/>
  <c r="H37" i="9"/>
  <c r="H31" i="9"/>
  <c r="H17" i="9"/>
  <c r="I17" i="9" s="1"/>
  <c r="P15" i="9"/>
  <c r="H13" i="9"/>
  <c r="P10" i="9"/>
  <c r="R10" i="9" s="1"/>
  <c r="AH9" i="9"/>
  <c r="P46" i="9"/>
  <c r="P45" i="9"/>
  <c r="P44" i="9"/>
  <c r="H43" i="9"/>
  <c r="P41" i="9"/>
  <c r="H33" i="9"/>
  <c r="P29" i="9"/>
  <c r="P28" i="9"/>
  <c r="H23" i="9"/>
  <c r="P18" i="9"/>
  <c r="H42" i="9"/>
  <c r="H40" i="9"/>
  <c r="P31" i="9"/>
  <c r="H30" i="9"/>
  <c r="P25" i="9"/>
  <c r="P20" i="9"/>
  <c r="H12" i="9"/>
  <c r="I12" i="9" s="1"/>
  <c r="H10" i="9"/>
  <c r="E10" i="9"/>
  <c r="J10" i="9" s="1"/>
  <c r="AB10" i="9"/>
  <c r="P11" i="9"/>
  <c r="P13" i="9"/>
  <c r="R13" i="9" s="1"/>
  <c r="P14" i="9"/>
  <c r="C15" i="9"/>
  <c r="G15" i="9" s="1"/>
  <c r="E16" i="9"/>
  <c r="E16" i="11" s="1"/>
  <c r="U17" i="9"/>
  <c r="AB21" i="9"/>
  <c r="P23" i="9"/>
  <c r="C26" i="9"/>
  <c r="G26" i="9" s="1"/>
  <c r="H27" i="9"/>
  <c r="K30" i="9"/>
  <c r="O30" i="9" s="1"/>
  <c r="H34" i="9"/>
  <c r="I34" i="9" s="1"/>
  <c r="H36" i="9"/>
  <c r="M38" i="9"/>
  <c r="P40" i="9"/>
  <c r="E46" i="9"/>
  <c r="J32" i="8"/>
  <c r="E32" i="9"/>
  <c r="F12" i="9"/>
  <c r="F14" i="9"/>
  <c r="C20" i="9"/>
  <c r="G20" i="9" s="1"/>
  <c r="N27" i="9"/>
  <c r="J32" i="9"/>
  <c r="AA25" i="7"/>
  <c r="L43" i="8"/>
  <c r="K20" i="9"/>
  <c r="F32" i="8"/>
  <c r="N34" i="8"/>
  <c r="M34" i="9"/>
  <c r="L42" i="8"/>
  <c r="U14" i="9"/>
  <c r="E15" i="9"/>
  <c r="J15" i="9" s="1"/>
  <c r="V15" i="9"/>
  <c r="Y17" i="9"/>
  <c r="E22" i="9"/>
  <c r="K32" i="9"/>
  <c r="O32" i="9" s="1"/>
  <c r="M44" i="9"/>
  <c r="M46" i="9"/>
  <c r="N46" i="9" s="1"/>
  <c r="H16" i="11"/>
  <c r="AA16" i="8"/>
  <c r="X16" i="9"/>
  <c r="AA16" i="9" s="1"/>
  <c r="L20" i="8"/>
  <c r="O22" i="8"/>
  <c r="M10" i="9"/>
  <c r="E11" i="9"/>
  <c r="W11" i="9"/>
  <c r="K12" i="9"/>
  <c r="O12" i="9" s="1"/>
  <c r="V13" i="9"/>
  <c r="I14" i="9"/>
  <c r="W14" i="9"/>
  <c r="K16" i="9"/>
  <c r="O16" i="9" s="1"/>
  <c r="E17" i="9"/>
  <c r="C18" i="9"/>
  <c r="G18" i="9" s="1"/>
  <c r="G19" i="9"/>
  <c r="E25" i="9"/>
  <c r="K26" i="9"/>
  <c r="O26" i="9" s="1"/>
  <c r="Y27" i="9"/>
  <c r="Z27" i="9" s="1"/>
  <c r="R32" i="9"/>
  <c r="E35" i="9"/>
  <c r="M37" i="9"/>
  <c r="E39" i="9"/>
  <c r="B6" i="5"/>
  <c r="AA8" i="11"/>
  <c r="AJ8" i="11"/>
  <c r="J16" i="6"/>
  <c r="AG21" i="11"/>
  <c r="X21" i="11"/>
  <c r="AA27" i="7"/>
  <c r="D13" i="8"/>
  <c r="L19" i="8"/>
  <c r="AA25" i="8"/>
  <c r="X25" i="9"/>
  <c r="AA25" i="9" s="1"/>
  <c r="F27" i="8"/>
  <c r="AA27" i="8"/>
  <c r="X27" i="9"/>
  <c r="AA27" i="9" s="1"/>
  <c r="N28" i="8"/>
  <c r="L31" i="8"/>
  <c r="L41" i="8"/>
  <c r="U10" i="9"/>
  <c r="H11" i="9"/>
  <c r="Y11" i="9"/>
  <c r="Z11" i="9" s="1"/>
  <c r="J14" i="9"/>
  <c r="X14" i="9"/>
  <c r="H15" i="9"/>
  <c r="Y15" i="9"/>
  <c r="Z15" i="9" s="1"/>
  <c r="M16" i="9"/>
  <c r="R16" i="9" s="1"/>
  <c r="H19" i="9"/>
  <c r="H20" i="9"/>
  <c r="H25" i="9"/>
  <c r="P26" i="9"/>
  <c r="AB27" i="9"/>
  <c r="M29" i="9"/>
  <c r="E31" i="9"/>
  <c r="E33" i="9"/>
  <c r="P35" i="9"/>
  <c r="P37" i="9"/>
  <c r="H39" i="9"/>
  <c r="Z21" i="11"/>
  <c r="Y17" i="7"/>
  <c r="AA16" i="7"/>
  <c r="L10" i="8"/>
  <c r="D11" i="8"/>
  <c r="X17" i="8"/>
  <c r="L14" i="8"/>
  <c r="D15" i="8"/>
  <c r="O28" i="8"/>
  <c r="O32" i="8"/>
  <c r="K39" i="9"/>
  <c r="O39" i="9" s="1"/>
  <c r="V10" i="9"/>
  <c r="P12" i="9"/>
  <c r="K13" i="9"/>
  <c r="O13" i="9" s="1"/>
  <c r="Y13" i="9"/>
  <c r="Z13" i="9" s="1"/>
  <c r="Y14" i="9"/>
  <c r="K17" i="9"/>
  <c r="O17" i="9" s="1"/>
  <c r="M19" i="9"/>
  <c r="M20" i="9"/>
  <c r="P21" i="9"/>
  <c r="M22" i="9"/>
  <c r="C24" i="9"/>
  <c r="G24" i="9" s="1"/>
  <c r="U25" i="9"/>
  <c r="U26" i="9"/>
  <c r="C30" i="9"/>
  <c r="G30" i="9" s="1"/>
  <c r="K31" i="9"/>
  <c r="O31" i="9" s="1"/>
  <c r="P33" i="9"/>
  <c r="C36" i="9"/>
  <c r="M39" i="9"/>
  <c r="N39" i="9" s="1"/>
  <c r="AA15" i="7"/>
  <c r="AA11" i="8"/>
  <c r="X11" i="9"/>
  <c r="AA11" i="9" s="1"/>
  <c r="L17" i="8"/>
  <c r="R32" i="8"/>
  <c r="M32" i="9"/>
  <c r="AC11" i="9"/>
  <c r="M14" i="9"/>
  <c r="M14" i="11" s="1"/>
  <c r="M15" i="9"/>
  <c r="R15" i="9" s="1"/>
  <c r="C16" i="9"/>
  <c r="G16" i="9" s="1"/>
  <c r="V16" i="9"/>
  <c r="U22" i="9"/>
  <c r="W25" i="9"/>
  <c r="M31" i="9"/>
  <c r="C34" i="9"/>
  <c r="G34" i="9" s="1"/>
  <c r="AB13" i="7"/>
  <c r="Z11" i="8"/>
  <c r="L12" i="8"/>
  <c r="D20" i="8"/>
  <c r="E34" i="8"/>
  <c r="E34" i="9" s="1"/>
  <c r="F34" i="9" s="1"/>
  <c r="C43" i="9"/>
  <c r="E40" i="9"/>
  <c r="C38" i="9"/>
  <c r="G38" i="9" s="1"/>
  <c r="K36" i="9"/>
  <c r="E30" i="9"/>
  <c r="AB28" i="9"/>
  <c r="AC28" i="9" s="1"/>
  <c r="U27" i="9"/>
  <c r="M25" i="9"/>
  <c r="C22" i="9"/>
  <c r="G22" i="9" s="1"/>
  <c r="M21" i="9"/>
  <c r="R21" i="9" s="1"/>
  <c r="E19" i="9"/>
  <c r="K18" i="9"/>
  <c r="O18" i="9" s="1"/>
  <c r="M17" i="9"/>
  <c r="R17" i="9" s="1"/>
  <c r="C17" i="9"/>
  <c r="G17" i="9" s="1"/>
  <c r="C46" i="9"/>
  <c r="G46" i="9" s="1"/>
  <c r="K43" i="9"/>
  <c r="O43" i="9" s="1"/>
  <c r="M33" i="9"/>
  <c r="M30" i="9"/>
  <c r="U29" i="9"/>
  <c r="U28" i="9"/>
  <c r="C28" i="9"/>
  <c r="G28" i="9" s="1"/>
  <c r="M26" i="9"/>
  <c r="N26" i="9" s="1"/>
  <c r="Y25" i="9"/>
  <c r="Z25" i="9" s="1"/>
  <c r="U24" i="9"/>
  <c r="M23" i="9"/>
  <c r="K22" i="9"/>
  <c r="O22" i="9" s="1"/>
  <c r="W21" i="9"/>
  <c r="W30" i="9" s="1"/>
  <c r="AB19" i="9"/>
  <c r="U18" i="9"/>
  <c r="W17" i="9"/>
  <c r="Y16" i="9"/>
  <c r="Z16" i="9" s="1"/>
  <c r="AB15" i="9"/>
  <c r="AC15" i="9" s="1"/>
  <c r="V14" i="9"/>
  <c r="K14" i="9"/>
  <c r="O14" i="9" s="1"/>
  <c r="AB13" i="9"/>
  <c r="AC13" i="9" s="1"/>
  <c r="M12" i="9"/>
  <c r="M42" i="9"/>
  <c r="C41" i="9"/>
  <c r="G41" i="9" s="1"/>
  <c r="K38" i="9"/>
  <c r="O38" i="9" s="1"/>
  <c r="E37" i="9"/>
  <c r="E21" i="9"/>
  <c r="K19" i="9"/>
  <c r="E18" i="9"/>
  <c r="K46" i="9"/>
  <c r="O46" i="9" s="1"/>
  <c r="E44" i="9"/>
  <c r="K41" i="9"/>
  <c r="O41" i="9" s="1"/>
  <c r="M35" i="9"/>
  <c r="C31" i="9"/>
  <c r="G31" i="9" s="1"/>
  <c r="E29" i="9"/>
  <c r="K28" i="9"/>
  <c r="O28" i="9" s="1"/>
  <c r="E26" i="9"/>
  <c r="F26" i="9" s="1"/>
  <c r="AB17" i="9"/>
  <c r="AC17" i="9" s="1"/>
  <c r="U16" i="9"/>
  <c r="W15" i="9"/>
  <c r="K15" i="9"/>
  <c r="O15" i="9" s="1"/>
  <c r="W13" i="9"/>
  <c r="C13" i="9"/>
  <c r="G13" i="9" s="1"/>
  <c r="K11" i="9"/>
  <c r="O11" i="9" s="1"/>
  <c r="X10" i="9"/>
  <c r="AA10" i="9" s="1"/>
  <c r="Y10" i="9"/>
  <c r="M11" i="9"/>
  <c r="C12" i="9"/>
  <c r="G12" i="9" s="1"/>
  <c r="U12" i="9"/>
  <c r="C14" i="9"/>
  <c r="G14" i="9" s="1"/>
  <c r="AB14" i="9"/>
  <c r="AC14" i="9" s="1"/>
  <c r="W16" i="9"/>
  <c r="M18" i="9"/>
  <c r="R18" i="9" s="1"/>
  <c r="W19" i="9"/>
  <c r="U20" i="9"/>
  <c r="E23" i="9"/>
  <c r="AB25" i="9"/>
  <c r="AK24" i="11" s="1"/>
  <c r="E27" i="9"/>
  <c r="F27" i="9" s="1"/>
  <c r="C32" i="9"/>
  <c r="G32" i="9" s="1"/>
  <c r="M40" i="9"/>
  <c r="E42" i="9"/>
  <c r="J42" i="9" s="1"/>
  <c r="Z23" i="10"/>
  <c r="O27" i="10"/>
  <c r="AA27" i="10"/>
  <c r="G28" i="10"/>
  <c r="O31" i="10"/>
  <c r="K36" i="10"/>
  <c r="N59" i="7" s="1"/>
  <c r="AA23" i="10"/>
  <c r="AA25" i="10"/>
  <c r="W7" i="10"/>
  <c r="AB7" i="10" s="1"/>
  <c r="G30" i="10"/>
  <c r="F10" i="9"/>
  <c r="J20" i="9"/>
  <c r="R20" i="9"/>
  <c r="L41" i="9"/>
  <c r="I10" i="9"/>
  <c r="Q10" i="9"/>
  <c r="F13" i="9"/>
  <c r="N13" i="9"/>
  <c r="I26" i="9"/>
  <c r="I28" i="9"/>
  <c r="Q34" i="9"/>
  <c r="I38" i="9"/>
  <c r="Q38" i="9"/>
  <c r="I39" i="9"/>
  <c r="I45" i="9"/>
  <c r="I46" i="9"/>
  <c r="Q46" i="9"/>
  <c r="Q21" i="9"/>
  <c r="AC25" i="9"/>
  <c r="J26" i="9"/>
  <c r="R26" i="9"/>
  <c r="I27" i="9"/>
  <c r="J28" i="9"/>
  <c r="R28" i="9"/>
  <c r="F31" i="9"/>
  <c r="N31" i="9"/>
  <c r="F32" i="9"/>
  <c r="N32" i="9"/>
  <c r="R34" i="9"/>
  <c r="J38" i="9"/>
  <c r="R38" i="9"/>
  <c r="R39" i="9"/>
  <c r="F42" i="9"/>
  <c r="R46" i="9"/>
  <c r="F15" i="9"/>
  <c r="N15" i="9"/>
  <c r="I22" i="9"/>
  <c r="J27" i="9"/>
  <c r="R27" i="9"/>
  <c r="Y19" i="9"/>
  <c r="I24" i="9"/>
  <c r="Q24" i="9"/>
  <c r="I30" i="9"/>
  <c r="Q30" i="9"/>
  <c r="I31" i="9"/>
  <c r="Q31" i="9"/>
  <c r="I32" i="9"/>
  <c r="I36" i="9"/>
  <c r="Q36" i="9"/>
  <c r="I41" i="9"/>
  <c r="Q41" i="9"/>
  <c r="I42" i="9"/>
  <c r="Q42" i="9"/>
  <c r="I16" i="9"/>
  <c r="I18" i="9"/>
  <c r="I19" i="9"/>
  <c r="Z17" i="8"/>
  <c r="J34" i="8"/>
  <c r="F34" i="8"/>
  <c r="Y21" i="8"/>
  <c r="AC19" i="8"/>
  <c r="W7" i="8"/>
  <c r="AB7" i="8" s="1"/>
  <c r="N12" i="8"/>
  <c r="Z13" i="8"/>
  <c r="AA14" i="8"/>
  <c r="D17" i="8"/>
  <c r="AC17" i="8"/>
  <c r="X19" i="8"/>
  <c r="F20" i="8"/>
  <c r="O20" i="8"/>
  <c r="K24" i="8"/>
  <c r="K27" i="9" s="1"/>
  <c r="O27" i="9" s="1"/>
  <c r="Z25" i="8"/>
  <c r="L26" i="8"/>
  <c r="Z27" i="8"/>
  <c r="R28" i="8"/>
  <c r="D32" i="8"/>
  <c r="N38" i="8"/>
  <c r="D43" i="8"/>
  <c r="N11" i="8"/>
  <c r="AA13" i="8"/>
  <c r="N15" i="8"/>
  <c r="D16" i="8"/>
  <c r="D18" i="8"/>
  <c r="G20" i="8"/>
  <c r="L22" i="8"/>
  <c r="C24" i="8"/>
  <c r="C27" i="9" s="1"/>
  <c r="G27" i="9" s="1"/>
  <c r="L24" i="8"/>
  <c r="N26" i="8"/>
  <c r="L30" i="8"/>
  <c r="N32" i="8"/>
  <c r="D38" i="8"/>
  <c r="L39" i="8"/>
  <c r="R20" i="8"/>
  <c r="N22" i="8"/>
  <c r="M24" i="8"/>
  <c r="M24" i="9" s="1"/>
  <c r="N30" i="8"/>
  <c r="R34" i="8"/>
  <c r="N39" i="8"/>
  <c r="N10" i="8"/>
  <c r="N13" i="8"/>
  <c r="J20" i="8"/>
  <c r="D22" i="8"/>
  <c r="E24" i="8"/>
  <c r="E24" i="9" s="1"/>
  <c r="D26" i="8"/>
  <c r="N27" i="8"/>
  <c r="L28" i="8"/>
  <c r="N31" i="8"/>
  <c r="L36" i="8"/>
  <c r="N42" i="8"/>
  <c r="F46" i="8"/>
  <c r="Z16" i="8"/>
  <c r="D19" i="8"/>
  <c r="F22" i="8"/>
  <c r="F26" i="8"/>
  <c r="D28" i="8"/>
  <c r="D30" i="8"/>
  <c r="D36" i="8"/>
  <c r="D39" i="8"/>
  <c r="D42" i="8"/>
  <c r="D27" i="8"/>
  <c r="F30" i="8"/>
  <c r="D31" i="8"/>
  <c r="C34" i="8"/>
  <c r="L34" i="8"/>
  <c r="F39" i="8"/>
  <c r="L45" i="8"/>
  <c r="N46" i="8"/>
  <c r="L32" i="8"/>
  <c r="L38" i="8"/>
  <c r="AB17" i="7"/>
  <c r="AA17" i="7"/>
  <c r="AD17" i="7"/>
  <c r="V38" i="7"/>
  <c r="AB30" i="7"/>
  <c r="Y19" i="7"/>
  <c r="Z21" i="7"/>
  <c r="AD19" i="7"/>
  <c r="V7" i="7"/>
  <c r="Y7" i="7" s="1"/>
  <c r="AA14" i="7"/>
  <c r="AA13" i="7"/>
  <c r="AD13" i="7"/>
  <c r="AA11" i="7"/>
  <c r="AC10" i="6"/>
  <c r="AE10" i="6"/>
  <c r="G32" i="5"/>
  <c r="O32" i="5"/>
  <c r="W7" i="3"/>
  <c r="AB7" i="3" s="1"/>
  <c r="P7" i="3"/>
  <c r="Z10" i="3"/>
  <c r="B4" i="2"/>
  <c r="E22" i="6"/>
  <c r="E17" i="6"/>
  <c r="E17" i="11" s="1"/>
  <c r="M17" i="6"/>
  <c r="E27" i="6"/>
  <c r="M27" i="6"/>
  <c r="O22" i="4"/>
  <c r="G11" i="4"/>
  <c r="G12" i="4"/>
  <c r="O12" i="4"/>
  <c r="G13" i="4"/>
  <c r="O13" i="4"/>
  <c r="G31" i="4"/>
  <c r="O31" i="4"/>
  <c r="G38" i="4"/>
  <c r="O38" i="4"/>
  <c r="G39" i="4"/>
  <c r="O39" i="4"/>
  <c r="G42" i="4"/>
  <c r="O42" i="4"/>
  <c r="G46" i="4"/>
  <c r="O46" i="4"/>
  <c r="O14" i="4"/>
  <c r="E28" i="4"/>
  <c r="M28" i="4"/>
  <c r="E32" i="4"/>
  <c r="M32" i="4"/>
  <c r="G15" i="4"/>
  <c r="G22" i="4"/>
  <c r="O15" i="4"/>
  <c r="O16" i="4"/>
  <c r="G16" i="4"/>
  <c r="O17" i="4"/>
  <c r="O19" i="4"/>
  <c r="E20" i="4"/>
  <c r="F30" i="4" s="1"/>
  <c r="F18" i="4"/>
  <c r="G22" i="5"/>
  <c r="O22" i="5"/>
  <c r="J11" i="7"/>
  <c r="J15" i="7"/>
  <c r="J22" i="7"/>
  <c r="J27" i="7"/>
  <c r="J38" i="7"/>
  <c r="R38" i="7"/>
  <c r="J42" i="7"/>
  <c r="R13" i="7"/>
  <c r="R15" i="7"/>
  <c r="J13" i="7"/>
  <c r="J39" i="7"/>
  <c r="O42" i="5"/>
  <c r="E28" i="5"/>
  <c r="G13" i="5"/>
  <c r="E32" i="5"/>
  <c r="M31" i="11"/>
  <c r="M20" i="7"/>
  <c r="N10" i="7" s="1"/>
  <c r="G12" i="7"/>
  <c r="O12" i="7"/>
  <c r="G39" i="7"/>
  <c r="O39" i="7"/>
  <c r="O15" i="7"/>
  <c r="G46" i="7"/>
  <c r="N13" i="7"/>
  <c r="G11" i="7"/>
  <c r="O22" i="7"/>
  <c r="N46" i="7"/>
  <c r="G27" i="7"/>
  <c r="O38" i="7"/>
  <c r="C438" i="12"/>
  <c r="O42" i="7" l="1"/>
  <c r="G42" i="7"/>
  <c r="K32" i="7"/>
  <c r="O30" i="7"/>
  <c r="C32" i="7"/>
  <c r="G30" i="7"/>
  <c r="D30" i="7"/>
  <c r="N26" i="7"/>
  <c r="M28" i="7"/>
  <c r="E28" i="7"/>
  <c r="K20" i="7"/>
  <c r="L42" i="7" s="1"/>
  <c r="O10" i="7"/>
  <c r="L10" i="7"/>
  <c r="D10" i="7"/>
  <c r="C20" i="7"/>
  <c r="D46" i="7" s="1"/>
  <c r="G10" i="7"/>
  <c r="G38" i="7"/>
  <c r="K31" i="11"/>
  <c r="O31" i="7"/>
  <c r="L31" i="7"/>
  <c r="D31" i="7"/>
  <c r="G31" i="7"/>
  <c r="O27" i="7"/>
  <c r="K28" i="7"/>
  <c r="O26" i="7"/>
  <c r="C28" i="7"/>
  <c r="D26" i="7"/>
  <c r="G26" i="7"/>
  <c r="D15" i="7"/>
  <c r="G15" i="7"/>
  <c r="G22" i="7"/>
  <c r="D22" i="7"/>
  <c r="L11" i="7"/>
  <c r="O11" i="7"/>
  <c r="O46" i="7"/>
  <c r="G13" i="7"/>
  <c r="D13" i="7"/>
  <c r="N30" i="7"/>
  <c r="M32" i="7"/>
  <c r="N32" i="7" s="1"/>
  <c r="E32" i="7"/>
  <c r="E20" i="7"/>
  <c r="F10" i="7" s="1"/>
  <c r="E31" i="11"/>
  <c r="L13" i="7"/>
  <c r="O13" i="7"/>
  <c r="K20" i="5"/>
  <c r="O13" i="5"/>
  <c r="C20" i="5"/>
  <c r="D18" i="5" s="1"/>
  <c r="G10" i="5"/>
  <c r="R46" i="7"/>
  <c r="J46" i="7"/>
  <c r="I46" i="7"/>
  <c r="I12" i="7"/>
  <c r="J12" i="7"/>
  <c r="R39" i="7"/>
  <c r="R12" i="7"/>
  <c r="R42" i="7"/>
  <c r="R30" i="7"/>
  <c r="P32" i="7"/>
  <c r="H32" i="7"/>
  <c r="J30" i="7"/>
  <c r="R10" i="7"/>
  <c r="P20" i="7"/>
  <c r="Q30" i="7" s="1"/>
  <c r="J10" i="7"/>
  <c r="H20" i="7"/>
  <c r="I38" i="7" s="1"/>
  <c r="P31" i="11"/>
  <c r="R31" i="7"/>
  <c r="H31" i="11"/>
  <c r="J31" i="7"/>
  <c r="Q27" i="7"/>
  <c r="R27" i="7"/>
  <c r="P28" i="7"/>
  <c r="R26" i="7"/>
  <c r="H28" i="7"/>
  <c r="J26" i="7"/>
  <c r="R22" i="7"/>
  <c r="Q22" i="7"/>
  <c r="R11" i="7"/>
  <c r="I22" i="5"/>
  <c r="I20" i="5"/>
  <c r="J22" i="5"/>
  <c r="H20" i="5"/>
  <c r="J13" i="5"/>
  <c r="I13" i="5"/>
  <c r="K32" i="4"/>
  <c r="O30" i="4"/>
  <c r="G30" i="4"/>
  <c r="C32" i="4"/>
  <c r="X28" i="6"/>
  <c r="V28" i="3"/>
  <c r="U27" i="3"/>
  <c r="W27" i="6"/>
  <c r="W21" i="11" s="1"/>
  <c r="O27" i="4"/>
  <c r="G27" i="4"/>
  <c r="O26" i="4"/>
  <c r="K28" i="4"/>
  <c r="L26" i="4"/>
  <c r="C28" i="4"/>
  <c r="G26" i="4"/>
  <c r="V25" i="3"/>
  <c r="X25" i="6"/>
  <c r="O11" i="4"/>
  <c r="W28" i="6"/>
  <c r="U28" i="3"/>
  <c r="U25" i="3"/>
  <c r="W25" i="6"/>
  <c r="W20" i="11" s="1"/>
  <c r="V23" i="3"/>
  <c r="X23" i="6"/>
  <c r="Y16" i="3"/>
  <c r="AA16" i="6"/>
  <c r="AA15" i="6"/>
  <c r="Y15" i="3"/>
  <c r="U23" i="3"/>
  <c r="W23" i="6"/>
  <c r="G19" i="4"/>
  <c r="L18" i="4"/>
  <c r="O18" i="4"/>
  <c r="G18" i="4"/>
  <c r="M16" i="3"/>
  <c r="M16" i="6" s="1"/>
  <c r="Z14" i="6"/>
  <c r="X14" i="3"/>
  <c r="AA14" i="4"/>
  <c r="Z14" i="4"/>
  <c r="AA13" i="6"/>
  <c r="Y13" i="3"/>
  <c r="Y17" i="4"/>
  <c r="K20" i="4"/>
  <c r="L16" i="4" s="1"/>
  <c r="O10" i="4"/>
  <c r="C20" i="4"/>
  <c r="D13" i="4" s="1"/>
  <c r="G10" i="4"/>
  <c r="D14" i="4"/>
  <c r="G14" i="4"/>
  <c r="G17" i="4"/>
  <c r="V16" i="3"/>
  <c r="X16" i="6"/>
  <c r="X15" i="6"/>
  <c r="V15" i="3"/>
  <c r="X13" i="3"/>
  <c r="Z13" i="6"/>
  <c r="X17" i="4"/>
  <c r="Z17" i="6" s="1"/>
  <c r="AA13" i="4"/>
  <c r="Z13" i="4"/>
  <c r="Y11" i="3"/>
  <c r="AA11" i="6"/>
  <c r="Z11" i="4"/>
  <c r="Z11" i="6"/>
  <c r="X11" i="3"/>
  <c r="AA11" i="4"/>
  <c r="M20" i="4"/>
  <c r="N10" i="4"/>
  <c r="Z16" i="6"/>
  <c r="AB16" i="6" s="1"/>
  <c r="X16" i="3"/>
  <c r="AA16" i="4"/>
  <c r="Z16" i="4"/>
  <c r="AA28" i="6"/>
  <c r="Y28" i="3"/>
  <c r="Z28" i="3" s="1"/>
  <c r="Z28" i="4"/>
  <c r="AA25" i="6"/>
  <c r="Y25" i="3"/>
  <c r="Z25" i="3" s="1"/>
  <c r="Z25" i="4"/>
  <c r="W16" i="6"/>
  <c r="U16" i="3"/>
  <c r="W15" i="6"/>
  <c r="W12" i="11" s="1"/>
  <c r="U15" i="3"/>
  <c r="V14" i="3"/>
  <c r="X14" i="6"/>
  <c r="Z28" i="6"/>
  <c r="X28" i="3"/>
  <c r="AA28" i="3" s="1"/>
  <c r="AA28" i="4"/>
  <c r="AA27" i="6"/>
  <c r="Y27" i="3"/>
  <c r="AA27" i="4"/>
  <c r="Z27" i="4"/>
  <c r="X25" i="3"/>
  <c r="Z25" i="6"/>
  <c r="AA25" i="4"/>
  <c r="AA23" i="6"/>
  <c r="Y23" i="3"/>
  <c r="Z23" i="3" s="1"/>
  <c r="Z23" i="4"/>
  <c r="U14" i="3"/>
  <c r="W14" i="6"/>
  <c r="W11" i="11" s="1"/>
  <c r="X13" i="6"/>
  <c r="V13" i="3"/>
  <c r="V17" i="3" s="1"/>
  <c r="V19" i="3" s="1"/>
  <c r="V21" i="3" s="1"/>
  <c r="V30" i="3" s="1"/>
  <c r="V17" i="4"/>
  <c r="Z15" i="6"/>
  <c r="X15" i="3"/>
  <c r="AA15" i="4"/>
  <c r="Z15" i="4"/>
  <c r="V27" i="3"/>
  <c r="X27" i="6"/>
  <c r="Z23" i="6"/>
  <c r="X23" i="3"/>
  <c r="AA23" i="4"/>
  <c r="U13" i="3"/>
  <c r="U17" i="3" s="1"/>
  <c r="U19" i="3" s="1"/>
  <c r="U21" i="3" s="1"/>
  <c r="W13" i="6"/>
  <c r="W10" i="11" s="1"/>
  <c r="U17" i="4"/>
  <c r="X11" i="6"/>
  <c r="V11" i="3"/>
  <c r="W11" i="6"/>
  <c r="U11" i="3"/>
  <c r="AA14" i="6"/>
  <c r="Y14" i="3"/>
  <c r="K30" i="6"/>
  <c r="O30" i="3"/>
  <c r="K32" i="3"/>
  <c r="C30" i="6"/>
  <c r="G30" i="3"/>
  <c r="C32" i="3"/>
  <c r="M27" i="11"/>
  <c r="E27" i="11"/>
  <c r="M26" i="6"/>
  <c r="M28" i="3"/>
  <c r="E26" i="6"/>
  <c r="E28" i="3"/>
  <c r="G28" i="3" s="1"/>
  <c r="K18" i="6"/>
  <c r="O18" i="3"/>
  <c r="C18" i="6"/>
  <c r="G18" i="3"/>
  <c r="M17" i="11"/>
  <c r="K11" i="6"/>
  <c r="O11" i="3"/>
  <c r="M10" i="6"/>
  <c r="M20" i="3"/>
  <c r="N22" i="3" s="1"/>
  <c r="C11" i="6"/>
  <c r="G11" i="3"/>
  <c r="E10" i="6"/>
  <c r="E20" i="3"/>
  <c r="F12" i="3" s="1"/>
  <c r="K27" i="6"/>
  <c r="O27" i="3"/>
  <c r="C27" i="6"/>
  <c r="T19" i="6" s="1"/>
  <c r="G27" i="3"/>
  <c r="K26" i="6"/>
  <c r="K28" i="3"/>
  <c r="O26" i="3"/>
  <c r="C26" i="6"/>
  <c r="G26" i="3"/>
  <c r="C28" i="3"/>
  <c r="M22" i="6"/>
  <c r="E22" i="11"/>
  <c r="K17" i="6"/>
  <c r="O17" i="3"/>
  <c r="L17" i="3"/>
  <c r="C17" i="6"/>
  <c r="G17" i="3"/>
  <c r="C16" i="6"/>
  <c r="G16" i="3"/>
  <c r="M15" i="6"/>
  <c r="E15" i="6"/>
  <c r="E15" i="11" s="1"/>
  <c r="E14" i="6"/>
  <c r="K10" i="6"/>
  <c r="O10" i="3"/>
  <c r="K20" i="3"/>
  <c r="L22" i="3" s="1"/>
  <c r="C10" i="6"/>
  <c r="G10" i="3"/>
  <c r="C20" i="3"/>
  <c r="D11" i="3" s="1"/>
  <c r="E46" i="6"/>
  <c r="M42" i="6"/>
  <c r="M39" i="6"/>
  <c r="M38" i="6"/>
  <c r="E32" i="6"/>
  <c r="K22" i="6"/>
  <c r="O22" i="3"/>
  <c r="C22" i="6"/>
  <c r="T11" i="6" s="1"/>
  <c r="G22" i="3"/>
  <c r="K16" i="6"/>
  <c r="O16" i="3"/>
  <c r="L16" i="3"/>
  <c r="K15" i="6"/>
  <c r="O15" i="3"/>
  <c r="C15" i="6"/>
  <c r="G15" i="3"/>
  <c r="K14" i="6"/>
  <c r="O14" i="3"/>
  <c r="C14" i="6"/>
  <c r="G14" i="3"/>
  <c r="M13" i="6"/>
  <c r="E13" i="6"/>
  <c r="E13" i="11" s="1"/>
  <c r="M46" i="6"/>
  <c r="E42" i="6"/>
  <c r="E39" i="6"/>
  <c r="E38" i="6"/>
  <c r="M32" i="6"/>
  <c r="E30" i="6"/>
  <c r="E32" i="3"/>
  <c r="G19" i="3"/>
  <c r="C13" i="6"/>
  <c r="G13" i="3"/>
  <c r="C38" i="6"/>
  <c r="G38" i="3"/>
  <c r="C42" i="6"/>
  <c r="G42" i="3"/>
  <c r="K46" i="6"/>
  <c r="O46" i="3"/>
  <c r="L46" i="3"/>
  <c r="K38" i="6"/>
  <c r="O38" i="3"/>
  <c r="L38" i="3"/>
  <c r="K32" i="6"/>
  <c r="O31" i="3"/>
  <c r="M11" i="6"/>
  <c r="M12" i="6"/>
  <c r="C46" i="6"/>
  <c r="G46" i="3"/>
  <c r="M18" i="6"/>
  <c r="C32" i="6"/>
  <c r="G31" i="3"/>
  <c r="C39" i="6"/>
  <c r="G39" i="3"/>
  <c r="E18" i="6"/>
  <c r="K12" i="6"/>
  <c r="O12" i="3"/>
  <c r="E11" i="6"/>
  <c r="E12" i="6"/>
  <c r="E12" i="11" s="1"/>
  <c r="K42" i="6"/>
  <c r="O42" i="3"/>
  <c r="L42" i="3"/>
  <c r="K39" i="6"/>
  <c r="O39" i="3"/>
  <c r="L39" i="3"/>
  <c r="K13" i="6"/>
  <c r="O13" i="3"/>
  <c r="M30" i="6"/>
  <c r="M32" i="3"/>
  <c r="O19" i="3"/>
  <c r="L19" i="3"/>
  <c r="C12" i="6"/>
  <c r="G12" i="3"/>
  <c r="Y23" i="6"/>
  <c r="W23" i="3"/>
  <c r="P16" i="3"/>
  <c r="Q16" i="4"/>
  <c r="R16" i="4"/>
  <c r="AB13" i="3"/>
  <c r="AC13" i="3" s="1"/>
  <c r="AD13" i="6"/>
  <c r="AA10" i="11" s="1"/>
  <c r="AE10" i="11" s="1"/>
  <c r="AC13" i="4"/>
  <c r="AB17" i="4"/>
  <c r="AB19" i="4" s="1"/>
  <c r="R14" i="4"/>
  <c r="J14" i="4"/>
  <c r="I14" i="4"/>
  <c r="AD11" i="6"/>
  <c r="AB11" i="3"/>
  <c r="AC11" i="4"/>
  <c r="R13" i="4"/>
  <c r="Q46" i="4"/>
  <c r="R46" i="4"/>
  <c r="J46" i="4"/>
  <c r="R42" i="4"/>
  <c r="J42" i="4"/>
  <c r="Q39" i="4"/>
  <c r="R39" i="4"/>
  <c r="J39" i="4"/>
  <c r="R38" i="4"/>
  <c r="J38" i="4"/>
  <c r="Q31" i="4"/>
  <c r="R31" i="4"/>
  <c r="J31" i="4"/>
  <c r="AB28" i="3"/>
  <c r="AC28" i="3" s="1"/>
  <c r="AD28" i="6"/>
  <c r="AC28" i="4"/>
  <c r="AB25" i="3"/>
  <c r="AC25" i="3" s="1"/>
  <c r="AD25" i="6"/>
  <c r="AC25" i="4"/>
  <c r="Q30" i="4"/>
  <c r="R30" i="4"/>
  <c r="P32" i="4"/>
  <c r="J30" i="4"/>
  <c r="H32" i="4"/>
  <c r="AB27" i="3"/>
  <c r="AC27" i="3" s="1"/>
  <c r="AD27" i="6"/>
  <c r="AC27" i="4"/>
  <c r="R27" i="4"/>
  <c r="J27" i="4"/>
  <c r="R26" i="4"/>
  <c r="Q26" i="4"/>
  <c r="P28" i="4"/>
  <c r="J26" i="4"/>
  <c r="H28" i="4"/>
  <c r="AD23" i="6"/>
  <c r="AB23" i="3"/>
  <c r="AC23" i="3" s="1"/>
  <c r="AC23" i="4"/>
  <c r="Y16" i="6"/>
  <c r="W16" i="3"/>
  <c r="W15" i="3"/>
  <c r="Y15" i="6"/>
  <c r="R11" i="4"/>
  <c r="Q11" i="4"/>
  <c r="J11" i="4"/>
  <c r="W11" i="3"/>
  <c r="Y11" i="6"/>
  <c r="W19" i="4"/>
  <c r="W21" i="4" s="1"/>
  <c r="W30" i="4" s="1"/>
  <c r="R10" i="4"/>
  <c r="P20" i="4"/>
  <c r="Q19" i="4" s="1"/>
  <c r="Y14" i="6"/>
  <c r="W14" i="3"/>
  <c r="I20" i="4"/>
  <c r="J22" i="4"/>
  <c r="J13" i="4"/>
  <c r="R22" i="4"/>
  <c r="W13" i="3"/>
  <c r="Y13" i="6"/>
  <c r="W17" i="4"/>
  <c r="Y17" i="6" s="1"/>
  <c r="AG14" i="11" s="1"/>
  <c r="J10" i="4"/>
  <c r="I10" i="4"/>
  <c r="H20" i="4"/>
  <c r="I15" i="4" s="1"/>
  <c r="R12" i="4"/>
  <c r="J19" i="4"/>
  <c r="R18" i="4"/>
  <c r="J18" i="4"/>
  <c r="AD16" i="6"/>
  <c r="AB16" i="3"/>
  <c r="AC16" i="3" s="1"/>
  <c r="AC16" i="4"/>
  <c r="AD15" i="6"/>
  <c r="AB15" i="3"/>
  <c r="AC15" i="3" s="1"/>
  <c r="AC15" i="4"/>
  <c r="J12" i="4"/>
  <c r="Y28" i="6"/>
  <c r="W28" i="3"/>
  <c r="Y25" i="6"/>
  <c r="W25" i="3"/>
  <c r="R17" i="4"/>
  <c r="J17" i="4"/>
  <c r="AD14" i="6"/>
  <c r="AB14" i="3"/>
  <c r="AC14" i="4"/>
  <c r="J16" i="4"/>
  <c r="R15" i="4"/>
  <c r="J15" i="4"/>
  <c r="P13" i="6"/>
  <c r="R13" i="3"/>
  <c r="H13" i="6"/>
  <c r="J13" i="3"/>
  <c r="P46" i="6"/>
  <c r="R46" i="3"/>
  <c r="H46" i="6"/>
  <c r="J46" i="3"/>
  <c r="P42" i="6"/>
  <c r="R42" i="3"/>
  <c r="H42" i="6"/>
  <c r="J42" i="3"/>
  <c r="I42" i="3"/>
  <c r="P39" i="6"/>
  <c r="R39" i="3"/>
  <c r="H39" i="6"/>
  <c r="J39" i="3"/>
  <c r="I39" i="3"/>
  <c r="P38" i="6"/>
  <c r="R38" i="3"/>
  <c r="H38" i="6"/>
  <c r="J38" i="3"/>
  <c r="P32" i="6"/>
  <c r="R31" i="3"/>
  <c r="H32" i="6"/>
  <c r="I31" i="3"/>
  <c r="J31" i="3"/>
  <c r="R19" i="3"/>
  <c r="H19" i="6"/>
  <c r="H19" i="11" s="1"/>
  <c r="J19" i="3"/>
  <c r="P12" i="6"/>
  <c r="R12" i="3"/>
  <c r="H12" i="6"/>
  <c r="J12" i="3"/>
  <c r="P26" i="6"/>
  <c r="R26" i="3"/>
  <c r="P28" i="3"/>
  <c r="H17" i="6"/>
  <c r="J17" i="3"/>
  <c r="I17" i="3"/>
  <c r="P30" i="6"/>
  <c r="R30" i="3"/>
  <c r="P32" i="3"/>
  <c r="H30" i="6"/>
  <c r="H32" i="3"/>
  <c r="I30" i="3"/>
  <c r="J30" i="3"/>
  <c r="P18" i="6"/>
  <c r="R18" i="3"/>
  <c r="H18" i="6"/>
  <c r="J18" i="3"/>
  <c r="H27" i="6"/>
  <c r="J27" i="3"/>
  <c r="I27" i="3"/>
  <c r="P11" i="6"/>
  <c r="R11" i="3"/>
  <c r="H11" i="6"/>
  <c r="J11" i="3"/>
  <c r="P27" i="6"/>
  <c r="R27" i="3"/>
  <c r="H26" i="6"/>
  <c r="J26" i="3"/>
  <c r="H28" i="3"/>
  <c r="H28" i="6" s="1"/>
  <c r="I26" i="3"/>
  <c r="P17" i="6"/>
  <c r="R17" i="3"/>
  <c r="P15" i="6"/>
  <c r="R15" i="3"/>
  <c r="H10" i="6"/>
  <c r="H20" i="3"/>
  <c r="I46" i="3" s="1"/>
  <c r="J10" i="3"/>
  <c r="I10" i="3"/>
  <c r="H22" i="6"/>
  <c r="J22" i="3"/>
  <c r="I20" i="3"/>
  <c r="H14" i="6"/>
  <c r="J14" i="3"/>
  <c r="I14" i="3"/>
  <c r="P22" i="6"/>
  <c r="R22" i="3"/>
  <c r="P10" i="6"/>
  <c r="P20" i="3"/>
  <c r="R10" i="3"/>
  <c r="H15" i="6"/>
  <c r="J15" i="3"/>
  <c r="AB8" i="11"/>
  <c r="AK8" i="11"/>
  <c r="AC10" i="10"/>
  <c r="X10" i="10"/>
  <c r="L36" i="9"/>
  <c r="L42" i="9"/>
  <c r="L31" i="9"/>
  <c r="L32" i="9"/>
  <c r="N11" i="9"/>
  <c r="R11" i="9"/>
  <c r="R42" i="9"/>
  <c r="N42" i="9"/>
  <c r="AC10" i="9"/>
  <c r="X17" i="9"/>
  <c r="AA17" i="9" s="1"/>
  <c r="AA17" i="8"/>
  <c r="F46" i="9"/>
  <c r="J46" i="9"/>
  <c r="I43" i="9"/>
  <c r="F39" i="9"/>
  <c r="J39" i="9"/>
  <c r="F11" i="9"/>
  <c r="J11" i="9"/>
  <c r="Q26" i="9"/>
  <c r="Q39" i="9"/>
  <c r="Q22" i="9"/>
  <c r="Q17" i="9"/>
  <c r="Q28" i="9"/>
  <c r="Q45" i="9"/>
  <c r="Q27" i="9"/>
  <c r="Q32" i="9"/>
  <c r="Q43" i="9"/>
  <c r="Q14" i="9"/>
  <c r="P14" i="11"/>
  <c r="AC16" i="9"/>
  <c r="Q16" i="9"/>
  <c r="Z10" i="9"/>
  <c r="I15" i="9"/>
  <c r="N10" i="9"/>
  <c r="J12" i="9"/>
  <c r="F38" i="9"/>
  <c r="J34" i="9"/>
  <c r="R31" i="9"/>
  <c r="Q12" i="9"/>
  <c r="N34" i="9"/>
  <c r="AB30" i="9"/>
  <c r="J31" i="9"/>
  <c r="AE8" i="11"/>
  <c r="V21" i="9"/>
  <c r="V30" i="9" s="1"/>
  <c r="N38" i="9"/>
  <c r="Q18" i="9"/>
  <c r="B5" i="2"/>
  <c r="A7" i="10"/>
  <c r="C59" i="12"/>
  <c r="A8" i="5"/>
  <c r="I22" i="3"/>
  <c r="H20" i="6"/>
  <c r="AC17" i="4"/>
  <c r="AD17" i="6"/>
  <c r="AD19" i="6" s="1"/>
  <c r="AB17" i="3"/>
  <c r="Z17" i="4"/>
  <c r="AA17" i="6"/>
  <c r="W21" i="3"/>
  <c r="AC17" i="6"/>
  <c r="V19" i="4"/>
  <c r="V21" i="4" s="1"/>
  <c r="V30" i="4" s="1"/>
  <c r="X17" i="6"/>
  <c r="U19" i="4"/>
  <c r="U21" i="4" s="1"/>
  <c r="U30" i="4" s="1"/>
  <c r="W17" i="6"/>
  <c r="W19" i="6" s="1"/>
  <c r="G34" i="8"/>
  <c r="C42" i="9"/>
  <c r="G42" i="9" s="1"/>
  <c r="F24" i="9"/>
  <c r="J24" i="9"/>
  <c r="N24" i="9"/>
  <c r="R24" i="9"/>
  <c r="Z19" i="8"/>
  <c r="X19" i="9"/>
  <c r="AA19" i="9" s="1"/>
  <c r="J18" i="9"/>
  <c r="F18" i="9"/>
  <c r="O19" i="9"/>
  <c r="N12" i="9"/>
  <c r="R12" i="9"/>
  <c r="N30" i="9"/>
  <c r="R30" i="9"/>
  <c r="J19" i="9"/>
  <c r="E19" i="11"/>
  <c r="F19" i="9"/>
  <c r="F30" i="9"/>
  <c r="J30" i="9"/>
  <c r="O36" i="9"/>
  <c r="R58" i="7" s="1"/>
  <c r="N58" i="7"/>
  <c r="G43" i="9"/>
  <c r="C64" i="7"/>
  <c r="N14" i="9"/>
  <c r="R14" i="9"/>
  <c r="G36" i="9"/>
  <c r="C58" i="7"/>
  <c r="N22" i="9"/>
  <c r="R22" i="9"/>
  <c r="N20" i="9"/>
  <c r="R19" i="9"/>
  <c r="M19" i="11"/>
  <c r="AC27" i="9"/>
  <c r="AK26" i="11"/>
  <c r="I20" i="9"/>
  <c r="I11" i="9"/>
  <c r="I13" i="9"/>
  <c r="Z14" i="9"/>
  <c r="AA14" i="9"/>
  <c r="AA13" i="11" s="1"/>
  <c r="AE13" i="11" s="1"/>
  <c r="J17" i="9"/>
  <c r="F17" i="9"/>
  <c r="J16" i="11"/>
  <c r="F22" i="9"/>
  <c r="J22" i="9"/>
  <c r="L43" i="9"/>
  <c r="O20" i="9"/>
  <c r="L39" i="9"/>
  <c r="L38" i="9"/>
  <c r="L27" i="9"/>
  <c r="L20" i="9"/>
  <c r="L19" i="9"/>
  <c r="L16" i="9"/>
  <c r="L34" i="9"/>
  <c r="L30" i="9"/>
  <c r="L26" i="9"/>
  <c r="L24" i="9"/>
  <c r="L18" i="9"/>
  <c r="L13" i="9"/>
  <c r="L28" i="9"/>
  <c r="L17" i="9"/>
  <c r="L11" i="9"/>
  <c r="L45" i="9"/>
  <c r="L15" i="9"/>
  <c r="L14" i="9"/>
  <c r="L22" i="9"/>
  <c r="L12" i="9"/>
  <c r="L21" i="9"/>
  <c r="L10" i="9"/>
  <c r="L46" i="9"/>
  <c r="J16" i="9"/>
  <c r="F16" i="9"/>
  <c r="Q20" i="9"/>
  <c r="Q13" i="9"/>
  <c r="Q11" i="9"/>
  <c r="Q15" i="9"/>
  <c r="Q19" i="9"/>
  <c r="P19" i="11"/>
  <c r="F20" i="9"/>
  <c r="Y7" i="6"/>
  <c r="AD7" i="6" s="1"/>
  <c r="P7" i="6"/>
  <c r="U30" i="8"/>
  <c r="U21" i="9"/>
  <c r="W7" i="6"/>
  <c r="Z7" i="6" s="1"/>
  <c r="K7" i="6"/>
  <c r="U7" i="10"/>
  <c r="K7" i="10"/>
  <c r="X7" i="10" s="1"/>
  <c r="P7" i="8"/>
  <c r="H7" i="9"/>
  <c r="A5" i="10"/>
  <c r="A6" i="5"/>
  <c r="P7" i="7"/>
  <c r="X7" i="7"/>
  <c r="AC7" i="7" s="1"/>
  <c r="T6" i="8"/>
  <c r="B6" i="9"/>
  <c r="K7" i="8"/>
  <c r="U7" i="8"/>
  <c r="X7" i="8" s="1"/>
  <c r="C7" i="9"/>
  <c r="M7" i="8"/>
  <c r="V7" i="8" s="1"/>
  <c r="Y7" i="8" s="1"/>
  <c r="E7" i="9"/>
  <c r="M7" i="9" s="1"/>
  <c r="V7" i="9" s="1"/>
  <c r="Y7" i="9" s="1"/>
  <c r="Y22" i="11"/>
  <c r="AH22" i="11"/>
  <c r="X19" i="11"/>
  <c r="AG19" i="11"/>
  <c r="AH19" i="11"/>
  <c r="Y19" i="11"/>
  <c r="AK13" i="11"/>
  <c r="AB13" i="11"/>
  <c r="AE11" i="6"/>
  <c r="AA9" i="11"/>
  <c r="AA22" i="11"/>
  <c r="AE22" i="11" s="1"/>
  <c r="AE28" i="6"/>
  <c r="AE25" i="6"/>
  <c r="W19" i="11"/>
  <c r="AA19" i="11"/>
  <c r="AE23" i="6"/>
  <c r="X13" i="11"/>
  <c r="AG13" i="11"/>
  <c r="X12" i="11"/>
  <c r="AG12" i="11"/>
  <c r="AB14" i="6"/>
  <c r="AI11" i="11" s="1"/>
  <c r="Z11" i="11"/>
  <c r="AC14" i="6"/>
  <c r="AA13" i="3"/>
  <c r="AE13" i="6"/>
  <c r="Y13" i="11"/>
  <c r="AH13" i="11"/>
  <c r="Y12" i="11"/>
  <c r="AH12" i="11"/>
  <c r="AG11" i="11"/>
  <c r="X11" i="11"/>
  <c r="AA19" i="6"/>
  <c r="AB9" i="11"/>
  <c r="AK9" i="11"/>
  <c r="Z16" i="3"/>
  <c r="AA16" i="3"/>
  <c r="AC16" i="6"/>
  <c r="AB28" i="6"/>
  <c r="AB22" i="11"/>
  <c r="AK22" i="11"/>
  <c r="AC25" i="6"/>
  <c r="AB20" i="11"/>
  <c r="AK20" i="11"/>
  <c r="AB25" i="6"/>
  <c r="Y11" i="11"/>
  <c r="AH11" i="11"/>
  <c r="X10" i="11"/>
  <c r="X14" i="11" s="1"/>
  <c r="AG10" i="11"/>
  <c r="AC28" i="6"/>
  <c r="AK21" i="11"/>
  <c r="AB23" i="6"/>
  <c r="AI19" i="11" s="1"/>
  <c r="AB19" i="11"/>
  <c r="AC19" i="11" s="1"/>
  <c r="AK19" i="11"/>
  <c r="AE16" i="6"/>
  <c r="AA12" i="11"/>
  <c r="AE12" i="11" s="1"/>
  <c r="Y10" i="11"/>
  <c r="AH10" i="11"/>
  <c r="Z12" i="11"/>
  <c r="X22" i="11"/>
  <c r="AG22" i="11"/>
  <c r="AH21" i="11"/>
  <c r="Y21" i="11"/>
  <c r="X20" i="11"/>
  <c r="AC23" i="6"/>
  <c r="Z19" i="11"/>
  <c r="AE14" i="6"/>
  <c r="AA11" i="11"/>
  <c r="AE11" i="11" s="1"/>
  <c r="X19" i="6"/>
  <c r="AH9" i="11"/>
  <c r="Y9" i="11"/>
  <c r="AB11" i="11"/>
  <c r="AC11" i="11" s="1"/>
  <c r="AK11" i="11"/>
  <c r="K41" i="10"/>
  <c r="O36" i="10"/>
  <c r="AA10" i="10"/>
  <c r="AC19" i="9"/>
  <c r="Y21" i="9"/>
  <c r="Y20" i="11" s="1"/>
  <c r="R24" i="8"/>
  <c r="M36" i="8"/>
  <c r="M36" i="9" s="1"/>
  <c r="N24" i="8"/>
  <c r="O24" i="8"/>
  <c r="K36" i="8"/>
  <c r="K45" i="9" s="1"/>
  <c r="O45" i="9" s="1"/>
  <c r="G24" i="8"/>
  <c r="C36" i="8"/>
  <c r="C45" i="9" s="1"/>
  <c r="G45" i="9" s="1"/>
  <c r="J24" i="8"/>
  <c r="E36" i="8"/>
  <c r="E36" i="9" s="1"/>
  <c r="J36" i="9" s="1"/>
  <c r="F24" i="8"/>
  <c r="X21" i="8"/>
  <c r="X21" i="9" s="1"/>
  <c r="X30" i="9" s="1"/>
  <c r="AA19" i="8"/>
  <c r="AC21" i="8"/>
  <c r="Y30" i="8"/>
  <c r="Z21" i="8"/>
  <c r="I32" i="7"/>
  <c r="X38" i="7"/>
  <c r="N27" i="7"/>
  <c r="L20" i="7"/>
  <c r="K24" i="7"/>
  <c r="O20" i="7"/>
  <c r="D27" i="7"/>
  <c r="P34" i="7"/>
  <c r="R28" i="7"/>
  <c r="Q28" i="7"/>
  <c r="F20" i="7"/>
  <c r="E24" i="7"/>
  <c r="Z30" i="7"/>
  <c r="AD21" i="7"/>
  <c r="I39" i="7"/>
  <c r="I42" i="7"/>
  <c r="N39" i="7"/>
  <c r="I31" i="7"/>
  <c r="I26" i="7"/>
  <c r="L39" i="7"/>
  <c r="L12" i="7"/>
  <c r="N38" i="7"/>
  <c r="Y21" i="7"/>
  <c r="AB19" i="7"/>
  <c r="K34" i="7"/>
  <c r="O28" i="7"/>
  <c r="L28" i="7"/>
  <c r="N28" i="7"/>
  <c r="M34" i="7"/>
  <c r="N34" i="7" s="1"/>
  <c r="D20" i="7"/>
  <c r="C24" i="7"/>
  <c r="G20" i="7"/>
  <c r="L38" i="7"/>
  <c r="L26" i="7"/>
  <c r="N11" i="7"/>
  <c r="R32" i="7"/>
  <c r="Q32" i="7"/>
  <c r="P24" i="7"/>
  <c r="R20" i="7"/>
  <c r="Q20" i="7"/>
  <c r="Q38" i="7"/>
  <c r="L22" i="7"/>
  <c r="D11" i="7"/>
  <c r="H34" i="7"/>
  <c r="J28" i="7"/>
  <c r="I28" i="7"/>
  <c r="D39" i="7"/>
  <c r="D12" i="7"/>
  <c r="N31" i="7"/>
  <c r="L32" i="7"/>
  <c r="O32" i="7"/>
  <c r="I27" i="7"/>
  <c r="F28" i="7"/>
  <c r="E34" i="7"/>
  <c r="F34" i="7" s="1"/>
  <c r="G28" i="7"/>
  <c r="D28" i="7"/>
  <c r="H24" i="7"/>
  <c r="J20" i="7"/>
  <c r="I20" i="7"/>
  <c r="N20" i="7"/>
  <c r="M24" i="7"/>
  <c r="I11" i="7"/>
  <c r="AA19" i="7"/>
  <c r="N22" i="7"/>
  <c r="I30" i="7"/>
  <c r="I10" i="7"/>
  <c r="N12" i="7"/>
  <c r="N42" i="7"/>
  <c r="I22" i="7"/>
  <c r="D42" i="5"/>
  <c r="D13" i="5"/>
  <c r="L18" i="5"/>
  <c r="I15" i="5"/>
  <c r="H24" i="5"/>
  <c r="J20" i="5"/>
  <c r="I12" i="5"/>
  <c r="I10" i="5"/>
  <c r="I16" i="5"/>
  <c r="I14" i="5"/>
  <c r="I46" i="5"/>
  <c r="I11" i="5"/>
  <c r="L22" i="5"/>
  <c r="I27" i="5"/>
  <c r="E34" i="5"/>
  <c r="D20" i="5"/>
  <c r="D14" i="5"/>
  <c r="D11" i="5"/>
  <c r="D30" i="5"/>
  <c r="D17" i="5"/>
  <c r="D15" i="5"/>
  <c r="D38" i="5"/>
  <c r="C24" i="5"/>
  <c r="D12" i="5"/>
  <c r="D16" i="5"/>
  <c r="D46" i="5"/>
  <c r="I26" i="5"/>
  <c r="L31" i="5"/>
  <c r="L20" i="5"/>
  <c r="L14" i="5"/>
  <c r="L30" i="5"/>
  <c r="L19" i="5"/>
  <c r="L17" i="5"/>
  <c r="D26" i="5"/>
  <c r="L13" i="5"/>
  <c r="D27" i="5"/>
  <c r="D22" i="5"/>
  <c r="L27" i="5"/>
  <c r="AA30" i="4"/>
  <c r="R32" i="4"/>
  <c r="Q32" i="4"/>
  <c r="F16" i="4"/>
  <c r="F38" i="4"/>
  <c r="L14" i="4"/>
  <c r="L46" i="4"/>
  <c r="L39" i="4"/>
  <c r="L31" i="4"/>
  <c r="I17" i="4"/>
  <c r="L12" i="4"/>
  <c r="F13" i="4"/>
  <c r="Q12" i="4"/>
  <c r="D28" i="4"/>
  <c r="G28" i="4"/>
  <c r="C34" i="4"/>
  <c r="F15" i="4"/>
  <c r="L10" i="4"/>
  <c r="F12" i="4"/>
  <c r="L19" i="4"/>
  <c r="F14" i="4"/>
  <c r="N20" i="4"/>
  <c r="M24" i="4"/>
  <c r="F46" i="4"/>
  <c r="F31" i="4"/>
  <c r="N12" i="4"/>
  <c r="N30" i="4"/>
  <c r="F27" i="4"/>
  <c r="Q18" i="4"/>
  <c r="D46" i="4"/>
  <c r="D39" i="4"/>
  <c r="D31" i="4"/>
  <c r="D12" i="4"/>
  <c r="F19" i="4"/>
  <c r="AB21" i="4"/>
  <c r="AC19" i="4"/>
  <c r="J32" i="4"/>
  <c r="I32" i="4"/>
  <c r="N42" i="4"/>
  <c r="N11" i="4"/>
  <c r="N32" i="4"/>
  <c r="M34" i="4"/>
  <c r="N34" i="4" s="1"/>
  <c r="N28" i="4"/>
  <c r="F11" i="4"/>
  <c r="F22" i="4"/>
  <c r="F10" i="4"/>
  <c r="O20" i="4"/>
  <c r="K24" i="4"/>
  <c r="L20" i="4"/>
  <c r="L17" i="4"/>
  <c r="D22" i="4"/>
  <c r="F42" i="4"/>
  <c r="H24" i="4"/>
  <c r="J20" i="4"/>
  <c r="N26" i="4"/>
  <c r="I18" i="4"/>
  <c r="L42" i="4"/>
  <c r="L38" i="4"/>
  <c r="L13" i="4"/>
  <c r="D11" i="4"/>
  <c r="F20" i="4"/>
  <c r="E24" i="4"/>
  <c r="H34" i="4"/>
  <c r="J28" i="4"/>
  <c r="I28" i="4"/>
  <c r="AA17" i="4"/>
  <c r="L15" i="4"/>
  <c r="N39" i="4"/>
  <c r="Q22" i="4"/>
  <c r="F32" i="4"/>
  <c r="E34" i="4"/>
  <c r="F34" i="4" s="1"/>
  <c r="F28" i="4"/>
  <c r="I16" i="4"/>
  <c r="P24" i="4"/>
  <c r="R20" i="4"/>
  <c r="Q20" i="4"/>
  <c r="F39" i="4"/>
  <c r="F26" i="4"/>
  <c r="I12" i="4"/>
  <c r="D42" i="4"/>
  <c r="D38" i="4"/>
  <c r="Q17" i="4"/>
  <c r="G32" i="4"/>
  <c r="D32" i="4"/>
  <c r="L28" i="4"/>
  <c r="O28" i="4"/>
  <c r="K34" i="4"/>
  <c r="G20" i="4"/>
  <c r="C24" i="4"/>
  <c r="D20" i="4"/>
  <c r="Q10" i="4"/>
  <c r="Y19" i="4"/>
  <c r="X19" i="4"/>
  <c r="N38" i="4"/>
  <c r="D15" i="4"/>
  <c r="F17" i="4"/>
  <c r="Q15" i="4"/>
  <c r="L22" i="4"/>
  <c r="M24" i="3"/>
  <c r="N16" i="3"/>
  <c r="N14" i="3"/>
  <c r="N20" i="3"/>
  <c r="O32" i="3"/>
  <c r="L32" i="3"/>
  <c r="M34" i="3"/>
  <c r="N34" i="3" s="1"/>
  <c r="N28" i="3"/>
  <c r="N17" i="3"/>
  <c r="N15" i="3"/>
  <c r="P34" i="3"/>
  <c r="R28" i="3"/>
  <c r="Q28" i="3"/>
  <c r="N38" i="3"/>
  <c r="D38" i="3"/>
  <c r="L31" i="3"/>
  <c r="N12" i="3"/>
  <c r="L12" i="3"/>
  <c r="L13" i="3"/>
  <c r="N26" i="3"/>
  <c r="F17" i="3"/>
  <c r="F15" i="3"/>
  <c r="J32" i="3"/>
  <c r="I32" i="3"/>
  <c r="F31" i="3"/>
  <c r="N46" i="3"/>
  <c r="H34" i="3"/>
  <c r="J28" i="3"/>
  <c r="I28" i="3"/>
  <c r="D13" i="3"/>
  <c r="R32" i="3"/>
  <c r="Q38" i="3"/>
  <c r="F14" i="3"/>
  <c r="F19" i="3"/>
  <c r="F42" i="3"/>
  <c r="F11" i="3"/>
  <c r="N30" i="3"/>
  <c r="N42" i="3"/>
  <c r="G32" i="3"/>
  <c r="D32" i="3"/>
  <c r="F26" i="3"/>
  <c r="D28" i="3"/>
  <c r="C34" i="3"/>
  <c r="Q12" i="3"/>
  <c r="Q18" i="3"/>
  <c r="G20" i="3"/>
  <c r="C24" i="3"/>
  <c r="L15" i="3"/>
  <c r="N13" i="3"/>
  <c r="F39" i="3"/>
  <c r="Q17" i="3"/>
  <c r="N32" i="3"/>
  <c r="F16" i="3"/>
  <c r="E24" i="3"/>
  <c r="F20" i="3"/>
  <c r="N19" i="3"/>
  <c r="F13" i="3"/>
  <c r="F38" i="3"/>
  <c r="Q20" i="3"/>
  <c r="Q14" i="3"/>
  <c r="P24" i="3"/>
  <c r="F10" i="3"/>
  <c r="F22" i="3"/>
  <c r="Q30" i="3"/>
  <c r="F46" i="3"/>
  <c r="D15" i="3"/>
  <c r="Q11" i="3"/>
  <c r="N31" i="3"/>
  <c r="F30" i="3"/>
  <c r="N18" i="3"/>
  <c r="F18" i="3"/>
  <c r="F32" i="3"/>
  <c r="N27" i="3"/>
  <c r="F27" i="3"/>
  <c r="N10" i="3"/>
  <c r="L28" i="3"/>
  <c r="O28" i="3"/>
  <c r="K34" i="3"/>
  <c r="Q26" i="3"/>
  <c r="O20" i="3"/>
  <c r="K24" i="3"/>
  <c r="L20" i="3"/>
  <c r="N39" i="3"/>
  <c r="D22" i="3"/>
  <c r="L14" i="3"/>
  <c r="D19" i="3"/>
  <c r="J20" i="3"/>
  <c r="H24" i="3"/>
  <c r="H24" i="6" s="1"/>
  <c r="I24" i="6" s="1"/>
  <c r="I16" i="3"/>
  <c r="N11" i="3"/>
  <c r="I15" i="3"/>
  <c r="D30" i="3" l="1"/>
  <c r="F32" i="7"/>
  <c r="J32" i="7"/>
  <c r="Q22" i="3"/>
  <c r="Q27" i="3"/>
  <c r="Q15" i="3"/>
  <c r="Q39" i="3"/>
  <c r="R20" i="3"/>
  <c r="Q19" i="3"/>
  <c r="Q32" i="3"/>
  <c r="Q10" i="3"/>
  <c r="Q13" i="3"/>
  <c r="Q42" i="3"/>
  <c r="Q46" i="3"/>
  <c r="Q31" i="3"/>
  <c r="Y19" i="6"/>
  <c r="AG15" i="11" s="1"/>
  <c r="AG9" i="11"/>
  <c r="X9" i="11"/>
  <c r="X15" i="11" s="1"/>
  <c r="E18" i="11"/>
  <c r="AK12" i="11"/>
  <c r="AB15" i="6"/>
  <c r="AI12" i="11" s="1"/>
  <c r="AC15" i="6"/>
  <c r="AE15" i="6"/>
  <c r="AB12" i="11"/>
  <c r="AE19" i="6"/>
  <c r="L42" i="5"/>
  <c r="L12" i="5"/>
  <c r="L11" i="5"/>
  <c r="L26" i="5"/>
  <c r="L10" i="5"/>
  <c r="L38" i="5"/>
  <c r="L39" i="5"/>
  <c r="K24" i="5"/>
  <c r="L16" i="5"/>
  <c r="L15" i="5"/>
  <c r="C34" i="7"/>
  <c r="D32" i="7"/>
  <c r="G32" i="7"/>
  <c r="F28" i="3"/>
  <c r="O32" i="4"/>
  <c r="L32" i="4"/>
  <c r="E34" i="3"/>
  <c r="F34" i="3" s="1"/>
  <c r="AE27" i="6"/>
  <c r="AA21" i="11"/>
  <c r="E14" i="11"/>
  <c r="AK10" i="11"/>
  <c r="AB10" i="11"/>
  <c r="P34" i="4"/>
  <c r="R28" i="4"/>
  <c r="Q28" i="4"/>
  <c r="D42" i="3"/>
  <c r="D17" i="3"/>
  <c r="D46" i="3"/>
  <c r="D12" i="3"/>
  <c r="D20" i="3"/>
  <c r="D16" i="3"/>
  <c r="D39" i="3"/>
  <c r="D14" i="3"/>
  <c r="D31" i="3"/>
  <c r="D18" i="3"/>
  <c r="D10" i="3"/>
  <c r="D27" i="3"/>
  <c r="D26" i="3"/>
  <c r="AA14" i="3"/>
  <c r="Y17" i="3"/>
  <c r="U30" i="3"/>
  <c r="AA30" i="3" s="1"/>
  <c r="W21" i="6"/>
  <c r="W30" i="6" s="1"/>
  <c r="AA15" i="3"/>
  <c r="Z15" i="3"/>
  <c r="AC27" i="6"/>
  <c r="AB21" i="11"/>
  <c r="AB27" i="6"/>
  <c r="AI21" i="11" s="1"/>
  <c r="AB11" i="6"/>
  <c r="AC11" i="6"/>
  <c r="Z19" i="6"/>
  <c r="AC19" i="6" s="1"/>
  <c r="X17" i="3"/>
  <c r="AA17" i="3" s="1"/>
  <c r="Z13" i="3"/>
  <c r="Y14" i="11"/>
  <c r="D10" i="4"/>
  <c r="L11" i="4"/>
  <c r="L30" i="7"/>
  <c r="I11" i="3"/>
  <c r="I18" i="3"/>
  <c r="I19" i="3"/>
  <c r="W30" i="3"/>
  <c r="I22" i="4"/>
  <c r="I30" i="4"/>
  <c r="Q13" i="4"/>
  <c r="Q14" i="4"/>
  <c r="AA23" i="3"/>
  <c r="Q10" i="7"/>
  <c r="Q42" i="7"/>
  <c r="F26" i="7"/>
  <c r="AE19" i="11"/>
  <c r="AH20" i="11"/>
  <c r="Y21" i="6"/>
  <c r="J19" i="11"/>
  <c r="I11" i="4"/>
  <c r="I27" i="4"/>
  <c r="I38" i="4"/>
  <c r="I42" i="4"/>
  <c r="Z14" i="3"/>
  <c r="D27" i="4"/>
  <c r="Q12" i="7"/>
  <c r="Q46" i="7"/>
  <c r="F31" i="7"/>
  <c r="L27" i="7"/>
  <c r="D38" i="7"/>
  <c r="AD19" i="11"/>
  <c r="AD11" i="11"/>
  <c r="Z17" i="9"/>
  <c r="Z19" i="9"/>
  <c r="I12" i="3"/>
  <c r="I38" i="3"/>
  <c r="I13" i="3"/>
  <c r="AC14" i="3"/>
  <c r="W17" i="3"/>
  <c r="W19" i="3" s="1"/>
  <c r="Q38" i="4"/>
  <c r="Q42" i="4"/>
  <c r="L10" i="3"/>
  <c r="L26" i="3"/>
  <c r="L27" i="3"/>
  <c r="AA25" i="3"/>
  <c r="D19" i="4"/>
  <c r="D30" i="4"/>
  <c r="Q31" i="7"/>
  <c r="Q27" i="4"/>
  <c r="L11" i="3"/>
  <c r="L18" i="3"/>
  <c r="L30" i="3"/>
  <c r="N27" i="4"/>
  <c r="N13" i="4"/>
  <c r="N15" i="4"/>
  <c r="N19" i="4"/>
  <c r="N14" i="4"/>
  <c r="N18" i="4"/>
  <c r="N31" i="4"/>
  <c r="N22" i="4"/>
  <c r="N46" i="4"/>
  <c r="N17" i="4"/>
  <c r="D17" i="4"/>
  <c r="N16" i="4"/>
  <c r="D26" i="4"/>
  <c r="L27" i="4"/>
  <c r="Q26" i="7"/>
  <c r="L46" i="7"/>
  <c r="D42" i="7"/>
  <c r="AG20" i="11"/>
  <c r="I26" i="4"/>
  <c r="I31" i="4"/>
  <c r="I39" i="4"/>
  <c r="I46" i="4"/>
  <c r="Q39" i="7"/>
  <c r="F42" i="7"/>
  <c r="F46" i="7"/>
  <c r="F38" i="7"/>
  <c r="F11" i="7"/>
  <c r="F12" i="7"/>
  <c r="F22" i="7"/>
  <c r="F27" i="7"/>
  <c r="F39" i="7"/>
  <c r="Y15" i="11"/>
  <c r="AC17" i="3"/>
  <c r="I13" i="4"/>
  <c r="D18" i="4"/>
  <c r="L30" i="4"/>
  <c r="Q11" i="7"/>
  <c r="F30" i="7"/>
  <c r="M32" i="10"/>
  <c r="M34" i="10" s="1"/>
  <c r="U28" i="10"/>
  <c r="W22" i="11" s="1"/>
  <c r="O46" i="5"/>
  <c r="G27" i="5"/>
  <c r="M32" i="5"/>
  <c r="M28" i="5"/>
  <c r="M34" i="5" s="1"/>
  <c r="G46" i="5"/>
  <c r="G42" i="5"/>
  <c r="M20" i="5"/>
  <c r="J38" i="10"/>
  <c r="R38" i="10"/>
  <c r="J39" i="10"/>
  <c r="R39" i="10"/>
  <c r="H24" i="10"/>
  <c r="R31" i="5"/>
  <c r="R22" i="5"/>
  <c r="J31" i="5"/>
  <c r="E20" i="5"/>
  <c r="F34" i="5" s="1"/>
  <c r="O27" i="5"/>
  <c r="J27" i="5"/>
  <c r="R39" i="5"/>
  <c r="R27" i="5"/>
  <c r="J39" i="5"/>
  <c r="J24" i="10" l="1"/>
  <c r="Z17" i="3"/>
  <c r="AE21" i="11"/>
  <c r="F28" i="5"/>
  <c r="E24" i="5"/>
  <c r="F24" i="5" s="1"/>
  <c r="F19" i="5"/>
  <c r="G20" i="5"/>
  <c r="F27" i="5"/>
  <c r="F22" i="5"/>
  <c r="F18" i="5"/>
  <c r="F26" i="5"/>
  <c r="F12" i="5"/>
  <c r="F16" i="5"/>
  <c r="F11" i="5"/>
  <c r="F10" i="5"/>
  <c r="F13" i="5"/>
  <c r="F30" i="5"/>
  <c r="F20" i="5"/>
  <c r="F17" i="5"/>
  <c r="F15" i="5"/>
  <c r="F38" i="5"/>
  <c r="F14" i="5"/>
  <c r="F31" i="5"/>
  <c r="F42" i="5"/>
  <c r="F39" i="5"/>
  <c r="F32" i="5"/>
  <c r="F46" i="5"/>
  <c r="N16" i="5"/>
  <c r="N19" i="5"/>
  <c r="N32" i="5"/>
  <c r="N28" i="5"/>
  <c r="N11" i="5"/>
  <c r="N31" i="5"/>
  <c r="N27" i="5"/>
  <c r="M24" i="5"/>
  <c r="M36" i="5" s="1"/>
  <c r="N36" i="5" s="1"/>
  <c r="N20" i="5"/>
  <c r="N26" i="5"/>
  <c r="N22" i="5"/>
  <c r="N13" i="5"/>
  <c r="N42" i="5"/>
  <c r="N17" i="5"/>
  <c r="N39" i="5"/>
  <c r="N34" i="5"/>
  <c r="N18" i="5"/>
  <c r="N12" i="5"/>
  <c r="N30" i="5"/>
  <c r="N14" i="5"/>
  <c r="N10" i="5"/>
  <c r="N46" i="5"/>
  <c r="O20" i="5"/>
  <c r="N38" i="5"/>
  <c r="N15" i="5"/>
  <c r="AC21" i="11"/>
  <c r="AD21" i="11"/>
  <c r="H32" i="5"/>
  <c r="J30" i="5"/>
  <c r="J26" i="5"/>
  <c r="H28" i="5"/>
  <c r="O26" i="5"/>
  <c r="K28" i="5"/>
  <c r="C28" i="5"/>
  <c r="G26" i="5"/>
  <c r="P28" i="5"/>
  <c r="R26" i="5"/>
  <c r="P32" i="5"/>
  <c r="R30" i="5"/>
  <c r="Q30" i="5"/>
  <c r="I38" i="5"/>
  <c r="J38" i="5"/>
  <c r="R38" i="5"/>
  <c r="R13" i="5"/>
  <c r="P20" i="5"/>
  <c r="Q38" i="5" s="1"/>
  <c r="R10" i="10"/>
  <c r="Q10" i="10"/>
  <c r="P20" i="10"/>
  <c r="P24" i="10"/>
  <c r="R19" i="10"/>
  <c r="R31" i="10"/>
  <c r="P32" i="10"/>
  <c r="J31" i="10"/>
  <c r="H32" i="10"/>
  <c r="Y8" i="11"/>
  <c r="Y18" i="11" s="1"/>
  <c r="Y23" i="11" s="1"/>
  <c r="U10" i="10"/>
  <c r="AH8" i="11"/>
  <c r="Y17" i="10"/>
  <c r="AC17" i="10" s="1"/>
  <c r="AC16" i="10"/>
  <c r="X16" i="10"/>
  <c r="I31" i="10"/>
  <c r="C31" i="10"/>
  <c r="C31" i="11" s="1"/>
  <c r="E32" i="10"/>
  <c r="U16" i="10"/>
  <c r="V17" i="10"/>
  <c r="AH14" i="11" s="1"/>
  <c r="C39" i="10"/>
  <c r="G39" i="10" s="1"/>
  <c r="I39" i="10"/>
  <c r="X11" i="10"/>
  <c r="AC11" i="10"/>
  <c r="Y19" i="10"/>
  <c r="X28" i="10"/>
  <c r="AC28" i="10"/>
  <c r="C19" i="10"/>
  <c r="E24" i="10"/>
  <c r="I19" i="10"/>
  <c r="V19" i="10"/>
  <c r="V21" i="10" s="1"/>
  <c r="V30" i="10" s="1"/>
  <c r="U11" i="10"/>
  <c r="K19" i="10"/>
  <c r="M24" i="10"/>
  <c r="M36" i="10" s="1"/>
  <c r="R59" i="7" s="1"/>
  <c r="K10" i="10"/>
  <c r="M20" i="10"/>
  <c r="C10" i="10"/>
  <c r="E20" i="10"/>
  <c r="I10" i="10"/>
  <c r="E58" i="7"/>
  <c r="F36" i="9"/>
  <c r="R36" i="9"/>
  <c r="N36" i="9"/>
  <c r="AH15" i="11"/>
  <c r="X21" i="6"/>
  <c r="K7" i="9"/>
  <c r="U7" i="9"/>
  <c r="X7" i="9" s="1"/>
  <c r="I16" i="6"/>
  <c r="R14" i="11"/>
  <c r="Z10" i="10"/>
  <c r="Z8" i="11"/>
  <c r="AD8" i="11" s="1"/>
  <c r="AI8" i="11"/>
  <c r="J15" i="6"/>
  <c r="H15" i="11"/>
  <c r="I15" i="6"/>
  <c r="P10" i="11"/>
  <c r="R10" i="6"/>
  <c r="R22" i="6"/>
  <c r="P22" i="11"/>
  <c r="H14" i="11"/>
  <c r="J14" i="6"/>
  <c r="I14" i="6"/>
  <c r="J22" i="6"/>
  <c r="H22" i="11"/>
  <c r="I22" i="6"/>
  <c r="H10" i="11"/>
  <c r="I10" i="6"/>
  <c r="J10" i="6"/>
  <c r="R15" i="6"/>
  <c r="P15" i="11"/>
  <c r="P17" i="11"/>
  <c r="R17" i="6"/>
  <c r="I28" i="6"/>
  <c r="H34" i="6"/>
  <c r="I26" i="6"/>
  <c r="H26" i="11"/>
  <c r="J26" i="6"/>
  <c r="P27" i="11"/>
  <c r="R27" i="6"/>
  <c r="I11" i="6"/>
  <c r="H11" i="11"/>
  <c r="J11" i="6"/>
  <c r="P11" i="11"/>
  <c r="R11" i="6"/>
  <c r="H27" i="11"/>
  <c r="J27" i="6"/>
  <c r="I27" i="6"/>
  <c r="J18" i="6"/>
  <c r="H18" i="11"/>
  <c r="I18" i="6"/>
  <c r="P18" i="11"/>
  <c r="R18" i="6"/>
  <c r="H33" i="6"/>
  <c r="H30" i="11"/>
  <c r="I30" i="6"/>
  <c r="J30" i="6"/>
  <c r="P33" i="6"/>
  <c r="P30" i="11"/>
  <c r="R30" i="6"/>
  <c r="J17" i="6"/>
  <c r="H17" i="11"/>
  <c r="I17" i="6"/>
  <c r="P28" i="6"/>
  <c r="R26" i="6"/>
  <c r="P26" i="11"/>
  <c r="I12" i="6"/>
  <c r="H12" i="11"/>
  <c r="J12" i="6"/>
  <c r="P12" i="11"/>
  <c r="R12" i="6"/>
  <c r="J38" i="6"/>
  <c r="H38" i="11"/>
  <c r="I38" i="6"/>
  <c r="R38" i="6"/>
  <c r="P38" i="11"/>
  <c r="J39" i="6"/>
  <c r="H39" i="11"/>
  <c r="I39" i="6"/>
  <c r="R39" i="6"/>
  <c r="P39" i="11"/>
  <c r="J42" i="6"/>
  <c r="H42" i="11"/>
  <c r="I42" i="6"/>
  <c r="R42" i="6"/>
  <c r="P42" i="11"/>
  <c r="J46" i="6"/>
  <c r="H46" i="11"/>
  <c r="I46" i="6"/>
  <c r="R46" i="6"/>
  <c r="P46" i="11"/>
  <c r="J13" i="6"/>
  <c r="H13" i="11"/>
  <c r="I13" i="6"/>
  <c r="R13" i="6"/>
  <c r="P13" i="11"/>
  <c r="AB19" i="3"/>
  <c r="AC19" i="3" s="1"/>
  <c r="AC11" i="3"/>
  <c r="P16" i="6"/>
  <c r="R16" i="3"/>
  <c r="Q16" i="3"/>
  <c r="C12" i="11"/>
  <c r="G12" i="6"/>
  <c r="M30" i="11"/>
  <c r="M33" i="6"/>
  <c r="N33" i="6" s="1"/>
  <c r="N30" i="6"/>
  <c r="O13" i="6"/>
  <c r="K13" i="11"/>
  <c r="L13" i="6"/>
  <c r="O39" i="6"/>
  <c r="L39" i="6"/>
  <c r="O42" i="6"/>
  <c r="E11" i="11"/>
  <c r="F11" i="6"/>
  <c r="K12" i="11"/>
  <c r="O12" i="6"/>
  <c r="L12" i="6"/>
  <c r="G39" i="6"/>
  <c r="C39" i="11"/>
  <c r="G32" i="6"/>
  <c r="M18" i="11"/>
  <c r="G46" i="6"/>
  <c r="C46" i="11"/>
  <c r="M12" i="11"/>
  <c r="M11" i="11"/>
  <c r="N11" i="6"/>
  <c r="O32" i="6"/>
  <c r="O38" i="6"/>
  <c r="L38" i="6"/>
  <c r="O46" i="6"/>
  <c r="L46" i="6"/>
  <c r="G42" i="6"/>
  <c r="C42" i="11"/>
  <c r="G38" i="6"/>
  <c r="C38" i="11"/>
  <c r="G13" i="6"/>
  <c r="C13" i="11"/>
  <c r="E30" i="11"/>
  <c r="T21" i="6"/>
  <c r="E33" i="6"/>
  <c r="R32" i="6"/>
  <c r="E38" i="11"/>
  <c r="T26" i="6"/>
  <c r="T27" i="6"/>
  <c r="E39" i="11"/>
  <c r="E42" i="11"/>
  <c r="T29" i="6"/>
  <c r="M46" i="11"/>
  <c r="N13" i="6"/>
  <c r="M13" i="11"/>
  <c r="C14" i="11"/>
  <c r="G14" i="6"/>
  <c r="O14" i="6"/>
  <c r="K14" i="11"/>
  <c r="L14" i="6"/>
  <c r="G15" i="6"/>
  <c r="C15" i="11"/>
  <c r="O15" i="6"/>
  <c r="K15" i="11"/>
  <c r="L16" i="6"/>
  <c r="K16" i="11"/>
  <c r="O16" i="6"/>
  <c r="G22" i="6"/>
  <c r="C22" i="11"/>
  <c r="O22" i="6"/>
  <c r="K22" i="11"/>
  <c r="L22" i="6"/>
  <c r="J32" i="6"/>
  <c r="T22" i="6"/>
  <c r="M38" i="11"/>
  <c r="M39" i="11"/>
  <c r="M42" i="11"/>
  <c r="T32" i="6"/>
  <c r="E46" i="11"/>
  <c r="C20" i="6"/>
  <c r="G10" i="6"/>
  <c r="K20" i="6"/>
  <c r="L42" i="6" s="1"/>
  <c r="K10" i="11"/>
  <c r="L10" i="6"/>
  <c r="O10" i="6"/>
  <c r="M15" i="11"/>
  <c r="C16" i="11"/>
  <c r="G16" i="11" s="1"/>
  <c r="G16" i="6"/>
  <c r="C17" i="11"/>
  <c r="G17" i="6"/>
  <c r="O17" i="6"/>
  <c r="K17" i="11"/>
  <c r="L17" i="6"/>
  <c r="M22" i="11"/>
  <c r="C26" i="11"/>
  <c r="G26" i="6"/>
  <c r="C28" i="6"/>
  <c r="O26" i="6"/>
  <c r="K28" i="6"/>
  <c r="G27" i="6"/>
  <c r="C27" i="11"/>
  <c r="O27" i="6"/>
  <c r="K27" i="11"/>
  <c r="L27" i="6"/>
  <c r="E10" i="11"/>
  <c r="E20" i="6"/>
  <c r="C11" i="11"/>
  <c r="G11" i="6"/>
  <c r="M20" i="6"/>
  <c r="N22" i="6" s="1"/>
  <c r="N10" i="6"/>
  <c r="M10" i="11"/>
  <c r="K11" i="11"/>
  <c r="O11" i="6"/>
  <c r="G18" i="6"/>
  <c r="C18" i="11"/>
  <c r="O18" i="6"/>
  <c r="K18" i="11"/>
  <c r="L18" i="6"/>
  <c r="E26" i="11"/>
  <c r="T13" i="6"/>
  <c r="E28" i="6"/>
  <c r="M26" i="11"/>
  <c r="M28" i="6"/>
  <c r="N26" i="6"/>
  <c r="C30" i="11"/>
  <c r="C33" i="6"/>
  <c r="G30" i="6"/>
  <c r="L30" i="6"/>
  <c r="K33" i="6"/>
  <c r="O30" i="6"/>
  <c r="AA27" i="3"/>
  <c r="Z27" i="3"/>
  <c r="AA11" i="3"/>
  <c r="X19" i="3"/>
  <c r="Y19" i="3"/>
  <c r="Z11" i="3"/>
  <c r="Z10" i="11"/>
  <c r="AB13" i="6"/>
  <c r="AI10" i="11" s="1"/>
  <c r="AC13" i="6"/>
  <c r="M16" i="11"/>
  <c r="J31" i="11"/>
  <c r="R31" i="11"/>
  <c r="D10" i="5"/>
  <c r="D32" i="5"/>
  <c r="L46" i="5"/>
  <c r="L32" i="5"/>
  <c r="O31" i="11"/>
  <c r="AD21" i="6"/>
  <c r="AB21" i="3"/>
  <c r="AB30" i="3" s="1"/>
  <c r="AC12" i="11"/>
  <c r="AD12" i="11"/>
  <c r="AB15" i="11"/>
  <c r="AB19" i="6"/>
  <c r="AE9" i="11"/>
  <c r="T6" i="9"/>
  <c r="AF3" i="9"/>
  <c r="P7" i="9"/>
  <c r="W7" i="9"/>
  <c r="AB7" i="9" s="1"/>
  <c r="AA30" i="8"/>
  <c r="U30" i="9"/>
  <c r="AA30" i="9" s="1"/>
  <c r="Y30" i="6"/>
  <c r="AG18" i="11"/>
  <c r="X18" i="11"/>
  <c r="X23" i="11" s="1"/>
  <c r="AE23" i="11" s="1"/>
  <c r="AB17" i="6"/>
  <c r="AB14" i="11"/>
  <c r="AK14" i="11"/>
  <c r="AE17" i="6"/>
  <c r="AA14" i="11"/>
  <c r="AE14" i="11" s="1"/>
  <c r="I32" i="6"/>
  <c r="I20" i="6"/>
  <c r="K45" i="10"/>
  <c r="O45" i="10" s="1"/>
  <c r="O41" i="10"/>
  <c r="M45" i="10"/>
  <c r="M41" i="10"/>
  <c r="M43" i="10" s="1"/>
  <c r="AC21" i="9"/>
  <c r="AI20" i="11" s="1"/>
  <c r="Y30" i="9"/>
  <c r="AA21" i="9"/>
  <c r="AA20" i="11" s="1"/>
  <c r="AE20" i="11" s="1"/>
  <c r="Z21" i="9"/>
  <c r="Z20" i="11" s="1"/>
  <c r="M41" i="8"/>
  <c r="M41" i="9" s="1"/>
  <c r="N36" i="8"/>
  <c r="R36" i="8"/>
  <c r="F36" i="8"/>
  <c r="J36" i="8"/>
  <c r="E41" i="8"/>
  <c r="E41" i="9" s="1"/>
  <c r="G36" i="8"/>
  <c r="C41" i="8"/>
  <c r="AC30" i="8"/>
  <c r="O36" i="8"/>
  <c r="K41" i="8"/>
  <c r="AA21" i="8"/>
  <c r="X30" i="8"/>
  <c r="Z30" i="8" s="1"/>
  <c r="D34" i="7"/>
  <c r="G34" i="7"/>
  <c r="C36" i="7"/>
  <c r="G24" i="7"/>
  <c r="D24" i="7"/>
  <c r="Y30" i="7"/>
  <c r="AA30" i="7" s="1"/>
  <c r="AB21" i="7"/>
  <c r="N24" i="7"/>
  <c r="M36" i="7"/>
  <c r="R24" i="7"/>
  <c r="Q24" i="7"/>
  <c r="P36" i="7"/>
  <c r="R34" i="7"/>
  <c r="Q34" i="7"/>
  <c r="AA21" i="7"/>
  <c r="J34" i="7"/>
  <c r="I34" i="7"/>
  <c r="AD30" i="7"/>
  <c r="K36" i="7"/>
  <c r="O24" i="7"/>
  <c r="L24" i="7"/>
  <c r="J24" i="7"/>
  <c r="I24" i="7"/>
  <c r="H36" i="7"/>
  <c r="F24" i="7"/>
  <c r="E36" i="7"/>
  <c r="L34" i="7"/>
  <c r="O34" i="7"/>
  <c r="M41" i="5"/>
  <c r="E36" i="5"/>
  <c r="G24" i="5"/>
  <c r="D24" i="5"/>
  <c r="I24" i="5"/>
  <c r="J24" i="5"/>
  <c r="N24" i="5"/>
  <c r="L24" i="5"/>
  <c r="E36" i="4"/>
  <c r="F24" i="4"/>
  <c r="X21" i="4"/>
  <c r="Z21" i="6" s="1"/>
  <c r="AA19" i="4"/>
  <c r="H36" i="4"/>
  <c r="J24" i="4"/>
  <c r="I24" i="4"/>
  <c r="M36" i="4"/>
  <c r="N24" i="4"/>
  <c r="Z19" i="4"/>
  <c r="Y21" i="4"/>
  <c r="R34" i="4"/>
  <c r="Q34" i="4"/>
  <c r="G34" i="4"/>
  <c r="D34" i="4"/>
  <c r="P36" i="4"/>
  <c r="R24" i="4"/>
  <c r="Q24" i="4"/>
  <c r="D24" i="4"/>
  <c r="G24" i="4"/>
  <c r="C36" i="4"/>
  <c r="AB30" i="4"/>
  <c r="AC21" i="4"/>
  <c r="L24" i="4"/>
  <c r="O24" i="4"/>
  <c r="K36" i="4"/>
  <c r="O34" i="4"/>
  <c r="L34" i="4"/>
  <c r="J34" i="4"/>
  <c r="I34" i="4"/>
  <c r="F24" i="3"/>
  <c r="E36" i="3"/>
  <c r="P36" i="3"/>
  <c r="R24" i="3"/>
  <c r="Q24" i="3"/>
  <c r="N24" i="3"/>
  <c r="M36" i="3"/>
  <c r="L24" i="3"/>
  <c r="O24" i="3"/>
  <c r="K36" i="3"/>
  <c r="D24" i="3"/>
  <c r="G24" i="3"/>
  <c r="C36" i="3"/>
  <c r="H36" i="3"/>
  <c r="I24" i="3"/>
  <c r="J24" i="3"/>
  <c r="G34" i="3"/>
  <c r="D34" i="3"/>
  <c r="O34" i="3"/>
  <c r="L34" i="3"/>
  <c r="J34" i="3"/>
  <c r="I34" i="3"/>
  <c r="R34" i="3"/>
  <c r="Q34" i="3"/>
  <c r="M20" i="11" l="1"/>
  <c r="N10" i="11" s="1"/>
  <c r="O13" i="11"/>
  <c r="N13" i="11"/>
  <c r="G33" i="6"/>
  <c r="D33" i="6"/>
  <c r="N15" i="11"/>
  <c r="W40" i="7"/>
  <c r="W41" i="7" s="1"/>
  <c r="W42" i="7" s="1"/>
  <c r="AC30" i="10"/>
  <c r="N16" i="11"/>
  <c r="P16" i="11"/>
  <c r="R16" i="6"/>
  <c r="P20" i="6"/>
  <c r="Q16" i="6" s="1"/>
  <c r="O18" i="11"/>
  <c r="N18" i="11"/>
  <c r="AD20" i="11"/>
  <c r="AC20" i="11"/>
  <c r="AC23" i="11"/>
  <c r="N38" i="11"/>
  <c r="O28" i="5"/>
  <c r="K34" i="5"/>
  <c r="L28" i="5"/>
  <c r="G13" i="11"/>
  <c r="AB18" i="11"/>
  <c r="G20" i="6"/>
  <c r="D13" i="6"/>
  <c r="D15" i="6"/>
  <c r="D30" i="6"/>
  <c r="D27" i="6"/>
  <c r="D22" i="6"/>
  <c r="D12" i="6"/>
  <c r="D39" i="6"/>
  <c r="D38" i="6"/>
  <c r="D42" i="6"/>
  <c r="D14" i="6"/>
  <c r="D10" i="6"/>
  <c r="D26" i="6"/>
  <c r="D11" i="6"/>
  <c r="D32" i="6"/>
  <c r="D46" i="6"/>
  <c r="K24" i="10"/>
  <c r="K19" i="11"/>
  <c r="Y21" i="10"/>
  <c r="AC19" i="10"/>
  <c r="AK15" i="11"/>
  <c r="G31" i="11"/>
  <c r="U19" i="10"/>
  <c r="W9" i="11"/>
  <c r="G28" i="6"/>
  <c r="D28" i="6"/>
  <c r="C34" i="6"/>
  <c r="AA15" i="11"/>
  <c r="M28" i="11"/>
  <c r="N26" i="11"/>
  <c r="N42" i="6"/>
  <c r="L15" i="6"/>
  <c r="F33" i="6"/>
  <c r="T23" i="6"/>
  <c r="J17" i="11"/>
  <c r="C20" i="10"/>
  <c r="G10" i="10"/>
  <c r="I24" i="10"/>
  <c r="P34" i="5"/>
  <c r="R28" i="5"/>
  <c r="Q28" i="5"/>
  <c r="L18" i="11"/>
  <c r="F41" i="9"/>
  <c r="J41" i="9"/>
  <c r="N46" i="6"/>
  <c r="R20" i="5"/>
  <c r="Q27" i="5"/>
  <c r="Q15" i="5"/>
  <c r="Q20" i="5"/>
  <c r="Q17" i="5"/>
  <c r="P24" i="5"/>
  <c r="Q11" i="5"/>
  <c r="Q12" i="5"/>
  <c r="Q13" i="5"/>
  <c r="Q10" i="5"/>
  <c r="Q16" i="5"/>
  <c r="Q42" i="5"/>
  <c r="Q39" i="5"/>
  <c r="Q46" i="5"/>
  <c r="R28" i="6"/>
  <c r="M34" i="6"/>
  <c r="N34" i="6" s="1"/>
  <c r="N28" i="6"/>
  <c r="N46" i="11"/>
  <c r="I34" i="6"/>
  <c r="H36" i="6"/>
  <c r="P34" i="10"/>
  <c r="R32" i="10"/>
  <c r="Q32" i="10"/>
  <c r="Z19" i="3"/>
  <c r="Y21" i="3"/>
  <c r="J28" i="6"/>
  <c r="E34" i="6"/>
  <c r="F28" i="6"/>
  <c r="T20" i="6"/>
  <c r="N39" i="6"/>
  <c r="N17" i="10"/>
  <c r="N27" i="10"/>
  <c r="N24" i="10"/>
  <c r="N19" i="10"/>
  <c r="N14" i="10"/>
  <c r="N20" i="10"/>
  <c r="N21" i="10"/>
  <c r="N16" i="10"/>
  <c r="N22" i="10"/>
  <c r="N12" i="10"/>
  <c r="N23" i="10"/>
  <c r="N13" i="10"/>
  <c r="N18" i="10"/>
  <c r="N15" i="10"/>
  <c r="N43" i="10"/>
  <c r="N10" i="10"/>
  <c r="N39" i="10"/>
  <c r="N46" i="10"/>
  <c r="N26" i="10"/>
  <c r="N45" i="10"/>
  <c r="N32" i="10"/>
  <c r="N11" i="10"/>
  <c r="N34" i="10"/>
  <c r="N42" i="10"/>
  <c r="N41" i="10"/>
  <c r="N28" i="10"/>
  <c r="N30" i="10"/>
  <c r="N38" i="10"/>
  <c r="N31" i="10"/>
  <c r="N36" i="10"/>
  <c r="C19" i="11"/>
  <c r="G19" i="10"/>
  <c r="C24" i="10"/>
  <c r="Q26" i="5"/>
  <c r="H34" i="5"/>
  <c r="J32" i="5"/>
  <c r="I32" i="5"/>
  <c r="M32" i="11"/>
  <c r="N32" i="11" s="1"/>
  <c r="N30" i="11"/>
  <c r="Z11" i="10"/>
  <c r="AI9" i="11" s="1"/>
  <c r="AA11" i="10"/>
  <c r="X19" i="10"/>
  <c r="Z19" i="10" s="1"/>
  <c r="AI15" i="11" s="1"/>
  <c r="Z9" i="11"/>
  <c r="X17" i="10"/>
  <c r="Z16" i="10"/>
  <c r="AI13" i="11" s="1"/>
  <c r="AA16" i="10"/>
  <c r="Z13" i="11"/>
  <c r="R32" i="5"/>
  <c r="Q32" i="5"/>
  <c r="N42" i="11"/>
  <c r="AA19" i="3"/>
  <c r="X21" i="3"/>
  <c r="L11" i="6"/>
  <c r="F13" i="6"/>
  <c r="F17" i="6"/>
  <c r="F32" i="6"/>
  <c r="F38" i="6"/>
  <c r="F39" i="6"/>
  <c r="F27" i="6"/>
  <c r="F22" i="6"/>
  <c r="F26" i="6"/>
  <c r="F30" i="6"/>
  <c r="F15" i="6"/>
  <c r="F42" i="6"/>
  <c r="F16" i="6"/>
  <c r="F10" i="6"/>
  <c r="F20" i="6"/>
  <c r="E24" i="6"/>
  <c r="F12" i="6"/>
  <c r="F46" i="6"/>
  <c r="F18" i="6"/>
  <c r="F14" i="6"/>
  <c r="K34" i="6"/>
  <c r="O28" i="6"/>
  <c r="L28" i="6"/>
  <c r="N39" i="11"/>
  <c r="L32" i="6"/>
  <c r="J12" i="11"/>
  <c r="L13" i="11"/>
  <c r="J20" i="6"/>
  <c r="K20" i="10"/>
  <c r="O10" i="10"/>
  <c r="U17" i="10"/>
  <c r="W13" i="11"/>
  <c r="W14" i="11" s="1"/>
  <c r="W15" i="11" s="1"/>
  <c r="Q24" i="10"/>
  <c r="R24" i="10"/>
  <c r="N11" i="11"/>
  <c r="N27" i="6"/>
  <c r="N17" i="6"/>
  <c r="N32" i="6"/>
  <c r="N12" i="6"/>
  <c r="J28" i="5"/>
  <c r="I28" i="5"/>
  <c r="O33" i="6"/>
  <c r="L33" i="6"/>
  <c r="L10" i="11"/>
  <c r="O10" i="11"/>
  <c r="K20" i="11"/>
  <c r="L22" i="11" s="1"/>
  <c r="J11" i="11"/>
  <c r="F39" i="10"/>
  <c r="F13" i="10"/>
  <c r="I20" i="10"/>
  <c r="F38" i="10"/>
  <c r="F24" i="10"/>
  <c r="F18" i="10"/>
  <c r="F32" i="10"/>
  <c r="F30" i="10"/>
  <c r="F14" i="10"/>
  <c r="F42" i="10"/>
  <c r="F31" i="10"/>
  <c r="F28" i="10"/>
  <c r="F10" i="10"/>
  <c r="F22" i="10"/>
  <c r="F11" i="10"/>
  <c r="F19" i="10"/>
  <c r="F45" i="10"/>
  <c r="F15" i="10"/>
  <c r="F26" i="10"/>
  <c r="F41" i="10"/>
  <c r="F12" i="10"/>
  <c r="F27" i="10"/>
  <c r="F16" i="10"/>
  <c r="F20" i="10"/>
  <c r="F17" i="10"/>
  <c r="F46" i="10"/>
  <c r="F36" i="10"/>
  <c r="F43" i="10"/>
  <c r="F34" i="10"/>
  <c r="O24" i="5"/>
  <c r="N41" i="9"/>
  <c r="R41" i="9"/>
  <c r="N16" i="6"/>
  <c r="E28" i="11"/>
  <c r="E20" i="11"/>
  <c r="F26" i="11" s="1"/>
  <c r="L26" i="6"/>
  <c r="N15" i="6"/>
  <c r="C10" i="11"/>
  <c r="N38" i="6"/>
  <c r="N18" i="6"/>
  <c r="G18" i="11"/>
  <c r="AC8" i="11"/>
  <c r="X30" i="6"/>
  <c r="AH18" i="11"/>
  <c r="AA28" i="10"/>
  <c r="Z22" i="11"/>
  <c r="Z28" i="10"/>
  <c r="AI22" i="11" s="1"/>
  <c r="W8" i="11"/>
  <c r="W18" i="11" s="1"/>
  <c r="W23" i="11" s="1"/>
  <c r="AD23" i="11" s="1"/>
  <c r="U21" i="10"/>
  <c r="U30" i="10" s="1"/>
  <c r="Q30" i="10"/>
  <c r="Q31" i="10"/>
  <c r="R20" i="10"/>
  <c r="Q22" i="10"/>
  <c r="Q20" i="10"/>
  <c r="Q19" i="10"/>
  <c r="Q15" i="10"/>
  <c r="Q14" i="10"/>
  <c r="Q46" i="10"/>
  <c r="Q42" i="10"/>
  <c r="Q26" i="10"/>
  <c r="Q12" i="10"/>
  <c r="Q39" i="10"/>
  <c r="Q11" i="10"/>
  <c r="Q13" i="10"/>
  <c r="Q27" i="10"/>
  <c r="G28" i="5"/>
  <c r="C34" i="5"/>
  <c r="D28" i="5"/>
  <c r="AE15" i="11"/>
  <c r="AA18" i="11"/>
  <c r="AD30" i="6"/>
  <c r="AD10" i="11"/>
  <c r="AC10" i="11"/>
  <c r="G30" i="11"/>
  <c r="C32" i="11"/>
  <c r="O11" i="11"/>
  <c r="L11" i="11"/>
  <c r="N14" i="6"/>
  <c r="N20" i="6"/>
  <c r="M24" i="6"/>
  <c r="G11" i="11"/>
  <c r="O27" i="11"/>
  <c r="G27" i="11"/>
  <c r="G26" i="11"/>
  <c r="C28" i="11"/>
  <c r="O17" i="11"/>
  <c r="L17" i="11"/>
  <c r="G17" i="11"/>
  <c r="L20" i="6"/>
  <c r="K24" i="6"/>
  <c r="O20" i="6"/>
  <c r="D20" i="6"/>
  <c r="C24" i="6"/>
  <c r="O22" i="11"/>
  <c r="G22" i="11"/>
  <c r="O16" i="11"/>
  <c r="L16" i="11"/>
  <c r="L15" i="11"/>
  <c r="O15" i="11"/>
  <c r="G15" i="11"/>
  <c r="O14" i="11"/>
  <c r="G14" i="11"/>
  <c r="E32" i="11"/>
  <c r="G38" i="11"/>
  <c r="G42" i="11"/>
  <c r="R12" i="11"/>
  <c r="N12" i="11"/>
  <c r="G46" i="11"/>
  <c r="G39" i="11"/>
  <c r="L12" i="11"/>
  <c r="O12" i="11"/>
  <c r="G12" i="11"/>
  <c r="R13" i="11"/>
  <c r="J13" i="11"/>
  <c r="I13" i="11"/>
  <c r="R46" i="11"/>
  <c r="J46" i="11"/>
  <c r="I46" i="11"/>
  <c r="R42" i="11"/>
  <c r="J42" i="11"/>
  <c r="I42" i="11"/>
  <c r="R39" i="11"/>
  <c r="J39" i="11"/>
  <c r="I39" i="11"/>
  <c r="R38" i="11"/>
  <c r="J38" i="11"/>
  <c r="I38" i="11"/>
  <c r="R26" i="11"/>
  <c r="P28" i="11"/>
  <c r="Q28" i="6"/>
  <c r="P34" i="6"/>
  <c r="R30" i="11"/>
  <c r="P32" i="11"/>
  <c r="R33" i="6"/>
  <c r="J30" i="11"/>
  <c r="I30" i="11"/>
  <c r="H32" i="11"/>
  <c r="J33" i="6"/>
  <c r="I33" i="6"/>
  <c r="R18" i="11"/>
  <c r="J18" i="11"/>
  <c r="I18" i="11"/>
  <c r="J27" i="11"/>
  <c r="I27" i="11"/>
  <c r="R11" i="11"/>
  <c r="R27" i="11"/>
  <c r="J26" i="11"/>
  <c r="I26" i="11"/>
  <c r="H28" i="11"/>
  <c r="R17" i="11"/>
  <c r="R15" i="11"/>
  <c r="H20" i="11"/>
  <c r="I17" i="11" s="1"/>
  <c r="J10" i="11"/>
  <c r="I10" i="11"/>
  <c r="I20" i="11"/>
  <c r="I22" i="11"/>
  <c r="J22" i="11"/>
  <c r="J14" i="11"/>
  <c r="I14" i="11"/>
  <c r="R22" i="11"/>
  <c r="R10" i="11"/>
  <c r="R20" i="6"/>
  <c r="J15" i="11"/>
  <c r="I15" i="11"/>
  <c r="G19" i="11"/>
  <c r="I32" i="10"/>
  <c r="E34" i="10"/>
  <c r="I34" i="10" s="1"/>
  <c r="G31" i="10"/>
  <c r="C32" i="10"/>
  <c r="J32" i="10"/>
  <c r="H34" i="10"/>
  <c r="Q38" i="10"/>
  <c r="Q28" i="10"/>
  <c r="Q31" i="5"/>
  <c r="Q14" i="5"/>
  <c r="AG23" i="11"/>
  <c r="X24" i="11"/>
  <c r="Z30" i="9"/>
  <c r="AC30" i="9"/>
  <c r="C43" i="8"/>
  <c r="G41" i="8"/>
  <c r="R41" i="8"/>
  <c r="M43" i="8"/>
  <c r="M43" i="9" s="1"/>
  <c r="N41" i="8"/>
  <c r="J41" i="8"/>
  <c r="E43" i="8"/>
  <c r="E43" i="9" s="1"/>
  <c r="F41" i="8"/>
  <c r="K43" i="8"/>
  <c r="O41" i="8"/>
  <c r="D36" i="7"/>
  <c r="C41" i="7"/>
  <c r="C57" i="7"/>
  <c r="G36" i="7"/>
  <c r="J36" i="7"/>
  <c r="I36" i="7"/>
  <c r="H41" i="7"/>
  <c r="M41" i="7"/>
  <c r="R57" i="7"/>
  <c r="R60" i="7" s="1"/>
  <c r="N36" i="7"/>
  <c r="E41" i="7"/>
  <c r="E57" i="7"/>
  <c r="F36" i="7"/>
  <c r="L36" i="7"/>
  <c r="K41" i="7"/>
  <c r="N57" i="7"/>
  <c r="N60" i="7" s="1"/>
  <c r="O36" i="7"/>
  <c r="R36" i="7"/>
  <c r="Q36" i="7"/>
  <c r="P41" i="7"/>
  <c r="N45" i="5"/>
  <c r="E41" i="5"/>
  <c r="F36" i="5"/>
  <c r="M43" i="5"/>
  <c r="N43" i="5" s="1"/>
  <c r="N41" i="5"/>
  <c r="Y30" i="4"/>
  <c r="Z21" i="4"/>
  <c r="X30" i="4"/>
  <c r="Z30" i="6" s="1"/>
  <c r="AA21" i="4"/>
  <c r="O36" i="4"/>
  <c r="L36" i="4"/>
  <c r="K41" i="4"/>
  <c r="F36" i="4"/>
  <c r="E41" i="4"/>
  <c r="R36" i="4"/>
  <c r="Q36" i="4"/>
  <c r="P41" i="4"/>
  <c r="N36" i="4"/>
  <c r="M41" i="4"/>
  <c r="AC30" i="4"/>
  <c r="G36" i="4"/>
  <c r="D36" i="4"/>
  <c r="C41" i="4"/>
  <c r="J36" i="4"/>
  <c r="I36" i="4"/>
  <c r="H41" i="4"/>
  <c r="O36" i="3"/>
  <c r="K41" i="3"/>
  <c r="L36" i="3"/>
  <c r="F36" i="3"/>
  <c r="E41" i="3"/>
  <c r="J36" i="3"/>
  <c r="I36" i="3"/>
  <c r="H41" i="3"/>
  <c r="R36" i="3"/>
  <c r="Q36" i="3"/>
  <c r="P41" i="3"/>
  <c r="G36" i="3"/>
  <c r="C41" i="3"/>
  <c r="D36" i="3"/>
  <c r="M41" i="3"/>
  <c r="N36" i="3"/>
  <c r="C45" i="6"/>
  <c r="D45" i="6" s="1"/>
  <c r="K45" i="6"/>
  <c r="L45" i="6" s="1"/>
  <c r="M45" i="6"/>
  <c r="E45" i="6"/>
  <c r="F45" i="6" s="1"/>
  <c r="P45" i="6"/>
  <c r="H45" i="6"/>
  <c r="I45" i="6" s="1"/>
  <c r="J28" i="11" l="1"/>
  <c r="I28" i="11"/>
  <c r="H34" i="11"/>
  <c r="O34" i="6"/>
  <c r="L34" i="6"/>
  <c r="J34" i="5"/>
  <c r="H36" i="5"/>
  <c r="I34" i="5"/>
  <c r="F34" i="6"/>
  <c r="T24" i="6"/>
  <c r="F46" i="11"/>
  <c r="R16" i="11"/>
  <c r="R28" i="11"/>
  <c r="Q28" i="11"/>
  <c r="P34" i="11"/>
  <c r="E64" i="7"/>
  <c r="F43" i="9"/>
  <c r="J43" i="9"/>
  <c r="Q20" i="6"/>
  <c r="AA23" i="11"/>
  <c r="AE18" i="11"/>
  <c r="G34" i="5"/>
  <c r="D34" i="5"/>
  <c r="C36" i="5"/>
  <c r="AC30" i="6"/>
  <c r="Y24" i="11"/>
  <c r="AH23" i="11"/>
  <c r="F10" i="11"/>
  <c r="I11" i="11"/>
  <c r="F39" i="11"/>
  <c r="AD13" i="11"/>
  <c r="AC13" i="11"/>
  <c r="F42" i="11"/>
  <c r="R34" i="5"/>
  <c r="Q34" i="5"/>
  <c r="P24" i="6"/>
  <c r="F32" i="11"/>
  <c r="D24" i="6"/>
  <c r="C36" i="6"/>
  <c r="G24" i="6"/>
  <c r="V40" i="7"/>
  <c r="V41" i="7" s="1"/>
  <c r="V42" i="7" s="1"/>
  <c r="X42" i="7" s="1"/>
  <c r="AA30" i="10"/>
  <c r="W24" i="11"/>
  <c r="O20" i="11"/>
  <c r="L31" i="11"/>
  <c r="L20" i="11"/>
  <c r="K24" i="11"/>
  <c r="P36" i="10"/>
  <c r="R34" i="10"/>
  <c r="Q34" i="10"/>
  <c r="Q24" i="5"/>
  <c r="P36" i="5"/>
  <c r="R24" i="5"/>
  <c r="E36" i="10"/>
  <c r="L19" i="11"/>
  <c r="R32" i="11"/>
  <c r="F16" i="11"/>
  <c r="E24" i="11"/>
  <c r="F17" i="11"/>
  <c r="F15" i="11"/>
  <c r="F20" i="11"/>
  <c r="F27" i="11"/>
  <c r="F13" i="11"/>
  <c r="F22" i="11"/>
  <c r="F31" i="11"/>
  <c r="F19" i="11"/>
  <c r="F18" i="11"/>
  <c r="F12" i="11"/>
  <c r="F14" i="11"/>
  <c r="J24" i="6"/>
  <c r="E36" i="6"/>
  <c r="T12" i="6"/>
  <c r="F24" i="6"/>
  <c r="AA21" i="3"/>
  <c r="X30" i="3"/>
  <c r="Y30" i="10"/>
  <c r="AC21" i="10"/>
  <c r="L34" i="5"/>
  <c r="O34" i="5"/>
  <c r="K36" i="5"/>
  <c r="Q32" i="6"/>
  <c r="Q10" i="6"/>
  <c r="Q30" i="6"/>
  <c r="Q26" i="6"/>
  <c r="Q42" i="6"/>
  <c r="Q18" i="6"/>
  <c r="Q17" i="6"/>
  <c r="Q27" i="6"/>
  <c r="Q39" i="6"/>
  <c r="Q38" i="6"/>
  <c r="Q13" i="6"/>
  <c r="Q12" i="6"/>
  <c r="Q46" i="6"/>
  <c r="Q22" i="6"/>
  <c r="Q11" i="6"/>
  <c r="Q15" i="6"/>
  <c r="R43" i="9"/>
  <c r="N43" i="9"/>
  <c r="I32" i="11"/>
  <c r="J32" i="11"/>
  <c r="Q34" i="6"/>
  <c r="R34" i="6"/>
  <c r="F30" i="11"/>
  <c r="L27" i="11"/>
  <c r="F28" i="11"/>
  <c r="E34" i="11"/>
  <c r="F34" i="11" s="1"/>
  <c r="O20" i="10"/>
  <c r="L38" i="10"/>
  <c r="L43" i="10"/>
  <c r="L16" i="10"/>
  <c r="L31" i="10"/>
  <c r="L12" i="10"/>
  <c r="L17" i="10"/>
  <c r="L36" i="10"/>
  <c r="L19" i="10"/>
  <c r="L32" i="10"/>
  <c r="L24" i="10"/>
  <c r="L13" i="10"/>
  <c r="L14" i="10"/>
  <c r="L10" i="10"/>
  <c r="L22" i="10"/>
  <c r="L18" i="10"/>
  <c r="L15" i="10"/>
  <c r="L26" i="10"/>
  <c r="L34" i="10"/>
  <c r="L27" i="10"/>
  <c r="L28" i="10"/>
  <c r="L45" i="10"/>
  <c r="L20" i="10"/>
  <c r="L11" i="10"/>
  <c r="L41" i="10"/>
  <c r="L30" i="10"/>
  <c r="L42" i="10"/>
  <c r="L39" i="10"/>
  <c r="L46" i="10"/>
  <c r="K26" i="10"/>
  <c r="AA17" i="10"/>
  <c r="Z14" i="11"/>
  <c r="Z17" i="10"/>
  <c r="AI14" i="11" s="1"/>
  <c r="J36" i="6"/>
  <c r="I36" i="6"/>
  <c r="H41" i="6"/>
  <c r="F38" i="11"/>
  <c r="O24" i="10"/>
  <c r="K28" i="10"/>
  <c r="G28" i="11"/>
  <c r="C34" i="11"/>
  <c r="G32" i="11"/>
  <c r="AA24" i="11"/>
  <c r="AC9" i="11"/>
  <c r="AD9" i="11"/>
  <c r="D12" i="10"/>
  <c r="D32" i="10"/>
  <c r="D17" i="10"/>
  <c r="D14" i="10"/>
  <c r="D45" i="10"/>
  <c r="D16" i="10"/>
  <c r="D22" i="10"/>
  <c r="D34" i="10"/>
  <c r="D10" i="10"/>
  <c r="D31" i="10"/>
  <c r="D13" i="10"/>
  <c r="D46" i="10"/>
  <c r="D24" i="10"/>
  <c r="D20" i="10"/>
  <c r="D30" i="10"/>
  <c r="D26" i="10"/>
  <c r="D28" i="10"/>
  <c r="D41" i="10"/>
  <c r="G20" i="10"/>
  <c r="D38" i="10"/>
  <c r="D42" i="10"/>
  <c r="D43" i="10"/>
  <c r="D11" i="10"/>
  <c r="D15" i="10"/>
  <c r="D19" i="10"/>
  <c r="D39" i="10"/>
  <c r="D36" i="10"/>
  <c r="D18" i="10"/>
  <c r="D27" i="10"/>
  <c r="AB23" i="11"/>
  <c r="P20" i="11"/>
  <c r="Q16" i="11" s="1"/>
  <c r="O24" i="6"/>
  <c r="L24" i="6"/>
  <c r="K36" i="6"/>
  <c r="AD22" i="11"/>
  <c r="AC22" i="11"/>
  <c r="J34" i="6"/>
  <c r="L14" i="11"/>
  <c r="G24" i="10"/>
  <c r="AA21" i="6"/>
  <c r="Y30" i="3"/>
  <c r="AC21" i="3"/>
  <c r="Z21" i="3"/>
  <c r="Z30" i="10"/>
  <c r="J34" i="10"/>
  <c r="H36" i="10"/>
  <c r="G10" i="11"/>
  <c r="C20" i="11"/>
  <c r="D28" i="11" s="1"/>
  <c r="AA19" i="10"/>
  <c r="X21" i="10"/>
  <c r="N28" i="11"/>
  <c r="M34" i="11"/>
  <c r="N34" i="11" s="1"/>
  <c r="Q45" i="6"/>
  <c r="Q14" i="6"/>
  <c r="I16" i="11"/>
  <c r="I31" i="11"/>
  <c r="Q33" i="6"/>
  <c r="N24" i="6"/>
  <c r="M36" i="6"/>
  <c r="I12" i="11"/>
  <c r="F11" i="11"/>
  <c r="G34" i="6"/>
  <c r="D34" i="6"/>
  <c r="N22" i="11"/>
  <c r="N14" i="11"/>
  <c r="N31" i="11"/>
  <c r="N20" i="11"/>
  <c r="N19" i="11"/>
  <c r="N17" i="11"/>
  <c r="M24" i="11"/>
  <c r="N27" i="11"/>
  <c r="M45" i="11"/>
  <c r="N45" i="11" s="1"/>
  <c r="N45" i="6"/>
  <c r="G32" i="10"/>
  <c r="C34" i="10"/>
  <c r="G34" i="10" s="1"/>
  <c r="P24" i="11"/>
  <c r="Q20" i="11"/>
  <c r="H24" i="11"/>
  <c r="J20" i="11"/>
  <c r="J45" i="6"/>
  <c r="R45" i="6"/>
  <c r="T31" i="6"/>
  <c r="O45" i="6"/>
  <c r="K45" i="11"/>
  <c r="G45" i="6"/>
  <c r="K45" i="8"/>
  <c r="O45" i="8" s="1"/>
  <c r="O43" i="8"/>
  <c r="E45" i="8"/>
  <c r="E45" i="9" s="1"/>
  <c r="J43" i="8"/>
  <c r="F43" i="8"/>
  <c r="M45" i="8"/>
  <c r="M45" i="9" s="1"/>
  <c r="R43" i="8"/>
  <c r="N43" i="8"/>
  <c r="C45" i="8"/>
  <c r="G45" i="8" s="1"/>
  <c r="G43" i="8"/>
  <c r="R45" i="7"/>
  <c r="Q45" i="7"/>
  <c r="J45" i="7"/>
  <c r="I45" i="7"/>
  <c r="F45" i="7"/>
  <c r="O45" i="7"/>
  <c r="L45" i="7"/>
  <c r="N45" i="7"/>
  <c r="G45" i="7"/>
  <c r="D45" i="7"/>
  <c r="L41" i="7"/>
  <c r="K43" i="7"/>
  <c r="O41" i="7"/>
  <c r="P43" i="7"/>
  <c r="R41" i="7"/>
  <c r="Q41" i="7"/>
  <c r="M43" i="7"/>
  <c r="N43" i="7" s="1"/>
  <c r="N41" i="7"/>
  <c r="D41" i="7"/>
  <c r="C43" i="7"/>
  <c r="G41" i="7"/>
  <c r="H43" i="7"/>
  <c r="J41" i="7"/>
  <c r="I41" i="7"/>
  <c r="E43" i="7"/>
  <c r="F41" i="7"/>
  <c r="F45" i="5"/>
  <c r="D45" i="5"/>
  <c r="G45" i="5"/>
  <c r="R45" i="5"/>
  <c r="Q45" i="5"/>
  <c r="L45" i="5"/>
  <c r="O45" i="5"/>
  <c r="E43" i="5"/>
  <c r="F43" i="5" s="1"/>
  <c r="F41" i="5"/>
  <c r="F45" i="4"/>
  <c r="N45" i="4"/>
  <c r="O45" i="4"/>
  <c r="L45" i="4"/>
  <c r="G45" i="4"/>
  <c r="D45" i="4"/>
  <c r="R45" i="4"/>
  <c r="Q45" i="4"/>
  <c r="F41" i="4"/>
  <c r="E43" i="4"/>
  <c r="F43" i="4" s="1"/>
  <c r="J41" i="4"/>
  <c r="I41" i="4"/>
  <c r="H43" i="4"/>
  <c r="N41" i="4"/>
  <c r="M43" i="4"/>
  <c r="N43" i="4" s="1"/>
  <c r="Z30" i="4"/>
  <c r="O41" i="4"/>
  <c r="L41" i="4"/>
  <c r="K43" i="4"/>
  <c r="G41" i="4"/>
  <c r="D41" i="4"/>
  <c r="C43" i="4"/>
  <c r="R41" i="4"/>
  <c r="Q41" i="4"/>
  <c r="P43" i="4"/>
  <c r="J45" i="3"/>
  <c r="I45" i="3"/>
  <c r="R45" i="3"/>
  <c r="Q45" i="3"/>
  <c r="F45" i="3"/>
  <c r="N45" i="3"/>
  <c r="O45" i="3"/>
  <c r="L45" i="3"/>
  <c r="G45" i="3"/>
  <c r="D45" i="3"/>
  <c r="G41" i="3"/>
  <c r="C43" i="3"/>
  <c r="D41" i="3"/>
  <c r="N41" i="3"/>
  <c r="M43" i="3"/>
  <c r="N43" i="3" s="1"/>
  <c r="J41" i="3"/>
  <c r="I41" i="3"/>
  <c r="H43" i="3"/>
  <c r="R41" i="3"/>
  <c r="Q41" i="3"/>
  <c r="P43" i="3"/>
  <c r="F41" i="3"/>
  <c r="E43" i="3"/>
  <c r="F43" i="3" s="1"/>
  <c r="O41" i="3"/>
  <c r="L41" i="3"/>
  <c r="K43" i="3"/>
  <c r="J24" i="11" l="1"/>
  <c r="F24" i="11"/>
  <c r="E36" i="11"/>
  <c r="R36" i="5"/>
  <c r="Q36" i="5"/>
  <c r="P41" i="5"/>
  <c r="K32" i="10"/>
  <c r="O28" i="10"/>
  <c r="Z21" i="10"/>
  <c r="X30" i="10"/>
  <c r="Z24" i="11" s="1"/>
  <c r="AA21" i="10"/>
  <c r="K26" i="11"/>
  <c r="O26" i="10"/>
  <c r="K30" i="10"/>
  <c r="K41" i="5"/>
  <c r="O36" i="5"/>
  <c r="L36" i="5"/>
  <c r="Q32" i="11"/>
  <c r="P36" i="11"/>
  <c r="Q24" i="11"/>
  <c r="R24" i="11"/>
  <c r="AD14" i="11"/>
  <c r="AC14" i="11"/>
  <c r="P36" i="6"/>
  <c r="R24" i="6"/>
  <c r="Q24" i="6"/>
  <c r="J36" i="5"/>
  <c r="I36" i="5"/>
  <c r="H41" i="5"/>
  <c r="R36" i="6"/>
  <c r="N36" i="6"/>
  <c r="M41" i="6"/>
  <c r="T25" i="6"/>
  <c r="E41" i="6"/>
  <c r="F36" i="6"/>
  <c r="I41" i="6"/>
  <c r="H43" i="6"/>
  <c r="I43" i="6" s="1"/>
  <c r="J41" i="6"/>
  <c r="I34" i="11"/>
  <c r="J34" i="11"/>
  <c r="AK18" i="11"/>
  <c r="AB21" i="6"/>
  <c r="AI18" i="11" s="1"/>
  <c r="AE21" i="6"/>
  <c r="AC21" i="6"/>
  <c r="L24" i="11"/>
  <c r="O24" i="11"/>
  <c r="C41" i="6"/>
  <c r="G36" i="6"/>
  <c r="D36" i="6"/>
  <c r="H36" i="11"/>
  <c r="I24" i="11"/>
  <c r="N24" i="11"/>
  <c r="M36" i="11"/>
  <c r="N36" i="11" s="1"/>
  <c r="D10" i="11"/>
  <c r="C36" i="10"/>
  <c r="E59" i="7"/>
  <c r="E60" i="7" s="1"/>
  <c r="E61" i="7" s="1"/>
  <c r="E45" i="10"/>
  <c r="I45" i="10" s="1"/>
  <c r="I36" i="10"/>
  <c r="E41" i="10"/>
  <c r="C41" i="5"/>
  <c r="G36" i="5"/>
  <c r="D36" i="5"/>
  <c r="G20" i="11"/>
  <c r="C24" i="11"/>
  <c r="D20" i="11"/>
  <c r="D13" i="11"/>
  <c r="D17" i="11"/>
  <c r="D18" i="11"/>
  <c r="D22" i="11"/>
  <c r="D42" i="11"/>
  <c r="D46" i="11"/>
  <c r="D30" i="11"/>
  <c r="D14" i="11"/>
  <c r="D39" i="11"/>
  <c r="D26" i="11"/>
  <c r="D19" i="11"/>
  <c r="D27" i="11"/>
  <c r="D15" i="11"/>
  <c r="D38" i="11"/>
  <c r="D31" i="11"/>
  <c r="D11" i="11"/>
  <c r="D12" i="11"/>
  <c r="AA30" i="6"/>
  <c r="AC30" i="3"/>
  <c r="Z30" i="3"/>
  <c r="L36" i="6"/>
  <c r="K41" i="6"/>
  <c r="O36" i="6"/>
  <c r="Q36" i="10"/>
  <c r="P41" i="10"/>
  <c r="R36" i="10"/>
  <c r="P45" i="10"/>
  <c r="D32" i="11"/>
  <c r="H41" i="10"/>
  <c r="H45" i="10"/>
  <c r="J36" i="10"/>
  <c r="R20" i="11"/>
  <c r="Q19" i="11"/>
  <c r="Q14" i="11"/>
  <c r="Q31" i="11"/>
  <c r="Q18" i="11"/>
  <c r="Q27" i="11"/>
  <c r="Q46" i="11"/>
  <c r="Q39" i="11"/>
  <c r="Q26" i="11"/>
  <c r="Q22" i="11"/>
  <c r="Q12" i="11"/>
  <c r="Q13" i="11"/>
  <c r="Q42" i="11"/>
  <c r="Q38" i="11"/>
  <c r="Q11" i="11"/>
  <c r="Q17" i="11"/>
  <c r="Q30" i="11"/>
  <c r="Q15" i="11"/>
  <c r="Q10" i="11"/>
  <c r="Z15" i="11"/>
  <c r="D34" i="11"/>
  <c r="G34" i="11"/>
  <c r="R34" i="11"/>
  <c r="Q34" i="11"/>
  <c r="N45" i="9"/>
  <c r="R45" i="9"/>
  <c r="F45" i="9"/>
  <c r="J45" i="9"/>
  <c r="O45" i="11"/>
  <c r="L45" i="11"/>
  <c r="N45" i="8"/>
  <c r="R45" i="8"/>
  <c r="J45" i="8"/>
  <c r="F45" i="8"/>
  <c r="E63" i="7"/>
  <c r="F43" i="7"/>
  <c r="J43" i="7"/>
  <c r="I43" i="7"/>
  <c r="R43" i="7"/>
  <c r="Q43" i="7"/>
  <c r="G43" i="7"/>
  <c r="C63" i="7"/>
  <c r="D43" i="7"/>
  <c r="O43" i="7"/>
  <c r="L43" i="7"/>
  <c r="G43" i="4"/>
  <c r="D43" i="4"/>
  <c r="J43" i="4"/>
  <c r="I43" i="4"/>
  <c r="R43" i="4"/>
  <c r="Q43" i="4"/>
  <c r="O43" i="4"/>
  <c r="L43" i="4"/>
  <c r="G43" i="3"/>
  <c r="D43" i="3"/>
  <c r="R43" i="3"/>
  <c r="Q43" i="3"/>
  <c r="O43" i="3"/>
  <c r="L43" i="3"/>
  <c r="J43" i="3"/>
  <c r="I43" i="3"/>
  <c r="H43" i="10" l="1"/>
  <c r="J43" i="10" s="1"/>
  <c r="J41" i="10"/>
  <c r="Z18" i="11"/>
  <c r="AD15" i="11"/>
  <c r="AC15" i="11"/>
  <c r="H43" i="5"/>
  <c r="J41" i="5"/>
  <c r="I41" i="5"/>
  <c r="I42" i="5" s="1"/>
  <c r="AB24" i="11"/>
  <c r="AB30" i="6"/>
  <c r="AK23" i="11"/>
  <c r="AE30" i="6"/>
  <c r="E43" i="10"/>
  <c r="I41" i="10"/>
  <c r="L26" i="11"/>
  <c r="K28" i="11"/>
  <c r="O26" i="11"/>
  <c r="Q36" i="11"/>
  <c r="R36" i="11"/>
  <c r="F36" i="11"/>
  <c r="E41" i="11"/>
  <c r="K30" i="11"/>
  <c r="K34" i="10"/>
  <c r="O30" i="10"/>
  <c r="C43" i="5"/>
  <c r="G41" i="5"/>
  <c r="D41" i="5"/>
  <c r="J36" i="11"/>
  <c r="I36" i="11"/>
  <c r="H41" i="11"/>
  <c r="F41" i="6"/>
  <c r="E43" i="6"/>
  <c r="T28" i="6"/>
  <c r="L41" i="5"/>
  <c r="K43" i="5"/>
  <c r="O41" i="5"/>
  <c r="P43" i="5"/>
  <c r="Q41" i="5"/>
  <c r="R41" i="5"/>
  <c r="R45" i="10"/>
  <c r="Q45" i="10"/>
  <c r="P45" i="11"/>
  <c r="P43" i="10"/>
  <c r="R41" i="10"/>
  <c r="Q41" i="10"/>
  <c r="D24" i="11"/>
  <c r="C36" i="11"/>
  <c r="G24" i="11"/>
  <c r="O32" i="10"/>
  <c r="K38" i="10"/>
  <c r="J45" i="10"/>
  <c r="H45" i="11"/>
  <c r="K43" i="6"/>
  <c r="O41" i="6"/>
  <c r="L41" i="6"/>
  <c r="C59" i="7"/>
  <c r="C60" i="7" s="1"/>
  <c r="C61" i="7" s="1"/>
  <c r="C41" i="10"/>
  <c r="C45" i="10"/>
  <c r="G36" i="10"/>
  <c r="G41" i="6"/>
  <c r="D41" i="6"/>
  <c r="C43" i="6"/>
  <c r="M41" i="11"/>
  <c r="N41" i="6"/>
  <c r="M43" i="6"/>
  <c r="N43" i="6" s="1"/>
  <c r="P41" i="6"/>
  <c r="Q36" i="6"/>
  <c r="E45" i="11"/>
  <c r="F45" i="11" s="1"/>
  <c r="K63" i="7"/>
  <c r="J45" i="5"/>
  <c r="I45" i="5"/>
  <c r="J45" i="4"/>
  <c r="I45" i="4"/>
  <c r="L28" i="11" l="1"/>
  <c r="O28" i="11"/>
  <c r="M43" i="11"/>
  <c r="N43" i="11" s="1"/>
  <c r="N41" i="11"/>
  <c r="C41" i="11"/>
  <c r="D36" i="11"/>
  <c r="G36" i="11"/>
  <c r="K39" i="10"/>
  <c r="O34" i="10"/>
  <c r="L43" i="5"/>
  <c r="O43" i="5"/>
  <c r="P41" i="11"/>
  <c r="R41" i="6"/>
  <c r="P43" i="6"/>
  <c r="Q41" i="6"/>
  <c r="R45" i="11"/>
  <c r="Q45" i="11"/>
  <c r="G43" i="6"/>
  <c r="D43" i="6"/>
  <c r="J41" i="11"/>
  <c r="H43" i="11"/>
  <c r="I41" i="11"/>
  <c r="L30" i="11"/>
  <c r="O30" i="11"/>
  <c r="K32" i="11"/>
  <c r="J43" i="5"/>
  <c r="I43" i="5"/>
  <c r="G45" i="10"/>
  <c r="C45" i="11"/>
  <c r="J43" i="6"/>
  <c r="T30" i="6"/>
  <c r="F43" i="6"/>
  <c r="L43" i="6"/>
  <c r="O43" i="6"/>
  <c r="R43" i="5"/>
  <c r="Q43" i="5"/>
  <c r="F41" i="11"/>
  <c r="E43" i="11"/>
  <c r="F43" i="11" s="1"/>
  <c r="E65" i="7"/>
  <c r="I43" i="10"/>
  <c r="I45" i="11"/>
  <c r="J45" i="11"/>
  <c r="Z23" i="11"/>
  <c r="AD18" i="11"/>
  <c r="AC18" i="11"/>
  <c r="Q43" i="10"/>
  <c r="R43" i="10"/>
  <c r="K38" i="11"/>
  <c r="O38" i="10"/>
  <c r="K42" i="10"/>
  <c r="AI23" i="11"/>
  <c r="AC24" i="11"/>
  <c r="C43" i="10"/>
  <c r="G41" i="10"/>
  <c r="G43" i="5"/>
  <c r="D43" i="5"/>
  <c r="G45" i="11" l="1"/>
  <c r="D45" i="11"/>
  <c r="R41" i="11"/>
  <c r="P43" i="11"/>
  <c r="Q41" i="11"/>
  <c r="E66" i="7"/>
  <c r="E68" i="7"/>
  <c r="I43" i="11"/>
  <c r="J43" i="11"/>
  <c r="Q43" i="6"/>
  <c r="R43" i="6"/>
  <c r="G41" i="11"/>
  <c r="D41" i="11"/>
  <c r="C43" i="11"/>
  <c r="K42" i="11"/>
  <c r="O42" i="10"/>
  <c r="K46" i="10"/>
  <c r="O32" i="11"/>
  <c r="L32" i="11"/>
  <c r="G43" i="10"/>
  <c r="C65" i="7"/>
  <c r="O38" i="11"/>
  <c r="L38" i="11"/>
  <c r="K39" i="11"/>
  <c r="O39" i="10"/>
  <c r="K43" i="10"/>
  <c r="O43" i="10" s="1"/>
  <c r="K34" i="11"/>
  <c r="O39" i="11" l="1"/>
  <c r="L39" i="11"/>
  <c r="R43" i="11"/>
  <c r="Q43" i="11"/>
  <c r="C68" i="7"/>
  <c r="F68" i="7" s="1"/>
  <c r="C66" i="7"/>
  <c r="O42" i="11"/>
  <c r="L42" i="11"/>
  <c r="G43" i="11"/>
  <c r="D43" i="11"/>
  <c r="O34" i="11"/>
  <c r="L34" i="11"/>
  <c r="K36" i="11"/>
  <c r="O46" i="10"/>
  <c r="K46" i="11"/>
  <c r="O46" i="11" l="1"/>
  <c r="L46" i="11"/>
  <c r="L36" i="11"/>
  <c r="K41" i="11"/>
  <c r="O36" i="11"/>
  <c r="L41" i="11" l="1"/>
  <c r="K43" i="11"/>
  <c r="O41" i="11"/>
  <c r="O43" i="11" l="1"/>
  <c r="L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94B205C7-2A7A-40B6-902C-1A498A456E66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<sst xmlns="http://schemas.openxmlformats.org/spreadsheetml/2006/main" count="1441" uniqueCount="588">
  <si>
    <t>Periodo ant</t>
  </si>
  <si>
    <t>Periodo Actual</t>
  </si>
  <si>
    <t>MES INIC</t>
  </si>
  <si>
    <t>MES FIN</t>
  </si>
  <si>
    <t>AÑO</t>
  </si>
  <si>
    <t>TRM</t>
  </si>
  <si>
    <t>ENERO</t>
  </si>
  <si>
    <t>PPTO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</si>
  <si>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</si>
  <si>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</si>
  <si>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</si>
  <si>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</si>
  <si>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</si>
  <si>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</si>
  <si>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</si>
  <si>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</si>
  <si>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</si>
  <si>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</si>
  <si>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</si>
  <si>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</si>
  <si>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</si>
  <si>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</si>
  <si>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</si>
  <si>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</si>
  <si>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</si>
  <si>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</si>
  <si>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</si>
  <si>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</si>
  <si>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</si>
  <si>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</si>
  <si>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</si>
  <si>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</si>
  <si>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</si>
  <si>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</si>
  <si>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</si>
  <si>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</si>
  <si>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</si>
  <si>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</si>
  <si>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</si>
  <si>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</si>
  <si>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</si>
  <si>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</si>
  <si>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</si>
  <si>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</si>
  <si>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</si>
  <si>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</si>
  <si>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</si>
  <si>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</si>
  <si>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</si>
  <si>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</si>
  <si>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</si>
  <si>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</si>
  <si>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</si>
  <si>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</si>
  <si>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</si>
  <si>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</si>
  <si>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</si>
  <si>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</si>
  <si>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</si>
  <si>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</si>
  <si>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</si>
  <si>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</si>
  <si>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</si>
  <si>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</si>
  <si>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</si>
  <si>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</si>
  <si>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</si>
  <si>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</si>
  <si>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</si>
  <si>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</si>
  <si>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</si>
  <si>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</si>
  <si>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</si>
  <si>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</si>
  <si>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</si>
  <si>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</si>
  <si>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</si>
  <si>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</si>
  <si>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</si>
  <si>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</si>
  <si>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</si>
  <si>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</si>
  <si>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</si>
  <si>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</si>
  <si>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</si>
  <si>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</si>
  <si>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</si>
  <si>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</si>
  <si>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</si>
  <si>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</si>
  <si>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</si>
  <si>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</si>
  <si>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</si>
  <si>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</si>
  <si>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</si>
  <si>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</si>
  <si>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</si>
  <si>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</si>
  <si>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</si>
  <si>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</si>
  <si>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</si>
  <si>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</si>
  <si>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</si>
  <si>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</si>
  <si>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</si>
  <si>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</si>
  <si>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</si>
  <si>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</si>
  <si>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</si>
  <si>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</si>
  <si>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</si>
  <si>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</si>
  <si>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</si>
  <si>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</si>
  <si>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</si>
  <si>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</si>
  <si>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</si>
  <si>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</si>
  <si>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</si>
  <si>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</si>
  <si>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</si>
  <si>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</si>
  <si>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</si>
  <si>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</si>
  <si>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</si>
  <si>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</si>
  <si>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</si>
  <si>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</si>
  <si>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</si>
  <si>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</si>
  <si>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</si>
  <si>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</si>
  <si>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</si>
  <si>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</si>
  <si>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</si>
  <si>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</si>
  <si>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</si>
  <si>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</si>
  <si>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</si>
  <si>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</si>
  <si>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</si>
  <si>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</si>
  <si>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</si>
  <si>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</si>
  <si>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</si>
  <si>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</si>
  <si>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</si>
  <si>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</si>
  <si>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</si>
  <si>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</si>
  <si>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</si>
  <si>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</si>
  <si>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</si>
  <si>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</si>
  <si>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</si>
  <si>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</si>
  <si>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</si>
  <si>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</si>
  <si>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</si>
  <si>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</si>
  <si>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</si>
  <si>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</si>
  <si>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</si>
  <si>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</si>
  <si>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</si>
  <si>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</si>
  <si>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</si>
  <si>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</si>
  <si>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</si>
  <si>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</si>
  <si>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</si>
  <si>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</si>
  <si>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</si>
  <si>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</si>
  <si>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</si>
  <si>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</si>
  <si>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</si>
  <si>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</si>
  <si>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</si>
  <si>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</si>
  <si>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</si>
  <si>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</si>
  <si>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</si>
  <si>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</si>
  <si>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</si>
  <si>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</si>
  <si>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</si>
  <si>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</si>
  <si>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</si>
  <si>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</si>
  <si>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</si>
  <si>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</si>
  <si>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</si>
  <si>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</si>
  <si>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</si>
  <si>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</si>
  <si>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</si>
  <si>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</si>
  <si>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</si>
  <si>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</si>
  <si>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</si>
  <si>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</si>
  <si>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</si>
  <si>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</si>
  <si>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</si>
  <si>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</si>
  <si>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</si>
  <si>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</si>
  <si>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</si>
  <si>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</si>
  <si>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</si>
  <si>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</si>
  <si>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</si>
  <si>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</si>
  <si>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</si>
  <si>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</si>
  <si>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</si>
  <si>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</si>
  <si>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</si>
  <si>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</si>
  <si>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</si>
  <si>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</si>
  <si>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</si>
  <si>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</si>
  <si>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</si>
  <si>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</si>
  <si>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</si>
  <si>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</si>
  <si>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</si>
  <si>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</si>
  <si>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</si>
  <si>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</si>
  <si>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</si>
  <si>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</si>
  <si>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</si>
  <si>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</si>
  <si>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</si>
  <si>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</si>
  <si>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</si>
  <si>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</si>
  <si>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</si>
  <si>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</si>
  <si>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</si>
  <si>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</si>
  <si>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</si>
  <si>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</si>
  <si>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</si>
  <si>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</si>
  <si>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</si>
  <si>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</si>
  <si>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</si>
  <si>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</si>
  <si>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</si>
  <si>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</si>
  <si>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</si>
  <si>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</si>
  <si>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</si>
  <si>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</si>
  <si>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</si>
  <si>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</si>
  <si>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</si>
  <si>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</si>
  <si>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</si>
  <si>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</si>
  <si>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</si>
  <si>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</si>
  <si>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</si>
  <si>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</si>
  <si>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</si>
  <si>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</si>
  <si>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</si>
  <si>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</si>
  <si>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</si>
  <si>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</si>
  <si>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</si>
  <si>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</si>
  <si>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</si>
  <si>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</si>
  <si>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</si>
  <si>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</si>
  <si>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</si>
  <si>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</si>
  <si>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</si>
  <si>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</si>
  <si>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</si>
  <si>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</si>
  <si>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</si>
  <si>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</si>
  <si>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</si>
  <si>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</si>
  <si>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</si>
  <si>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</si>
  <si>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</si>
  <si>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</si>
  <si>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</si>
  <si>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</si>
  <si>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</si>
  <si>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</si>
  <si>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</si>
  <si>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</si>
  <si>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</si>
  <si>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</si>
  <si>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</si>
  <si>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</si>
  <si>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</si>
  <si>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</si>
  <si>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</si>
  <si>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</si>
  <si>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</si>
  <si>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</si>
  <si>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</si>
  <si>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</si>
  <si>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</si>
  <si>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</si>
  <si>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</si>
  <si>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</si>
  <si>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</si>
  <si>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</si>
  <si>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</si>
  <si>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</si>
  <si>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</si>
  <si>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</si>
  <si>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</si>
  <si>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</si>
  <si>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</si>
  <si>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</si>
  <si>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</si>
  <si>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</si>
  <si>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</si>
  <si>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</si>
  <si>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</si>
  <si>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</si>
  <si>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</si>
  <si>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</si>
  <si>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</si>
  <si>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</si>
  <si>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</si>
  <si>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</si>
  <si>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</si>
  <si>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</si>
  <si>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</si>
  <si>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</si>
  <si>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</si>
  <si>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</si>
  <si>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</si>
  <si>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</si>
  <si>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</si>
  <si>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</si>
  <si>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</si>
  <si>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</si>
  <si>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</si>
  <si>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</si>
  <si>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</si>
  <si>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</si>
  <si>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</si>
  <si>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</si>
  <si>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</si>
  <si>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</si>
  <si>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</si>
  <si>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</si>
  <si>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</si>
  <si>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</si>
  <si>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</si>
  <si>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</si>
  <si>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</si>
  <si>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</si>
  <si>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</si>
  <si>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</si>
  <si>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</si>
  <si>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</si>
  <si>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</si>
  <si>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</si>
  <si>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</si>
  <si>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</si>
  <si>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</si>
  <si>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</si>
  <si>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</si>
  <si>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</si>
  <si>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</si>
  <si>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</si>
  <si>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</si>
  <si>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</si>
  <si>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</si>
  <si>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</si>
  <si>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</si>
  <si>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</si>
  <si>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</si>
  <si>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</si>
  <si>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</si>
  <si>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</si>
  <si>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</si>
  <si>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</si>
  <si>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</si>
  <si>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</si>
  <si>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</si>
  <si>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</si>
  <si>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</si>
  <si>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</si>
  <si>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</si>
  <si>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</si>
  <si>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</si>
  <si>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</si>
  <si>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</si>
  <si>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</si>
  <si>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</si>
  <si>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</si>
  <si>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</si>
  <si>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</si>
  <si>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</si>
  <si>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</si>
  <si>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</si>
  <si>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</si>
  <si>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</si>
  <si>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</si>
  <si>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</si>
  <si>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</si>
  <si>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</si>
  <si>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</si>
  <si>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</si>
  <si>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</si>
  <si>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</si>
  <si>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</si>
  <si>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</si>
  <si>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</si>
  <si>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</si>
  <si>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</si>
  <si>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</si>
  <si>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</si>
  <si>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</si>
  <si>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</si>
  <si>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</si>
  <si>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</si>
  <si>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</si>
  <si>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</si>
  <si>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</si>
  <si>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</si>
  <si>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</si>
  <si>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</si>
  <si>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</si>
  <si>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</si>
  <si>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</si>
  <si>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</si>
  <si>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</si>
  <si>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</si>
  <si>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</si>
  <si>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</si>
  <si>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</si>
  <si>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</si>
  <si>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</si>
  <si>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</si>
  <si>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</si>
  <si>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</si>
  <si>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</si>
  <si>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</si>
  <si>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</si>
  <si>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</si>
  <si>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</si>
  <si>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</si>
  <si>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</si>
  <si>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</si>
  <si>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</si>
  <si>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</si>
  <si>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</si>
  <si>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</si>
  <si>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</si>
  <si>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</si>
  <si>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</si>
  <si>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</si>
  <si>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</si>
  <si>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</si>
  <si>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</si>
  <si>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</si>
  <si>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</si>
  <si>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</si>
  <si>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</si>
  <si>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</si>
  <si>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</si>
  <si>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</si>
  <si>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</si>
  <si>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</si>
  <si>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</si>
  <si>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</si>
  <si>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</si>
  <si>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</si>
  <si>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</si>
  <si>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</si>
  <si>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</si>
  <si>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</si>
  <si>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</si>
  <si>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</si>
  <si>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</si>
  <si>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</si>
  <si>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</si>
  <si>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</si>
  <si>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</si>
  <si>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</si>
  <si>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</si>
  <si>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</si>
  <si>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</si>
  <si>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</si>
  <si>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</si>
  <si>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</si>
  <si>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</si>
  <si>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</si>
  <si>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</si>
  <si>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</si>
  <si>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</si>
  <si>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</si>
  <si>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</si>
  <si>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</si>
  <si>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</si>
  <si>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</si>
  <si>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</si>
  <si>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</si>
  <si>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</si>
  <si>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</si>
  <si>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</si>
  <si>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</si>
  <si>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</si>
  <si>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</si>
  <si>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</si>
  <si>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</si>
  <si>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</si>
  <si>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</si>
  <si>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</si>
  <si>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</si>
  <si>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</si>
  <si>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</si>
  <si>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</si>
  <si>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</si>
  <si>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</si>
  <si>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</si>
  <si>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</si>
  <si>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</si>
  <si>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</si>
  <si>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</si>
  <si>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</si>
  <si>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</si>
  <si>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</si>
  <si>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</si>
  <si>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</si>
  <si>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</si>
  <si>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</si>
  <si>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</si>
  <si>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</si>
  <si>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</si>
  <si>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</si>
  <si>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</si>
  <si>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</si>
  <si>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</si>
  <si>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</si>
  <si>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</si>
  <si>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</si>
  <si>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</si>
  <si>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</si>
  <si>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7104</t>
  </si>
  <si>
    <t>PRESTAMOS DE ENTIDADES FINANCIERAS CP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</si>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</sst>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9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6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6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6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6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6" fontId="6" fillId="0" borderId="0" xfId="3" applyNumberFormat="1" applyFont="1" applyFill="1" applyBorder="1" applyAlignment="1">
      <alignment horizontal="right"/>
    </xf>
    <xf numFmtId="9" fontId="6" fillId="0" borderId="0" xfId="4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4" applyFont="1" applyFill="1" applyBorder="1" applyAlignment="1">
      <alignment horizontal="right"/>
    </xf>
    <xf numFmtId="9" fontId="9" fillId="0" borderId="0" xfId="4" applyFont="1" applyFill="1" applyBorder="1" applyAlignment="1">
      <alignment horizontal="right"/>
    </xf>
    <xf numFmtId="167" fontId="6" fillId="0" borderId="0" xfId="1" applyNumberFormat="1" applyFont="1" applyAlignment="1">
      <alignment horizontal="left"/>
    </xf>
    <xf numFmtId="166" fontId="13" fillId="0" borderId="0" xfId="3" applyNumberFormat="1" applyFont="1" applyFill="1" applyBorder="1" applyAlignment="1">
      <alignment horizontal="right"/>
    </xf>
    <xf numFmtId="9" fontId="13" fillId="0" borderId="0" xfId="4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5" applyNumberFormat="1" applyFont="1"/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9" fillId="0" borderId="0" xfId="1" applyNumberFormat="1" applyFont="1"/>
    <xf numFmtId="3" fontId="11" fillId="0" borderId="0" xfId="1" applyNumberFormat="1" applyFont="1"/>
    <xf numFmtId="166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6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0" fontId="6" fillId="0" borderId="0" xfId="4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6" fontId="3" fillId="0" borderId="0" xfId="1" applyNumberFormat="1" applyFont="1" applyAlignment="1">
      <alignment horizontal="right"/>
    </xf>
    <xf numFmtId="9" fontId="3" fillId="0" borderId="0" xfId="4" applyFont="1" applyFill="1" applyBorder="1" applyAlignment="1"/>
    <xf numFmtId="3" fontId="9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3" fontId="19" fillId="0" borderId="0" xfId="3" applyNumberFormat="1" applyFont="1"/>
    <xf numFmtId="174" fontId="1" fillId="0" borderId="0" xfId="1" applyNumberFormat="1"/>
    <xf numFmtId="166" fontId="0" fillId="0" borderId="0" xfId="3" applyNumberFormat="1" applyFont="1"/>
    <xf numFmtId="43" fontId="19" fillId="0" borderId="0" xfId="3" applyFont="1"/>
    <xf numFmtId="166" fontId="18" fillId="0" borderId="0" xfId="3" applyNumberFormat="1" applyFont="1"/>
    <xf numFmtId="175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5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6" applyFont="1"/>
    <xf numFmtId="49" fontId="25" fillId="0" borderId="0" xfId="5" applyNumberFormat="1" applyFont="1"/>
    <xf numFmtId="49" fontId="23" fillId="0" borderId="0" xfId="5" applyNumberFormat="1" applyFont="1"/>
    <xf numFmtId="0" fontId="26" fillId="0" borderId="0" xfId="5" applyFont="1" applyAlignment="1">
      <alignment vertical="center"/>
    </xf>
    <xf numFmtId="166" fontId="22" fillId="0" borderId="0" xfId="3" applyNumberFormat="1" applyFont="1"/>
    <xf numFmtId="166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5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  <xf numFmtId="166" fontId="28" fillId="0" borderId="0" xfId="3" applyNumberFormat="1" applyFont="1" applyFill="1" applyBorder="1" applyAlignment="1">
      <alignment horizontal="right"/>
    </xf>
    <xf numFmtId="0" fontId="28" fillId="0" borderId="0" xfId="1" applyFont="1" applyAlignment="1">
      <alignment horizontal="center"/>
    </xf>
    <xf numFmtId="0" fontId="28" fillId="0" borderId="0" xfId="1" applyFont="1"/>
    <xf numFmtId="3" fontId="28" fillId="0" borderId="0" xfId="1" applyNumberFormat="1" applyFont="1"/>
    <xf numFmtId="9" fontId="28" fillId="0" borderId="0" xfId="4" applyFont="1" applyFill="1" applyBorder="1" applyAlignment="1"/>
    <xf numFmtId="170" fontId="28" fillId="0" borderId="0" xfId="4" applyNumberFormat="1" applyFont="1" applyFill="1" applyBorder="1" applyAlignment="1"/>
  </cellXfs>
  <cellStyles count="7">
    <cellStyle name="Millares [0] 2" xfId="6" xr:uid="{8F6B1719-6039-451B-824B-D580FDCC65A6}"/>
    <cellStyle name="Millares 2" xfId="3" xr:uid="{951DF0DE-0081-4D56-9422-1F92F4BFFB44}"/>
    <cellStyle name="Normal" xfId="0" builtinId="0"/>
    <cellStyle name="Normal 2" xfId="1" xr:uid="{CDEC89A8-676A-4457-9218-18786537D0BC}"/>
    <cellStyle name="Normal 2 2" xfId="5" xr:uid="{0361395C-F94E-4960-BAAE-76E90A0E72CA}"/>
    <cellStyle name="Normal 3" xfId="2" xr:uid="{A67461EF-AB33-4F86-8D24-425ACDF9C2EE}"/>
    <cellStyle name="Porcentaje 2" xfId="4" xr:uid="{084F46B0-DEC5-4CF8-95F9-43D9663752A7}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251003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18018-E7D1-4304-B9C4-3A08ACE28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27603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514351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7B7456-7F0D-4B7B-A795-43AEF15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18426" y="342901"/>
          <a:ext cx="3905250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993038-D028-4D00-BAB7-F3FE5C1E3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233224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104775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56042B-C8E1-4E66-B07D-547A776A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125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491142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50CD05-1E9E-4DFB-8D3B-0800D861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880300" y="2219325"/>
          <a:ext cx="4120167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381CBE5-055A-4D7C-96C5-6D4E0C58C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947600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3DD2136-A924-46F5-BA26-096E2D08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652951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97BA65-2242-4496-8C87-49C6057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424975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5B61215-AAE6-487B-9CDB-B352958F7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206525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969F21B-E15B-4F84-9866-74DA6865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788050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633609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BC167F6-256F-4908-84C6-FD9CC554A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893325" y="2390775"/>
          <a:ext cx="3681609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628651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E297362-C249-4268-AFE8-15A67338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671126" y="11268075"/>
          <a:ext cx="2990850" cy="163488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E735BB3C-31FC-4974-8D99-B7716D30AD51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B24EDD5F-134D-416D-B354-5AD196CF9A93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212.644313773148" createdVersion="3" refreshedVersion="8" minRefreshableVersion="3" recordCount="23" xr:uid="{45CA9E97-6F73-4712-8EC9-85B44FCB59D7}">
  <cacheSource type="external" connectionId="3"/>
  <cacheFields count="33">
    <cacheField name="PERIODO" numFmtId="0">
      <sharedItems containsSemiMixedTypes="0" containsString="0" containsNumber="1" containsInteger="1" minValue="201909" maxValue="202309" count="10">
        <n v="202301"/>
        <n v="202302"/>
        <n v="202305"/>
        <n v="202307"/>
        <n v="202309"/>
        <n v="202303"/>
        <n v="202304"/>
        <n v="202306"/>
        <n v="202308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4">
        <s v="7104"/>
        <s v="7102"/>
        <s v="4102"/>
        <s v="7105" u="1"/>
      </sharedItems>
    </cacheField>
    <cacheField name="Nombre Cpto Flujo Efectivo" numFmtId="0">
      <sharedItems count="4">
        <s v="PRESTAMOS DE ENTIDADES FINANCIERAS CP"/>
        <s v="PAGO CUOTA CORRIENTE"/>
        <s v="INTERESES LARGO PLAZO"/>
        <s v="PRESTAMOS ENTIDADES FINANCIERAS LP" u="1"/>
      </sharedItems>
    </cacheField>
    <cacheField name="Cpto Mayor Flujo Efectivo" numFmtId="0">
      <sharedItems count="2">
        <s v="7"/>
        <s v="4"/>
      </sharedItems>
    </cacheField>
    <cacheField name="CPTO_FE_N1" numFmtId="0">
      <sharedItems count="2">
        <s v="7"/>
        <s v="4"/>
      </sharedItems>
    </cacheField>
    <cacheField name="Nombre Cpto FE N1" numFmtId="0">
      <sharedItems count="2">
        <s v="ACTIVIDADES DE FINANCIACION"/>
        <s v="MOVIMIENTO FINANCIERO"/>
      </sharedItems>
    </cacheField>
    <cacheField name="CPTO_FE_N2" numFmtId="0">
      <sharedItems count="3">
        <s v="7104"/>
        <s v="7102"/>
        <s v="4102"/>
      </sharedItems>
    </cacheField>
    <cacheField name="Nombre Cpto FE N2" numFmtId="0">
      <sharedItems count="3">
        <s v="PRESTAMOS DE ENTIDADES FINANCIERAS CP"/>
        <s v="PAGO CUOTA CORRIENTE"/>
        <s v="INTERESES LARGO PLAZO"/>
      </sharedItems>
    </cacheField>
    <cacheField name="CPTO_FE_N3" numFmtId="0">
      <sharedItems count="3">
        <s v="7104"/>
        <s v="7102"/>
        <s v="4102"/>
      </sharedItems>
    </cacheField>
    <cacheField name="Nombre Cpto FE N3" numFmtId="0">
      <sharedItems count="3">
        <s v="PRESTAMOS DE ENTIDADES FINANCIERAS CP"/>
        <s v="PAGO CUOTA CORRIENTE"/>
        <s v="INTERESES LARGO PLAZO"/>
      </sharedItems>
    </cacheField>
    <cacheField name="CPTO_FE_N4" numFmtId="0">
      <sharedItems count="3">
        <s v="7104"/>
        <s v="7102"/>
        <s v="4102"/>
      </sharedItems>
    </cacheField>
    <cacheField name="Nombre Cpto FE N4" numFmtId="0">
      <sharedItems count="3">
        <s v="PRESTAMOS DE ENTIDADES FINANCIERAS CP"/>
        <s v="PAGO CUOTA CORRIENTE"/>
        <s v="INTERESES LARGO PLAZO"/>
      </sharedItems>
    </cacheField>
    <cacheField name="CPTO_FE_N5" numFmtId="0">
      <sharedItems count="3">
        <s v="7104"/>
        <s v="7102"/>
        <s v="4102"/>
      </sharedItems>
    </cacheField>
    <cacheField name="Nombre Cpto FE N5" numFmtId="0">
      <sharedItems count="3">
        <s v="PRESTAMOS DE ENTIDADES FINANCIERAS CP"/>
        <s v="PAGO CUOTA CORRIENTE"/>
        <s v="INTERESES LARGO PLAZO"/>
      </sharedItems>
    </cacheField>
    <cacheField name="CPTO_FE_N6" numFmtId="0">
      <sharedItems count="3">
        <s v="7104"/>
        <s v="7102"/>
        <s v="4102"/>
      </sharedItems>
    </cacheField>
    <cacheField name="Nombre Cpto FE N6" numFmtId="0">
      <sharedItems count="3">
        <s v="PRESTAMOS DE ENTIDADES FINANCIERAS CP"/>
        <s v="PAGO CUOTA CORRIENTE"/>
        <s v="INTERESES LARGO PLAZO"/>
      </sharedItems>
    </cacheField>
    <cacheField name="CPTO_FE_N7" numFmtId="0">
      <sharedItems count="3">
        <s v="7104"/>
        <s v="7102"/>
        <s v="4102"/>
      </sharedItems>
    </cacheField>
    <cacheField name="Nombre Cpto FE N7" numFmtId="0">
      <sharedItems count="3">
        <s v="PRESTAMOS DE ENTIDADES FINANCIERAS CP"/>
        <s v="PAGO CUOTA CORRIENTE"/>
        <s v="INTERESES LARGO PLAZO"/>
      </sharedItems>
    </cacheField>
    <cacheField name="CPTO_FE_N8" numFmtId="0">
      <sharedItems count="3">
        <s v="7104"/>
        <s v="7102"/>
        <s v="4102"/>
      </sharedItems>
    </cacheField>
    <cacheField name="Nombre Cpto FE N8" numFmtId="0">
      <sharedItems count="3">
        <s v="PRESTAMOS DE ENTIDADES FINANCIERAS CP"/>
        <s v="PAGO CUOTA CORRIENTE"/>
        <s v="INTERESES LARGO PLAZO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3" maxValue="2023" count="1">
        <n v="2023"/>
      </sharedItems>
    </cacheField>
    <cacheField name="Valor Presupuesto" numFmtId="0">
      <sharedItems containsSemiMixedTypes="0" containsString="0" containsNumber="1" containsInteger="1" minValue="10000000" maxValue="290000000" count="23">
        <n v="10000000"/>
        <n v="155000000"/>
        <n v="290000000"/>
        <n v="50000000"/>
        <n v="55000000"/>
        <n v="94000000"/>
        <n v="77063000"/>
        <n v="77062000"/>
        <n v="66944000"/>
        <n v="74923000"/>
        <n v="74840000"/>
        <n v="75359000"/>
        <n v="74958000"/>
        <n v="76042000"/>
        <n v="44007000"/>
        <n v="18838000"/>
        <n v="19977000"/>
        <n v="18725000"/>
        <n v="17603000"/>
        <n v="20865000"/>
        <n v="20378000"/>
        <n v="19207000"/>
        <n v="1887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0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5"/>
  </r>
  <r>
    <x v="1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5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6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2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7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3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1"/>
  </r>
  <r>
    <x v="8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2"/>
  </r>
  <r>
    <x v="4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3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6"/>
  </r>
  <r>
    <x v="6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7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8"/>
  </r>
  <r>
    <x v="7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9"/>
  </r>
  <r>
    <x v="3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0"/>
  </r>
  <r>
    <x v="8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1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DE1866-46A0-4DDF-8558-DB5ECAA48FB9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2"/>
        <item x="1"/>
        <item m="1" x="3"/>
        <item x="0"/>
      </items>
    </pivotField>
    <pivotField axis="axisRow" compact="0" outline="0" showAll="0">
      <items count="5">
        <item x="2"/>
        <item x="1"/>
        <item m="1"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3"/>
      <x v="3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5" type="button" dataOnly="0" labelOnly="1" outline="0" axis="axisRow" fieldPosition="0"/>
    </format>
    <format dxfId="5">
      <pivotArea field="6" type="button" dataOnly="0" labelOnly="1" outline="0" axis="axisRow" fieldPosition="1"/>
    </format>
    <format dxfId="6">
      <pivotArea dataOnly="0" labelOnly="1" outline="0" fieldPosition="0">
        <references count="1">
          <reference field="5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1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11">
      <pivotArea type="topRight" dataOnly="0" labelOnly="1" outline="0" fieldPosition="0"/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type="origin" dataOnly="0" labelOnly="1" outline="0" fieldPosition="0"/>
    </format>
    <format dxfId="15">
      <pivotArea field="5" type="button" dataOnly="0" labelOnly="1" outline="0" axis="axisRow" fieldPosition="0"/>
    </format>
    <format dxfId="16">
      <pivotArea field="6" type="button" dataOnly="0" labelOnly="1" outline="0" axis="axisRow" fieldPosition="1"/>
    </format>
    <format dxfId="17">
      <pivotArea dataOnly="0" labelOnly="1" outline="0" fieldPosition="0">
        <references count="1">
          <reference field="5" count="0"/>
        </references>
      </pivotArea>
    </format>
    <format dxfId="18">
      <pivotArea dataOnly="0" labelOnly="1" grandRow="1" outline="0" fieldPosition="0"/>
    </format>
    <format dxfId="19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0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1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2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79564E-2B88-47D5-86FB-5EA70990C658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23">
      <pivotArea type="all" dataOnly="0" outline="0" fieldPosition="0"/>
    </format>
    <format dxfId="24">
      <pivotArea outline="0" collapsedLevelsAreSubtotals="1" fieldPosition="0"/>
    </format>
    <format dxfId="25">
      <pivotArea type="origin" dataOnly="0" labelOnly="1" outline="0" fieldPosition="0"/>
    </format>
    <format dxfId="26">
      <pivotArea field="4" type="button" dataOnly="0" labelOnly="1" outline="0" axis="axisRow" fieldPosition="0"/>
    </format>
    <format dxfId="27">
      <pivotArea dataOnly="0" labelOnly="1" outline="0" fieldPosition="0">
        <references count="1">
          <reference field="4" count="0"/>
        </references>
      </pivotArea>
    </format>
    <format dxfId="28">
      <pivotArea dataOnly="0" labelOnly="1" grandRow="1" outline="0" fieldPosition="0"/>
    </format>
    <format dxfId="29">
      <pivotArea type="topRight" dataOnly="0" labelOnly="1" outline="0" fieldPosition="0"/>
    </format>
    <format dxfId="30">
      <pivotArea type="all" dataOnly="0" outline="0" fieldPosition="0"/>
    </format>
    <format dxfId="31">
      <pivotArea outline="0" collapsedLevelsAreSubtotals="1" fieldPosition="0"/>
    </format>
    <format dxfId="32">
      <pivotArea type="origin" dataOnly="0" labelOnly="1" outline="0" fieldPosition="0"/>
    </format>
    <format dxfId="33">
      <pivotArea field="4" type="button" dataOnly="0" labelOnly="1" outline="0" axis="axisRow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5">
      <pivotArea dataOnly="0" labelOnly="1" grandRow="1" outline="0" fieldPosition="0"/>
    </format>
    <format dxfId="36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EE0E71-4FEA-41D6-A7F2-70EFCDC1B899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37">
      <pivotArea outline="0" collapsedLevelsAreSubtotals="1" fieldPosition="0"/>
    </format>
    <format dxfId="38">
      <pivotArea type="all" dataOnly="0" outline="0" fieldPosition="0"/>
    </format>
    <format dxfId="39">
      <pivotArea outline="0" collapsedLevelsAreSubtotals="1" fieldPosition="0"/>
    </format>
    <format dxfId="40">
      <pivotArea type="origin" dataOnly="0" labelOnly="1" outline="0" fieldPosition="0"/>
    </format>
    <format dxfId="41">
      <pivotArea field="31" type="button" dataOnly="0" labelOnly="1" outline="0" axis="axisRow" fieldPosition="0"/>
    </format>
    <format dxfId="42">
      <pivotArea field="32" type="button" dataOnly="0" labelOnly="1" outline="0" axis="axisRow" fieldPosition="1"/>
    </format>
    <format dxfId="43">
      <pivotArea dataOnly="0" labelOnly="1" outline="0" fieldPosition="0">
        <references count="1">
          <reference field="31" count="0"/>
        </references>
      </pivotArea>
    </format>
    <format dxfId="44">
      <pivotArea dataOnly="0" labelOnly="1" grandRow="1" outline="0" fieldPosition="0"/>
    </format>
    <format dxfId="45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46">
      <pivotArea type="topRight" dataOnly="0" labelOnly="1" outline="0" fieldPosition="0"/>
    </format>
    <format dxfId="47">
      <pivotArea type="all" dataOnly="0" outline="0" fieldPosition="0"/>
    </format>
    <format dxfId="48">
      <pivotArea outline="0" collapsedLevelsAreSubtotals="1" fieldPosition="0"/>
    </format>
    <format dxfId="49">
      <pivotArea type="origin" dataOnly="0" labelOnly="1" outline="0" fieldPosition="0"/>
    </format>
    <format dxfId="50">
      <pivotArea field="31" type="button" dataOnly="0" labelOnly="1" outline="0" axis="axisRow" fieldPosition="0"/>
    </format>
    <format dxfId="51">
      <pivotArea field="32" type="button" dataOnly="0" labelOnly="1" outline="0" axis="axisRow" fieldPosition="1"/>
    </format>
    <format dxfId="52">
      <pivotArea dataOnly="0" labelOnly="1" outline="0" fieldPosition="0">
        <references count="1">
          <reference field="31" count="0"/>
        </references>
      </pivotArea>
    </format>
    <format dxfId="53">
      <pivotArea dataOnly="0" labelOnly="1" grandRow="1" outline="0" fieldPosition="0"/>
    </format>
    <format dxfId="54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C3D03-F1E3-47DA-8186-90293CF3BE61}">
  <dimension ref="A2:G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6</v>
      </c>
      <c r="F3" s="5">
        <v>2024</v>
      </c>
      <c r="G3" s="6">
        <v>3925.6</v>
      </c>
    </row>
    <row r="4" spans="1:7" x14ac:dyDescent="0.2">
      <c r="A4" s="2" t="str">
        <f>VLOOKUP(E4,B22:E33,4,0)</f>
        <v>202301</v>
      </c>
      <c r="B4" s="3" t="str">
        <f>VLOOKUP(E3,B22:D33,3,0)</f>
        <v>202401</v>
      </c>
      <c r="C4" s="3"/>
      <c r="D4" s="7" t="str">
        <f>+D3</f>
        <v>ENERO</v>
      </c>
      <c r="E4" s="7" t="str">
        <f>+E3</f>
        <v>ENERO</v>
      </c>
      <c r="F4" s="5">
        <v>2023</v>
      </c>
      <c r="G4" s="8">
        <v>4632.2</v>
      </c>
    </row>
    <row r="5" spans="1:7" x14ac:dyDescent="0.2">
      <c r="A5" s="2"/>
      <c r="B5" s="3">
        <f>+B4-1</f>
        <v>202400</v>
      </c>
      <c r="C5" s="3"/>
      <c r="E5" s="1" t="s">
        <v>7</v>
      </c>
      <c r="G5" s="8">
        <v>4300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8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9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10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11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12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13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BC953866-D4F3-4D32-9565-EE303271BD58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6DE75-C03B-4E0F-8D30-83FEBFB1630E}">
  <dimension ref="A1:AK46"/>
  <sheetViews>
    <sheetView showGridLines="0" topLeftCell="S1" workbookViewId="0">
      <selection activeCell="AM34" sqref="AM34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1" bestFit="1" customWidth="1"/>
    <col min="20" max="21" width="11.42578125" style="31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3" customFormat="1" x14ac:dyDescent="0.2">
      <c r="B1" s="49"/>
      <c r="S1" s="31"/>
      <c r="T1" s="31"/>
      <c r="U1" s="31"/>
    </row>
    <row r="2" spans="1:37" x14ac:dyDescent="0.2">
      <c r="A2" s="53"/>
      <c r="Y2" s="53"/>
      <c r="Z2" s="53"/>
      <c r="AA2" s="53"/>
      <c r="AB2" s="53"/>
    </row>
    <row r="3" spans="1:37" ht="18" x14ac:dyDescent="0.25">
      <c r="B3" s="15" t="s">
        <v>149</v>
      </c>
      <c r="T3" s="115"/>
      <c r="V3" s="2" t="str">
        <f>+B3</f>
        <v>MUSICAR S.A. COLOMBIA CONSOLIDADO USD</v>
      </c>
    </row>
    <row r="4" spans="1:37" x14ac:dyDescent="0.2">
      <c r="B4" s="2" t="s">
        <v>20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V4" s="53"/>
      <c r="W4" s="53"/>
      <c r="X4" s="53"/>
      <c r="Y4" s="53"/>
      <c r="Z4" s="53"/>
      <c r="AA4" s="53"/>
      <c r="AB4" s="53"/>
      <c r="AC4" s="53"/>
      <c r="AD4" s="53"/>
      <c r="AE4" s="53"/>
    </row>
    <row r="5" spans="1:37" x14ac:dyDescent="0.2">
      <c r="B5" s="3" t="s">
        <v>90</v>
      </c>
      <c r="V5" s="53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19" t="str">
        <f>+'COL. CONS.$'!B6</f>
        <v>ENERO de 2024</v>
      </c>
      <c r="C6" s="90"/>
      <c r="K6" s="20" t="s">
        <v>23</v>
      </c>
      <c r="L6" s="20"/>
      <c r="M6" s="20"/>
      <c r="N6" s="20"/>
      <c r="O6" s="20"/>
      <c r="P6" s="20"/>
      <c r="Q6" s="20"/>
      <c r="R6" s="20"/>
      <c r="V6" s="3" t="s">
        <v>90</v>
      </c>
      <c r="W6" s="53" t="str">
        <f>+C8</f>
        <v>Valor</v>
      </c>
      <c r="X6" s="53" t="str">
        <f>+E8</f>
        <v>Valor</v>
      </c>
      <c r="Y6" s="53" t="str">
        <f>+O8</f>
        <v>%</v>
      </c>
      <c r="Z6" s="53" t="str">
        <f>+W6</f>
        <v>Valor</v>
      </c>
      <c r="AA6" s="53" t="str">
        <f>+X6</f>
        <v>Valor</v>
      </c>
      <c r="AB6" s="53" t="str">
        <f>+G8</f>
        <v>%</v>
      </c>
      <c r="AC6" s="53" t="s">
        <v>26</v>
      </c>
      <c r="AD6" s="53" t="s">
        <v>24</v>
      </c>
      <c r="AE6" s="53" t="s">
        <v>25</v>
      </c>
    </row>
    <row r="7" spans="1:37" x14ac:dyDescent="0.2">
      <c r="B7" s="60"/>
      <c r="C7" s="60"/>
      <c r="D7" s="60" t="s">
        <v>150</v>
      </c>
      <c r="E7" s="60"/>
      <c r="F7" s="60" t="s">
        <v>151</v>
      </c>
      <c r="G7" s="61" t="s">
        <v>24</v>
      </c>
      <c r="H7" s="60"/>
      <c r="I7" s="60" t="s">
        <v>152</v>
      </c>
      <c r="J7" s="61" t="s">
        <v>25</v>
      </c>
      <c r="K7" s="61"/>
      <c r="L7" s="60" t="str">
        <f>+D7</f>
        <v>Ppto 2022</v>
      </c>
      <c r="M7" s="61"/>
      <c r="N7" s="60" t="str">
        <f>+F7</f>
        <v>Real 2022</v>
      </c>
      <c r="O7" s="61" t="s">
        <v>24</v>
      </c>
      <c r="P7" s="61" t="str">
        <f>+I7</f>
        <v>Real 2021</v>
      </c>
      <c r="Q7" s="61"/>
      <c r="R7" s="61" t="s">
        <v>25</v>
      </c>
      <c r="V7" s="3" t="str">
        <f>+'COLOMB$ '!T4</f>
        <v xml:space="preserve">Flujo de Caja </v>
      </c>
      <c r="W7" s="53" t="s">
        <v>28</v>
      </c>
      <c r="X7" s="53" t="s">
        <v>28</v>
      </c>
      <c r="Y7" s="53" t="s">
        <v>28</v>
      </c>
      <c r="Z7" s="2" t="s">
        <v>153</v>
      </c>
      <c r="AC7" s="53" t="s">
        <v>28</v>
      </c>
      <c r="AD7" s="53" t="s">
        <v>30</v>
      </c>
      <c r="AE7" s="53" t="s">
        <v>30</v>
      </c>
    </row>
    <row r="8" spans="1:37" ht="13.5" thickBot="1" x14ac:dyDescent="0.25"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V8" s="3" t="s">
        <v>31</v>
      </c>
      <c r="W8" s="31">
        <f>'COLOMBIA USD'!W10+'EL SALVADOR USD'!V10+'VENEZUELA USD'!W9+'PANAMA USD'!U10</f>
        <v>25807.767441860466</v>
      </c>
      <c r="X8" s="31">
        <f>'COLOMBIA USD'!Y10+'EL SALVADOR USD'!X10+'VENEZUELA USD'!X9+'PANAMA USD'!W10</f>
        <v>27002.269642502484</v>
      </c>
      <c r="Y8" s="31">
        <f>'COLOMBIA USD'!X10+'EL SALVADOR USD'!W10+'VENEZUELA USD'!Y9+'PANAMA USD'!V10</f>
        <v>26822.524149174649</v>
      </c>
      <c r="Z8" s="31">
        <f>'COLOMBIA USD'!Z10+'EL SALVADOR USD'!Y10+'VENEZUELA USD'!Z9+'PANAMA USD'!X10</f>
        <v>25807.767441860466</v>
      </c>
      <c r="AA8" s="31">
        <f>'COLOMBIA USD'!AD10+'EL SALVADOR USD'!AC10+'VENEZUELA USD'!AA9+'PANAMA USD'!AB10</f>
        <v>28065.269642502484</v>
      </c>
      <c r="AB8" s="31">
        <f>'COLOMBIA USD'!AA10+'EL SALVADOR USD'!Z10+'VENEZUELA USD'!AB9+'PANAMA USD'!Y10</f>
        <v>26822.524149174649</v>
      </c>
      <c r="AC8" s="62">
        <f>+AB8-Z8</f>
        <v>1014.7567073141836</v>
      </c>
      <c r="AD8" s="67">
        <f>IF(Z8=0,"",(AB8-Z8)/ABS(Z8)+1)</f>
        <v>1.0393198175549365</v>
      </c>
      <c r="AE8" s="67">
        <f>IF(X8=0,"",(AB8-AA8)/ABS(AA8))</f>
        <v>-4.4280547066107706E-2</v>
      </c>
      <c r="AF8" s="54"/>
      <c r="AG8" s="54">
        <f>+'COLOMBIA USD'!Y10+'EL SALVADOR USD'!X10+'VENEZUELA USD'!X9+'PANAMA USD'!W10</f>
        <v>27002.269642502484</v>
      </c>
      <c r="AH8" s="54">
        <f>+'COLOMBIA USD'!X10+'EL SALVADOR USD'!W10+'VENEZUELA USD'!Y9+'PANAMA USD'!V10</f>
        <v>26822.524149174649</v>
      </c>
      <c r="AI8" s="54">
        <f>+'COLOMBIA USD'!Z10+'EL SALVADOR USD'!Y10+'VENEZUELA USD'!Z9+'PANAMA USD'!X10</f>
        <v>25807.767441860466</v>
      </c>
      <c r="AJ8" s="54">
        <f>+'COLOMBIA USD'!AD10+'EL SALVADOR USD'!AC10+'VENEZUELA USD'!AA9+'PANAMA USD'!AB10</f>
        <v>28065.269642502484</v>
      </c>
      <c r="AK8" s="54">
        <f>+'COLOMBIA USD'!AA10+'EL SALVADOR USD'!Z10+'VENEZUELA USD'!AB9+'PANAMA USD'!Y10</f>
        <v>26822.524149174649</v>
      </c>
    </row>
    <row r="9" spans="1:37" x14ac:dyDescent="0.2"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V9" s="3" t="s">
        <v>32</v>
      </c>
      <c r="W9" s="31">
        <f>'COLOMBIA USD'!W11+'EL SALVADOR USD'!V11+'VENEZUELA USD'!W10+'PANAMA USD'!U11</f>
        <v>286452.96548144304</v>
      </c>
      <c r="X9" s="31">
        <f>'COLOMBIA USD'!Y11+'EL SALVADOR USD'!X11+'VENEZUELA USD'!X10+'PANAMA USD'!W11</f>
        <v>277102.38337618625</v>
      </c>
      <c r="Y9" s="31">
        <f>'COLOMBIA USD'!X11+'EL SALVADOR USD'!W11+'VENEZUELA USD'!Y10+'PANAMA USD'!V11</f>
        <v>318945.85311175691</v>
      </c>
      <c r="Z9" s="31">
        <f>'COLOMBIA USD'!Z11+'EL SALVADOR USD'!Y11+'VENEZUELA USD'!Z10+'PANAMA USD'!X11</f>
        <v>285941.70153127436</v>
      </c>
      <c r="AA9" s="31">
        <f>'COLOMBIA USD'!AD11+'EL SALVADOR USD'!AC11+'VENEZUELA USD'!AA10+'PANAMA USD'!AB11</f>
        <v>318336.43738758605</v>
      </c>
      <c r="AB9" s="31">
        <f>'COLOMBIA USD'!AA11+'EL SALVADOR USD'!Z11+'VENEZUELA USD'!AB10+'PANAMA USD'!Y11</f>
        <v>313315.09785611194</v>
      </c>
      <c r="AC9" s="62">
        <f>+AB9-Z9</f>
        <v>27373.39632483758</v>
      </c>
      <c r="AD9" s="67">
        <f>IF(Z9=0,"",(AB9-Z9)/ABS(Z9)+1)</f>
        <v>1.0957306897813353</v>
      </c>
      <c r="AE9" s="67">
        <f>IF(AA9=0,"",(AB9-AA9)/ABS(AA9))</f>
        <v>-1.57736876515975E-2</v>
      </c>
      <c r="AF9" s="54"/>
      <c r="AG9" s="54">
        <f>+'COLOMBIA USD'!Y11+'EL SALVADOR USD'!X11+'VENEZUELA USD'!X10+'PANAMA USD'!W11</f>
        <v>277102.38337618625</v>
      </c>
      <c r="AH9" s="54">
        <f>+'COLOMBIA USD'!X11+'EL SALVADOR USD'!W11+'VENEZUELA USD'!Y10+'PANAMA USD'!V11</f>
        <v>318945.85311175691</v>
      </c>
      <c r="AI9" s="54">
        <f>+'COLOMBIA USD'!AB11+'EL SALVADOR USD'!AA11+'VENEZUELA USD'!AC10+'PANAMA USD'!Z11</f>
        <v>26867.991851793086</v>
      </c>
      <c r="AK9" s="54">
        <f>+'COLOMBIA USD'!AA11+'EL SALVADOR USD'!Z11+'VENEZUELA USD'!AB10+'PANAMA USD'!Y11</f>
        <v>313315.09785611194</v>
      </c>
    </row>
    <row r="10" spans="1:37" x14ac:dyDescent="0.2">
      <c r="B10" s="3" t="s">
        <v>65</v>
      </c>
      <c r="C10" s="31">
        <f>+'COLOMBIA USD'!C10+'EL SALVADOR USD'!C10+'VENEZUELA USD'!C10+'PANAMA USD'!C10</f>
        <v>107622.20930232557</v>
      </c>
      <c r="D10" s="33">
        <f t="shared" ref="D10:D15" si="0">+C10/$C$20</f>
        <v>0.46879240362123825</v>
      </c>
      <c r="E10" s="31">
        <f>+'COLOMBIA USD'!E10+'EL SALVADOR USD'!E10+'VENEZUELA USD'!E10+'PANAMA USD'!E10</f>
        <v>118447.90085416994</v>
      </c>
      <c r="F10" s="33">
        <f t="shared" ref="F10:F20" si="1">+E10/$E$20</f>
        <v>0.46152965855011396</v>
      </c>
      <c r="G10" s="33">
        <f t="shared" ref="G10:G20" si="2">IF(C10=0,"",(E10-C10)/ABS(C10)+1)</f>
        <v>1.1005897539366947</v>
      </c>
      <c r="H10" s="31">
        <f>+'COLOMBIA USD'!H10+'EL SALVADOR USD'!H10+'VENEZUELA USD'!H10+'PANAMA USD'!H10</f>
        <v>112116.15571496524</v>
      </c>
      <c r="I10" s="33">
        <f t="shared" ref="I10:I18" si="3">+H10/$H$20</f>
        <v>0.44941021381975937</v>
      </c>
      <c r="J10" s="33">
        <f t="shared" ref="J10:J20" si="4">IF(H10=0,"",(E10-H10)/ABS(H10))</f>
        <v>5.6474868397218402E-2</v>
      </c>
      <c r="K10" s="31">
        <f>+'COLOMBIA USD'!K10+'EL SALVADOR USD'!K10+'VENEZUELA USD'!K10+'PANAMA USD'!K10</f>
        <v>107622.20930232557</v>
      </c>
      <c r="L10" s="33">
        <f t="shared" ref="L10:L46" si="5">+K10/$K$20</f>
        <v>0.46879240362123825</v>
      </c>
      <c r="M10" s="31">
        <f>+'COLOMBIA USD'!M10+'EL SALVADOR USD'!M10+'VENEZUELA USD'!M10+'PANAMA USD'!M10</f>
        <v>118447.90085416994</v>
      </c>
      <c r="N10" s="33">
        <f t="shared" ref="N10:N20" si="6">+M10/$M$20</f>
        <v>0.46152965855011396</v>
      </c>
      <c r="O10" s="33">
        <f t="shared" ref="O10:O18" si="7">IF(K10=0,"",(M10-K10)/ABS(K10)+1)</f>
        <v>1.1005897539366947</v>
      </c>
      <c r="P10" s="31">
        <f>+'COLOMBIA USD'!P10+'EL SALVADOR USD'!P10+'VENEZUELA USD'!P10+'PANAMA USD'!P10</f>
        <v>112116.15571496524</v>
      </c>
      <c r="Q10" s="33">
        <f t="shared" ref="Q10:Q46" si="8">+P10/$P$20</f>
        <v>0.47281383659342519</v>
      </c>
      <c r="R10" s="33">
        <f t="shared" ref="R10:R18" si="9">IF(P10=0,"",(M10-P10)/ABS(P10))</f>
        <v>5.6474868397218402E-2</v>
      </c>
      <c r="V10" s="3" t="s">
        <v>33</v>
      </c>
      <c r="W10" s="31">
        <f>'COLOMBIA USD'!W13+'EL SALVADOR USD'!V13+'VENEZUELA USD'!W11+'PANAMA USD'!U13</f>
        <v>34824.109603510406</v>
      </c>
      <c r="X10" s="31">
        <f>'COLOMBIA USD'!Y13+'EL SALVADOR USD'!X13+'VENEZUELA USD'!X11+'PANAMA USD'!W13</f>
        <v>30380.615906048959</v>
      </c>
      <c r="Y10" s="31">
        <f>'COLOMBIA USD'!X13+'EL SALVADOR USD'!W13+'VENEZUELA USD'!Y11+'PANAMA USD'!V13</f>
        <v>39102.223371938402</v>
      </c>
      <c r="Z10" s="31">
        <f>'COLOMBIA USD'!Z13+'EL SALVADOR USD'!Y13+'VENEZUELA USD'!Z11+'PANAMA USD'!X13</f>
        <v>36772.617259882063</v>
      </c>
      <c r="AA10" s="31" t="e">
        <f>'COLOMBIA USD'!AD13+'EL SALVADOR USD'!AC13+'VENEZUELA USD'!AA11+'PANAMA USD'!AB13</f>
        <v>#VALUE!</v>
      </c>
      <c r="AB10" s="31">
        <f>'COLOMBIA USD'!AA13+'EL SALVADOR USD'!Z13+'VENEZUELA USD'!AB11+'PANAMA USD'!Y13</f>
        <v>37153.715715566745</v>
      </c>
      <c r="AC10" s="62">
        <f>+Z10-AB10</f>
        <v>-381.09845568468154</v>
      </c>
      <c r="AD10" s="67">
        <f>IF(Z10=0,"",(AB10-Z10)/ABS(Z10)+1)</f>
        <v>1.0103636478467484</v>
      </c>
      <c r="AE10" s="67" t="e">
        <f t="shared" ref="AE10:AE22" si="10">IF(AA10=0,"",(AB10-AA10)/ABS(AA10))</f>
        <v>#VALUE!</v>
      </c>
      <c r="AF10" s="54"/>
      <c r="AG10" s="54">
        <f>+'COLOMBIA USD'!Y13+'EL SALVADOR USD'!X13+'VENEZUELA USD'!X11+'PANAMA USD'!W13</f>
        <v>30380.615906048959</v>
      </c>
      <c r="AH10" s="54">
        <f>+'COLOMBIA USD'!X13+'EL SALVADOR USD'!W13+'VENEZUELA USD'!Y11+'PANAMA USD'!V13</f>
        <v>39102.223371938402</v>
      </c>
      <c r="AI10" s="54">
        <f>+'COLOMBIA USD'!AB13+'EL SALVADOR USD'!AA13+'VENEZUELA USD'!AC11+'PANAMA USD'!Z13</f>
        <v>-2329.0384639745594</v>
      </c>
      <c r="AK10" s="54">
        <f>+'COLOMBIA USD'!AA13+'EL SALVADOR USD'!Z13+'VENEZUELA USD'!AB11+'PANAMA USD'!Y13</f>
        <v>37153.715715566745</v>
      </c>
    </row>
    <row r="11" spans="1:37" x14ac:dyDescent="0.2">
      <c r="B11" s="3" t="s">
        <v>67</v>
      </c>
      <c r="C11" s="31">
        <f>+'COLOMBIA USD'!C11+'EL SALVADOR USD'!C11+'VENEZUELA USD'!C11+'PANAMA USD'!C11</f>
        <v>10057.418604651162</v>
      </c>
      <c r="D11" s="33">
        <f t="shared" si="0"/>
        <v>4.3809186528170417E-2</v>
      </c>
      <c r="E11" s="31">
        <f>+'COLOMBIA USD'!E11+'EL SALVADOR USD'!E11+'VENEZUELA USD'!E11+'PANAMA USD'!E11</f>
        <v>11443.249878283703</v>
      </c>
      <c r="F11" s="33">
        <f t="shared" si="1"/>
        <v>4.4588373208320806E-2</v>
      </c>
      <c r="G11" s="33">
        <f t="shared" si="2"/>
        <v>1.1377919452404663</v>
      </c>
      <c r="H11" s="31">
        <f>+'COLOMBIA USD'!H11+'EL SALVADOR USD'!H11+'VENEZUELA USD'!H11+'PANAMA USD'!H11</f>
        <v>9406.0758809829513</v>
      </c>
      <c r="I11" s="33">
        <f t="shared" si="3"/>
        <v>3.7703634644986189E-2</v>
      </c>
      <c r="J11" s="33">
        <f t="shared" si="4"/>
        <v>0.21658064670937605</v>
      </c>
      <c r="K11" s="31">
        <f>+'COLOMBIA USD'!K11+'EL SALVADOR USD'!K11+'VENEZUELA USD'!K11+'PANAMA USD'!K11</f>
        <v>10057.418604651162</v>
      </c>
      <c r="L11" s="33">
        <f t="shared" si="5"/>
        <v>4.3809186528170417E-2</v>
      </c>
      <c r="M11" s="31">
        <f>+'COLOMBIA USD'!M11+'EL SALVADOR USD'!M11+'VENEZUELA USD'!M11+'PANAMA USD'!M11</f>
        <v>11443.249878283703</v>
      </c>
      <c r="N11" s="33">
        <f t="shared" si="6"/>
        <v>4.4588373208320806E-2</v>
      </c>
      <c r="O11" s="33">
        <f t="shared" si="7"/>
        <v>1.1377919452404663</v>
      </c>
      <c r="P11" s="31">
        <f>+'COLOMBIA USD'!P11+'EL SALVADOR USD'!P11+'VENEZUELA USD'!P11+'PANAMA USD'!P11</f>
        <v>9406.0758809829513</v>
      </c>
      <c r="Q11" s="33">
        <f t="shared" si="8"/>
        <v>3.9667100572757179E-2</v>
      </c>
      <c r="R11" s="33">
        <f t="shared" si="9"/>
        <v>0.21658064670937605</v>
      </c>
      <c r="V11" s="3" t="s">
        <v>34</v>
      </c>
      <c r="W11" s="31">
        <f>'COLOMBIA USD'!W14+'EL SALVADOR USD'!V14+'VENEZUELA USD'!W12+'PANAMA USD'!U14</f>
        <v>2723.4883720930234</v>
      </c>
      <c r="X11" s="31">
        <f>'COLOMBIA USD'!Y14+'EL SALVADOR USD'!X14+'VENEZUELA USD'!X12+'PANAMA USD'!W14</f>
        <v>2232.4584430724062</v>
      </c>
      <c r="Y11" s="31">
        <f>'COLOMBIA USD'!X14+'EL SALVADOR USD'!W14+'VENEZUELA USD'!Y12+'PANAMA USD'!V14</f>
        <v>2983.1727633992259</v>
      </c>
      <c r="Z11" s="31">
        <f>'COLOMBIA USD'!Z14+'EL SALVADOR USD'!Y14+'VENEZUELA USD'!Z12+'PANAMA USD'!X14</f>
        <v>2723.4883720930234</v>
      </c>
      <c r="AA11" s="31">
        <f>'COLOMBIA USD'!AD14+'EL SALVADOR USD'!AC14+'VENEZUELA USD'!AA12+'PANAMA USD'!AB14</f>
        <v>2232.4584430724062</v>
      </c>
      <c r="AB11" s="31">
        <f>'COLOMBIA USD'!AA14+'EL SALVADOR USD'!Z14+'VENEZUELA USD'!AB12+'PANAMA USD'!Y14</f>
        <v>2983.1727633992259</v>
      </c>
      <c r="AC11" s="62">
        <f>+Z11-AB11</f>
        <v>-259.68439130620254</v>
      </c>
      <c r="AD11" s="67">
        <f t="shared" ref="AD11:AD22" si="11">IF(Z11=0,"",(AB11-Z11)/ABS(Z11)+1)</f>
        <v>1.0953499173953267</v>
      </c>
      <c r="AE11" s="67">
        <f t="shared" si="10"/>
        <v>0.33627247246477476</v>
      </c>
      <c r="AF11" s="54"/>
      <c r="AG11" s="54">
        <f>+'COLOMBIA USD'!Y14+'EL SALVADOR USD'!X14+'VENEZUELA USD'!X12+'PANAMA USD'!W14</f>
        <v>2232.4584430724062</v>
      </c>
      <c r="AH11" s="54">
        <f>+'COLOMBIA USD'!X14+'EL SALVADOR USD'!W14+'VENEZUELA USD'!Y12+'PANAMA USD'!V14</f>
        <v>2983.1727633992259</v>
      </c>
      <c r="AI11" s="54">
        <f>+'COLOMBIA USD'!AB14+'EL SALVADOR USD'!AA14+'VENEZUELA USD'!AC12+'PANAMA USD'!Z14</f>
        <v>-259.68439130620254</v>
      </c>
      <c r="AK11" s="54">
        <f>+'COLOMBIA USD'!AA14+'EL SALVADOR USD'!Z14+'VENEZUELA USD'!AB12+'PANAMA USD'!Y14</f>
        <v>2983.1727633992259</v>
      </c>
    </row>
    <row r="12" spans="1:37" x14ac:dyDescent="0.2">
      <c r="B12" s="3" t="s">
        <v>69</v>
      </c>
      <c r="C12" s="31">
        <f>+'COLOMBIA USD'!C12+'EL SALVADOR USD'!C12+'VENEZUELA USD'!C12+'PANAMA USD'!C12</f>
        <v>18201.837209302324</v>
      </c>
      <c r="D12" s="33">
        <f t="shared" si="0"/>
        <v>7.9285521743019477E-2</v>
      </c>
      <c r="E12" s="31">
        <f>+'COLOMBIA USD'!E12+'EL SALVADOR USD'!E12+'VENEZUELA USD'!E12+'PANAMA USD'!E12</f>
        <v>22996.844579305369</v>
      </c>
      <c r="F12" s="33">
        <f t="shared" si="1"/>
        <v>8.9606702608298616E-2</v>
      </c>
      <c r="G12" s="33">
        <f t="shared" si="2"/>
        <v>1.263435350776156</v>
      </c>
      <c r="H12" s="31">
        <f>+'COLOMBIA USD'!H12+'EL SALVADOR USD'!H12+'VENEZUELA USD'!H12+'PANAMA USD'!H12</f>
        <v>27247.089861608216</v>
      </c>
      <c r="I12" s="33">
        <f t="shared" si="3"/>
        <v>0.10921816220494145</v>
      </c>
      <c r="J12" s="33">
        <f t="shared" si="4"/>
        <v>-0.15598896263382395</v>
      </c>
      <c r="K12" s="31">
        <f>+'COLOMBIA USD'!K12+'EL SALVADOR USD'!K12+'VENEZUELA USD'!K12+'PANAMA USD'!K12</f>
        <v>18201.837209302324</v>
      </c>
      <c r="L12" s="33">
        <f t="shared" si="5"/>
        <v>7.9285521743019477E-2</v>
      </c>
      <c r="M12" s="31">
        <f>+'COLOMBIA USD'!M12+'EL SALVADOR USD'!M12+'VENEZUELA USD'!M12+'PANAMA USD'!M12</f>
        <v>22996.844579305369</v>
      </c>
      <c r="N12" s="33">
        <f t="shared" si="6"/>
        <v>8.9606702608298616E-2</v>
      </c>
      <c r="O12" s="33">
        <f t="shared" si="7"/>
        <v>1.263435350776156</v>
      </c>
      <c r="P12" s="31">
        <f>+'COLOMBIA USD'!P12+'EL SALVADOR USD'!P12+'VENEZUELA USD'!P12+'PANAMA USD'!P12</f>
        <v>27247.089861608216</v>
      </c>
      <c r="Q12" s="33">
        <f t="shared" si="8"/>
        <v>0.11490584038775783</v>
      </c>
      <c r="R12" s="33">
        <f t="shared" si="9"/>
        <v>-0.15598896263382395</v>
      </c>
      <c r="V12" s="3" t="s">
        <v>35</v>
      </c>
      <c r="W12" s="31">
        <f>'COLOMBIA USD'!W15+'EL SALVADOR USD'!V15+'VENEZUELA USD'!W13+'PANAMA USD'!U15</f>
        <v>105066.11627906977</v>
      </c>
      <c r="X12" s="31">
        <f>'COLOMBIA USD'!Y15+'EL SALVADOR USD'!X15+'VENEZUELA USD'!X13+'PANAMA USD'!W15</f>
        <v>84831.759379992218</v>
      </c>
      <c r="Y12" s="31">
        <f>'COLOMBIA USD'!X15+'EL SALVADOR USD'!W15+'VENEZUELA USD'!Y13+'PANAMA USD'!V15</f>
        <v>113617.17413898512</v>
      </c>
      <c r="Z12" s="31">
        <f>'COLOMBIA USD'!Z15+'EL SALVADOR USD'!Y15+'VENEZUELA USD'!Z13+'PANAMA USD'!X15</f>
        <v>105066.11627906977</v>
      </c>
      <c r="AA12" s="31" t="e">
        <f>'COLOMBIA USD'!AD15+'EL SALVADOR USD'!AC15+'VENEZUELA USD'!AA13+'PANAMA USD'!AB15</f>
        <v>#VALUE!</v>
      </c>
      <c r="AB12" s="31">
        <f>'COLOMBIA USD'!AA15+'EL SALVADOR USD'!Z15+'VENEZUELA USD'!AB13+'PANAMA USD'!Y15</f>
        <v>113617.17413898512</v>
      </c>
      <c r="AC12" s="62">
        <f>+Z12-AB12</f>
        <v>-8551.0578599153523</v>
      </c>
      <c r="AD12" s="67">
        <f t="shared" si="11"/>
        <v>1.0813873983616429</v>
      </c>
      <c r="AE12" s="67" t="e">
        <f t="shared" si="10"/>
        <v>#VALUE!</v>
      </c>
      <c r="AF12" s="54"/>
      <c r="AG12" s="54">
        <f>+'COLOMBIA USD'!Y15+'EL SALVADOR USD'!X15+'VENEZUELA USD'!X13+'PANAMA USD'!W15</f>
        <v>84831.759379992218</v>
      </c>
      <c r="AH12" s="54">
        <f>+'COLOMBIA USD'!X15+'EL SALVADOR USD'!W15+'VENEZUELA USD'!Y13+'PANAMA USD'!V15</f>
        <v>113617.17413898512</v>
      </c>
      <c r="AI12" s="54" t="e">
        <f>+'COLOMBIA USD'!AB15+'EL SALVADOR USD'!AA15+'VENEZUELA USD'!AC13+'PANAMA USD'!Z15</f>
        <v>#VALUE!</v>
      </c>
      <c r="AK12" s="54">
        <f>+'COLOMBIA USD'!AA15+'EL SALVADOR USD'!Z15+'VENEZUELA USD'!AB13+'PANAMA USD'!Y15</f>
        <v>113617.17413898512</v>
      </c>
    </row>
    <row r="13" spans="1:37" x14ac:dyDescent="0.2">
      <c r="B13" s="3" t="s">
        <v>71</v>
      </c>
      <c r="C13" s="31">
        <f>+'COLOMBIA USD'!C13+'EL SALVADOR USD'!C13+'VENEZUELA USD'!C13+'PANAMA USD'!C13</f>
        <v>21865.79069767442</v>
      </c>
      <c r="D13" s="33">
        <f t="shared" si="0"/>
        <v>9.524536473179615E-2</v>
      </c>
      <c r="E13" s="31">
        <f>+'COLOMBIA USD'!E13+'EL SALVADOR USD'!E13+'VENEZUELA USD'!E13+'PANAMA USD'!E13</f>
        <v>25809.311076682938</v>
      </c>
      <c r="F13" s="33">
        <f t="shared" si="1"/>
        <v>0.10056541688569569</v>
      </c>
      <c r="G13" s="33">
        <f t="shared" si="2"/>
        <v>1.1803511445587898</v>
      </c>
      <c r="H13" s="31">
        <f>+'COLOMBIA USD'!H13+'EL SALVADOR USD'!H13+'VENEZUELA USD'!H13+'PANAMA USD'!H13</f>
        <v>25070.525407915855</v>
      </c>
      <c r="I13" s="33">
        <f t="shared" si="3"/>
        <v>0.10049354718145465</v>
      </c>
      <c r="J13" s="33">
        <f t="shared" si="4"/>
        <v>2.9468296206262037E-2</v>
      </c>
      <c r="K13" s="31">
        <f>+'COLOMBIA USD'!K13+'EL SALVADOR USD'!K13+'VENEZUELA USD'!K13+'PANAMA USD'!K13</f>
        <v>21865.79069767442</v>
      </c>
      <c r="L13" s="33">
        <f t="shared" si="5"/>
        <v>9.524536473179615E-2</v>
      </c>
      <c r="M13" s="31">
        <f>+'COLOMBIA USD'!M13+'EL SALVADOR USD'!M13+'VENEZUELA USD'!M13+'PANAMA USD'!M13</f>
        <v>25809.311076682938</v>
      </c>
      <c r="N13" s="33">
        <f t="shared" si="6"/>
        <v>0.10056541688569569</v>
      </c>
      <c r="O13" s="33">
        <f t="shared" si="7"/>
        <v>1.1803511445587898</v>
      </c>
      <c r="P13" s="31">
        <f>+'COLOMBIA USD'!P13+'EL SALVADOR USD'!P13+'VENEZUELA USD'!P13+'PANAMA USD'!P13</f>
        <v>25070.525407915855</v>
      </c>
      <c r="Q13" s="33">
        <f t="shared" si="8"/>
        <v>0.10572687966278006</v>
      </c>
      <c r="R13" s="33">
        <f t="shared" si="9"/>
        <v>2.9468296206262037E-2</v>
      </c>
      <c r="V13" s="3" t="s">
        <v>36</v>
      </c>
      <c r="W13" s="31">
        <f>'COLOMBIA USD'!W16+'EL SALVADOR USD'!V16+'VENEZUELA USD'!W14+'PANAMA USD'!U16</f>
        <v>61778.860465116282</v>
      </c>
      <c r="X13" s="31">
        <f>'COLOMBIA USD'!Y16+'EL SALVADOR USD'!X16+'VENEZUELA USD'!X14+'PANAMA USD'!W16</f>
        <v>54646.929705107723</v>
      </c>
      <c r="Y13" s="31">
        <f>'COLOMBIA USD'!X16+'EL SALVADOR USD'!W16+'VENEZUELA USD'!Y14+'PANAMA USD'!V16</f>
        <v>67531.50822294681</v>
      </c>
      <c r="Z13" s="31">
        <f>'COLOMBIA USD'!Z16+'EL SALVADOR USD'!Y16+'VENEZUELA USD'!Z14+'PANAMA USD'!X16</f>
        <v>61778.860465116282</v>
      </c>
      <c r="AA13" s="31" t="e">
        <f>'COLOMBIA USD'!AD16+'EL SALVADOR USD'!AC16+'VENEZUELA USD'!AA14+'PANAMA USD'!AB16</f>
        <v>#VALUE!</v>
      </c>
      <c r="AB13" s="31">
        <f>'COLOMBIA USD'!AA16+'EL SALVADOR USD'!Z16+'VENEZUELA USD'!AB14+'PANAMA USD'!Y16</f>
        <v>67531.50822294681</v>
      </c>
      <c r="AC13" s="62">
        <f>+Z13-AB13</f>
        <v>-5752.6477578305276</v>
      </c>
      <c r="AD13" s="67">
        <f t="shared" si="11"/>
        <v>1.0931167670384401</v>
      </c>
      <c r="AE13" s="67" t="e">
        <f t="shared" si="10"/>
        <v>#VALUE!</v>
      </c>
      <c r="AF13" s="54"/>
      <c r="AG13" s="54">
        <f>+'COLOMBIA USD'!Y16+'EL SALVADOR USD'!X16+'VENEZUELA USD'!X14+'PANAMA USD'!W16</f>
        <v>54646.929705107723</v>
      </c>
      <c r="AH13" s="54">
        <f>+'COLOMBIA USD'!X16+'EL SALVADOR USD'!W16+'VENEZUELA USD'!Y14+'PANAMA USD'!V16</f>
        <v>67531.50822294681</v>
      </c>
      <c r="AI13" s="54" t="e">
        <f>+'COLOMBIA USD'!AB16+'EL SALVADOR USD'!AA16+'VENEZUELA USD'!AC14+'PANAMA USD'!Z16</f>
        <v>#VALUE!</v>
      </c>
      <c r="AK13" s="54">
        <f>+'COLOMBIA USD'!AA16+'EL SALVADOR USD'!Z16+'VENEZUELA USD'!AB14+'PANAMA USD'!Y16</f>
        <v>67531.50822294681</v>
      </c>
    </row>
    <row r="14" spans="1:37" x14ac:dyDescent="0.2">
      <c r="B14" s="3" t="s">
        <v>72</v>
      </c>
      <c r="C14" s="31">
        <f>+'COLOMBIA USD'!C14+'EL SALVADOR USD'!C14+'VENEZUELA USD'!C14+'PANAMA USD'!C14</f>
        <v>0</v>
      </c>
      <c r="D14" s="33">
        <f t="shared" si="0"/>
        <v>0</v>
      </c>
      <c r="E14" s="31">
        <f>+'COLOMBIA USD'!E14+'EL SALVADOR USD'!E14+'VENEZUELA USD'!E14+'PANAMA USD'!E14</f>
        <v>0</v>
      </c>
      <c r="F14" s="33">
        <f t="shared" si="1"/>
        <v>0</v>
      </c>
      <c r="G14" s="33" t="str">
        <f t="shared" si="2"/>
        <v/>
      </c>
      <c r="H14" s="31">
        <f>+'COLOMBIA USD'!H14+'EL SALVADOR USD'!H14+'VENEZUELA USD'!H14+'PANAMA USD'!H14</f>
        <v>0</v>
      </c>
      <c r="I14" s="33">
        <f t="shared" si="3"/>
        <v>0</v>
      </c>
      <c r="J14" s="33" t="str">
        <f t="shared" si="4"/>
        <v/>
      </c>
      <c r="K14" s="31">
        <f>+'COLOMBIA USD'!K14+'EL SALVADOR USD'!K14+'VENEZUELA USD'!K14+'PANAMA USD'!K14</f>
        <v>0</v>
      </c>
      <c r="L14" s="33">
        <f t="shared" si="5"/>
        <v>0</v>
      </c>
      <c r="M14" s="31">
        <f>+'COLOMBIA USD'!M14+'EL SALVADOR USD'!M14+'VENEZUELA USD'!M14+'PANAMA USD'!M14</f>
        <v>0</v>
      </c>
      <c r="N14" s="33">
        <f t="shared" si="6"/>
        <v>0</v>
      </c>
      <c r="O14" s="33" t="str">
        <f t="shared" si="7"/>
        <v/>
      </c>
      <c r="P14" s="31">
        <f>+'COLOMBIA USD'!P14+'EL SALVADOR USD'!P14+'VENEZUELA USD'!P14+'PANAMA USD'!P14</f>
        <v>0</v>
      </c>
      <c r="Q14" s="33">
        <f t="shared" si="8"/>
        <v>0</v>
      </c>
      <c r="R14" s="33" t="str">
        <f t="shared" si="9"/>
        <v/>
      </c>
      <c r="V14" s="3" t="s">
        <v>37</v>
      </c>
      <c r="W14" s="31">
        <f>SUM(W10:W13)</f>
        <v>204392.57471978947</v>
      </c>
      <c r="X14" s="31">
        <f>SUM(X10:X13)</f>
        <v>172091.7634342213</v>
      </c>
      <c r="Y14" s="31">
        <f>SUM(Y10:Y13)</f>
        <v>223234.07849726957</v>
      </c>
      <c r="Z14" s="31">
        <f>'COLOMBIA USD'!Z17+'EL SALVADOR USD'!Y17+'VENEZUELA USD'!Z15+'PANAMA USD'!X17</f>
        <v>198561.04085007755</v>
      </c>
      <c r="AA14" s="31" t="e">
        <f>'COLOMBIA USD'!AD17+'EL SALVADOR USD'!AC17+'VENEZUELA USD'!AA15+'PANAMA USD'!AB17</f>
        <v>#VALUE!</v>
      </c>
      <c r="AB14" s="31">
        <f>'COLOMBIA USD'!AA17+'EL SALVADOR USD'!Z17+'VENEZUELA USD'!AB15+'PANAMA USD'!Y17</f>
        <v>218744.88046975853</v>
      </c>
      <c r="AC14" s="62">
        <f>+AB14-Z14</f>
        <v>20183.839619680977</v>
      </c>
      <c r="AD14" s="67">
        <f t="shared" si="11"/>
        <v>1.1016505530655467</v>
      </c>
      <c r="AE14" s="67" t="e">
        <f t="shared" si="10"/>
        <v>#VALUE!</v>
      </c>
      <c r="AF14" s="54"/>
      <c r="AG14" s="54">
        <f>+'COLOMBIA USD'!Y17+'EL SALVADOR USD'!X17+'VENEZUELA USD'!X15+'PANAMA USD'!W17</f>
        <v>172091.76343422133</v>
      </c>
      <c r="AH14" s="54">
        <f>+'COLOMBIA USD'!X17+'EL SALVADOR USD'!W17+'VENEZUELA USD'!Y15+'PANAMA USD'!V17</f>
        <v>220251.90875940296</v>
      </c>
      <c r="AI14" s="54">
        <f>+'COLOMBIA USD'!AB17+'EL SALVADOR USD'!AA17+'VENEZUELA USD'!AC15+'PANAMA USD'!Z17</f>
        <v>16894.685789726667</v>
      </c>
      <c r="AK14" s="54">
        <f>+'COLOMBIA USD'!AA17+'EL SALVADOR USD'!Z17+'VENEZUELA USD'!AB15+'PANAMA USD'!Y17</f>
        <v>218744.88046975853</v>
      </c>
    </row>
    <row r="15" spans="1:37" x14ac:dyDescent="0.2">
      <c r="B15" s="3" t="s">
        <v>74</v>
      </c>
      <c r="C15" s="31">
        <f>+'COLOMBIA USD'!C15+'EL SALVADOR USD'!C15+'VENEZUELA USD'!C15+'PANAMA USD'!C15</f>
        <v>36206.255813953489</v>
      </c>
      <c r="D15" s="33">
        <f t="shared" si="0"/>
        <v>0.15771110627796708</v>
      </c>
      <c r="E15" s="31">
        <f>+'COLOMBIA USD'!E15+'EL SALVADOR USD'!E15+'VENEZUELA USD'!E15+'PANAMA USD'!E15</f>
        <v>40659.779953448706</v>
      </c>
      <c r="F15" s="33">
        <f t="shared" si="1"/>
        <v>0.1584299445014378</v>
      </c>
      <c r="G15" s="33">
        <f t="shared" si="2"/>
        <v>1.1230042720346376</v>
      </c>
      <c r="H15" s="31">
        <f>+'COLOMBIA USD'!H15+'EL SALVADOR USD'!H15+'VENEZUELA USD'!H15+'PANAMA USD'!H15</f>
        <v>35653.453224471195</v>
      </c>
      <c r="I15" s="33">
        <f t="shared" si="3"/>
        <v>0.14291451517262146</v>
      </c>
      <c r="J15" s="33">
        <f t="shared" si="4"/>
        <v>0.14041632089486791</v>
      </c>
      <c r="K15" s="31">
        <f>+'COLOMBIA USD'!K15+'EL SALVADOR USD'!K15+'VENEZUELA USD'!K15+'PANAMA USD'!K15</f>
        <v>36206.255813953489</v>
      </c>
      <c r="L15" s="33">
        <f t="shared" si="5"/>
        <v>0.15771110627796708</v>
      </c>
      <c r="M15" s="31">
        <f>+'COLOMBIA USD'!M15+'EL SALVADOR USD'!M15+'VENEZUELA USD'!M15+'PANAMA USD'!M15</f>
        <v>40659.779953448706</v>
      </c>
      <c r="N15" s="33">
        <f t="shared" si="6"/>
        <v>0.1584299445014378</v>
      </c>
      <c r="O15" s="33">
        <f t="shared" si="7"/>
        <v>1.1230042720346376</v>
      </c>
      <c r="P15" s="31">
        <f>+'COLOMBIA USD'!P15+'EL SALVADOR USD'!P15+'VENEZUELA USD'!P15+'PANAMA USD'!P15</f>
        <v>35653.453224471195</v>
      </c>
      <c r="Q15" s="33">
        <f t="shared" si="8"/>
        <v>0.15035697486563324</v>
      </c>
      <c r="R15" s="33">
        <f t="shared" si="9"/>
        <v>0.14041632089486791</v>
      </c>
      <c r="V15" s="3" t="s">
        <v>38</v>
      </c>
      <c r="W15" s="31">
        <f>W9-W14</f>
        <v>82060.390761653573</v>
      </c>
      <c r="X15" s="31">
        <f>X9-X14</f>
        <v>105010.61994196495</v>
      </c>
      <c r="Y15" s="31">
        <f t="shared" ref="Y15:AB15" si="12">Y9-Y14</f>
        <v>95711.774614487338</v>
      </c>
      <c r="Z15" s="31">
        <f t="shared" si="12"/>
        <v>87380.660681196809</v>
      </c>
      <c r="AA15" s="31" t="e">
        <f>AA9-AA14</f>
        <v>#VALUE!</v>
      </c>
      <c r="AB15" s="31">
        <f t="shared" si="12"/>
        <v>94570.217386353412</v>
      </c>
      <c r="AC15" s="62">
        <f>+AB15-Z15</f>
        <v>7189.5567051566031</v>
      </c>
      <c r="AD15" s="67">
        <f t="shared" si="11"/>
        <v>1.0822785802843409</v>
      </c>
      <c r="AE15" s="67" t="e">
        <f t="shared" si="10"/>
        <v>#VALUE!</v>
      </c>
      <c r="AF15" s="54"/>
      <c r="AG15" s="54">
        <f>+'COLOMBIA USD'!Y19+'EL SALVADOR USD'!X19+'VENEZUELA USD'!X16+'PANAMA USD'!W19</f>
        <v>98868.600736151289</v>
      </c>
      <c r="AH15" s="54">
        <f>+'COLOMBIA USD'!X19+'EL SALVADOR USD'!W19+'VENEZUELA USD'!Y16+'PANAMA USD'!V19</f>
        <v>97583.874277087903</v>
      </c>
      <c r="AI15" s="54">
        <f>+'COLOMBIA USD'!AB19+'EL SALVADOR USD'!AA19+'VENEZUELA USD'!AC16+'PANAMA USD'!Z19</f>
        <v>9970.4182236585839</v>
      </c>
      <c r="AK15" s="54">
        <f>+'COLOMBIA USD'!AA19+'EL SALVADOR USD'!Z19+'VENEZUELA USD'!AB16+'PANAMA USD'!Y19</f>
        <v>95852.060106311896</v>
      </c>
    </row>
    <row r="16" spans="1:37" x14ac:dyDescent="0.2">
      <c r="B16" s="3" t="s">
        <v>75</v>
      </c>
      <c r="C16" s="31">
        <f>+'COLOMBIA USD'!C16+'EL SALVADOR USD'!C16+'VENEZUELA USD'!C16+'PANAMA USD'!C16</f>
        <v>0</v>
      </c>
      <c r="D16" s="33"/>
      <c r="E16" s="31">
        <f>+'COLOMBIA USD'!E16+'EL SALVADOR USD'!E16+'VENEZUELA USD'!E16+'PANAMA USD'!E16</f>
        <v>0</v>
      </c>
      <c r="F16" s="33">
        <f t="shared" si="1"/>
        <v>0</v>
      </c>
      <c r="G16" s="33" t="str">
        <f t="shared" si="2"/>
        <v/>
      </c>
      <c r="H16" s="31">
        <f>+'COLOMBIA USD'!H16+'EL SALVADOR USD'!H16+'VENEZUELA USD'!H16+'PANAMA USD'!H16</f>
        <v>0</v>
      </c>
      <c r="I16" s="33">
        <f t="shared" si="3"/>
        <v>0</v>
      </c>
      <c r="J16" s="33" t="str">
        <f t="shared" si="4"/>
        <v/>
      </c>
      <c r="K16" s="31">
        <f>+'COLOMBIA USD'!K16+'EL SALVADOR USD'!K16+'VENEZUELA USD'!K16+'PANAMA USD'!K16</f>
        <v>0</v>
      </c>
      <c r="L16" s="33">
        <f t="shared" si="5"/>
        <v>0</v>
      </c>
      <c r="M16" s="31">
        <f>+'COLOMBIA USD'!M16+'EL SALVADOR USD'!M16+'VENEZUELA USD'!M16+'PANAMA USD'!M16</f>
        <v>0</v>
      </c>
      <c r="N16" s="33">
        <f t="shared" si="6"/>
        <v>0</v>
      </c>
      <c r="O16" s="33" t="str">
        <f t="shared" si="7"/>
        <v/>
      </c>
      <c r="P16" s="31">
        <f>+'COLOMBIA USD'!P16+'EL SALVADOR USD'!P16+'VENEZUELA USD'!P16+'PANAMA USD'!P16</f>
        <v>0</v>
      </c>
      <c r="Q16" s="33">
        <f t="shared" si="8"/>
        <v>0</v>
      </c>
      <c r="R16" s="33" t="str">
        <f t="shared" si="9"/>
        <v/>
      </c>
      <c r="V16" s="3"/>
      <c r="W16" s="31"/>
      <c r="X16" s="31"/>
      <c r="Y16" s="31"/>
      <c r="Z16" s="31"/>
      <c r="AA16" s="31"/>
      <c r="AB16" s="31"/>
      <c r="AC16" s="62"/>
      <c r="AD16" s="67"/>
      <c r="AE16" s="67"/>
      <c r="AF16" s="54"/>
      <c r="AG16" s="54"/>
      <c r="AH16" s="54"/>
      <c r="AI16" s="54"/>
      <c r="AK16" s="54"/>
    </row>
    <row r="17" spans="2:37" x14ac:dyDescent="0.2">
      <c r="B17" s="3" t="s">
        <v>76</v>
      </c>
      <c r="C17" s="31">
        <f>+'COLOMBIA USD'!C17+'EL SALVADOR USD'!C17+'VENEZUELA USD'!C17+'PANAMA USD'!C17</f>
        <v>2215.8139534883721</v>
      </c>
      <c r="D17" s="33">
        <f>+C17/$C$20</f>
        <v>9.651880926503582E-3</v>
      </c>
      <c r="E17" s="31">
        <f>+'COLOMBIA USD'!E17+'EL SALVADOR USD'!E17+'VENEZUELA USD'!E17+'PANAMA USD'!E17</f>
        <v>2776.8603525575713</v>
      </c>
      <c r="F17" s="33">
        <f t="shared" si="1"/>
        <v>1.0819975711812087E-2</v>
      </c>
      <c r="G17" s="33">
        <f t="shared" si="2"/>
        <v>1.2532010407218257</v>
      </c>
      <c r="H17" s="31">
        <f>+'COLOMBIA USD'!H17+'EL SALVADOR USD'!H17+'VENEZUELA USD'!H17+'PANAMA USD'!H17</f>
        <v>3268.5659082077627</v>
      </c>
      <c r="I17" s="33">
        <f t="shared" si="3"/>
        <v>1.3101830813982812E-2</v>
      </c>
      <c r="J17" s="33">
        <f t="shared" si="4"/>
        <v>-0.15043464609829635</v>
      </c>
      <c r="K17" s="31">
        <f>+'COLOMBIA USD'!K17+'EL SALVADOR USD'!K17+'VENEZUELA USD'!K17+'PANAMA USD'!K17</f>
        <v>2215.8139534883721</v>
      </c>
      <c r="L17" s="33">
        <f t="shared" si="5"/>
        <v>9.651880926503582E-3</v>
      </c>
      <c r="M17" s="31">
        <f>+'COLOMBIA USD'!M17+'EL SALVADOR USD'!M17+'VENEZUELA USD'!M17+'PANAMA USD'!M17</f>
        <v>2776.8603525575713</v>
      </c>
      <c r="N17" s="33">
        <f t="shared" si="6"/>
        <v>1.0819975711812087E-2</v>
      </c>
      <c r="O17" s="33">
        <f t="shared" si="7"/>
        <v>1.2532010407218257</v>
      </c>
      <c r="P17" s="31">
        <f>+'COLOMBIA USD'!P17+'EL SALVADOR USD'!P17+'VENEZUELA USD'!P17+'PANAMA USD'!P17</f>
        <v>3268.5659082077627</v>
      </c>
      <c r="Q17" s="33">
        <f t="shared" si="8"/>
        <v>1.3784125734270987E-2</v>
      </c>
      <c r="R17" s="33">
        <f t="shared" si="9"/>
        <v>-0.15043464609829635</v>
      </c>
      <c r="V17" s="3"/>
      <c r="W17" s="31"/>
      <c r="X17" s="31"/>
      <c r="Y17" s="31"/>
      <c r="Z17" s="31"/>
      <c r="AA17" s="31"/>
      <c r="AB17" s="31"/>
      <c r="AC17" s="62"/>
      <c r="AD17" s="67"/>
      <c r="AE17" s="67" t="str">
        <f t="shared" si="10"/>
        <v/>
      </c>
      <c r="AF17" s="54"/>
      <c r="AG17" s="54"/>
      <c r="AH17" s="54"/>
      <c r="AI17" s="54"/>
      <c r="AK17" s="54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1">
        <f>+'COLOMBIA USD'!C18+'EL SALVADOR USD'!C18+'VENEZUELA USD'!C18+'PANAMA USD'!C18</f>
        <v>33403.953488372099</v>
      </c>
      <c r="D18" s="40">
        <f t="shared" ref="D18:D46" si="13">+C18/$C$20</f>
        <v>0.14550453617130513</v>
      </c>
      <c r="E18" s="31">
        <f>+'COLOMBIA USD'!E18+'EL SALVADOR USD'!E18+'VENEZUELA USD'!E18+'PANAMA USD'!E18</f>
        <v>34508.066792337479</v>
      </c>
      <c r="F18" s="33">
        <f t="shared" si="1"/>
        <v>0.13445992853432109</v>
      </c>
      <c r="G18" s="40">
        <f t="shared" si="2"/>
        <v>1.0330533720911126</v>
      </c>
      <c r="H18" s="31">
        <f>+'COLOMBIA USD'!H18+'EL SALVADOR USD'!H18+'VENEZUELA USD'!H18+'PANAMA USD'!H18</f>
        <v>24363.503518846337</v>
      </c>
      <c r="I18" s="33">
        <f t="shared" si="3"/>
        <v>9.7659496581737462E-2</v>
      </c>
      <c r="J18" s="40">
        <f t="shared" si="4"/>
        <v>0.4163835987563872</v>
      </c>
      <c r="K18" s="31">
        <f>+'COLOMBIA USD'!K18+'EL SALVADOR USD'!K18+'VENEZUELA USD'!K18+'PANAMA USD'!K18</f>
        <v>33403.953488372099</v>
      </c>
      <c r="L18" s="33">
        <f t="shared" si="5"/>
        <v>0.14550453617130513</v>
      </c>
      <c r="M18" s="31">
        <f>+'COLOMBIA USD'!M18+'EL SALVADOR USD'!M18+'VENEZUELA USD'!M18+'PANAMA USD'!M18</f>
        <v>34508.066792337479</v>
      </c>
      <c r="N18" s="33">
        <f t="shared" si="6"/>
        <v>0.13445992853432109</v>
      </c>
      <c r="O18" s="33">
        <f t="shared" si="7"/>
        <v>1.0330533720911126</v>
      </c>
      <c r="P18" s="31">
        <f>+'COLOMBIA USD'!P18+'EL SALVADOR USD'!P18+'VENEZUELA USD'!P18+'PANAMA USD'!P18</f>
        <v>24363.503518846337</v>
      </c>
      <c r="Q18" s="33">
        <f t="shared" si="8"/>
        <v>0.10274524218337558</v>
      </c>
      <c r="R18" s="40">
        <f t="shared" si="9"/>
        <v>0.4163835987563872</v>
      </c>
      <c r="V18" s="3" t="s">
        <v>40</v>
      </c>
      <c r="W18" s="31">
        <f>W8+W15</f>
        <v>107868.15820351403</v>
      </c>
      <c r="X18" s="31">
        <f>'COLOMBIA USD'!Y21+'EL SALVADOR USD'!X21+'VENEZUELA USD'!X19+'PANAMA USD'!W21</f>
        <v>125870.87037865381</v>
      </c>
      <c r="Y18" s="31">
        <f t="shared" ref="Y18" si="14">Y8+Y15</f>
        <v>122534.29876366199</v>
      </c>
      <c r="Z18" s="31">
        <f>Z8+Z15</f>
        <v>113188.42812305727</v>
      </c>
      <c r="AA18" s="31" t="e">
        <f>AA8+AA15</f>
        <v>#VALUE!</v>
      </c>
      <c r="AB18" s="31">
        <f>AB8+AB15</f>
        <v>121392.74153552807</v>
      </c>
      <c r="AC18" s="62">
        <f>+AB18-Z18</f>
        <v>8204.3134124708013</v>
      </c>
      <c r="AD18" s="67">
        <f t="shared" si="11"/>
        <v>1.0724836765428984</v>
      </c>
      <c r="AE18" s="67" t="e">
        <f t="shared" si="10"/>
        <v>#VALUE!</v>
      </c>
      <c r="AF18" s="54"/>
      <c r="AG18" s="54">
        <f>+'COLOMBIA USD'!Y21+'EL SALVADOR USD'!X21+'VENEZUELA USD'!X19+'PANAMA USD'!W21</f>
        <v>125870.87037865381</v>
      </c>
      <c r="AH18" s="54">
        <f>+'COLOMBIA USD'!X21+'EL SALVADOR USD'!W21+'VENEZUELA USD'!Y19+'PANAMA USD'!V21</f>
        <v>121223.1386287022</v>
      </c>
      <c r="AI18" s="54">
        <f>+'COLOMBIA USD'!AB21+'EL SALVADOR USD'!AA21+'VENEZUELA USD'!AC19+'PANAMA USD'!Z21</f>
        <v>10982.808454323949</v>
      </c>
      <c r="AK18" s="54">
        <f>+'COLOMBIA USD'!AA21+'EL SALVADOR USD'!Z21+'VENEZUELA USD'!AB19+'PANAMA USD'!Y21</f>
        <v>122513.47343275097</v>
      </c>
    </row>
    <row r="19" spans="2:37" x14ac:dyDescent="0.2">
      <c r="B19" s="3" t="s">
        <v>80</v>
      </c>
      <c r="C19" s="31">
        <f>+'COLOMBIA USD'!C19+'EL SALVADOR USD'!C19+'VENEZUELA USD'!C19+'PANAMA USD'!C19</f>
        <v>0</v>
      </c>
      <c r="D19" s="33">
        <f t="shared" si="13"/>
        <v>0</v>
      </c>
      <c r="E19" s="31">
        <f>+'COLOMBIA USD'!E19+'EL SALVADOR USD'!E19+'VENEZUELA USD'!E19+'PANAMA USD'!E19</f>
        <v>0</v>
      </c>
      <c r="F19" s="33">
        <f t="shared" si="1"/>
        <v>0</v>
      </c>
      <c r="G19" s="33" t="str">
        <f t="shared" si="2"/>
        <v/>
      </c>
      <c r="H19" s="31">
        <f>+'COLOMBIA USD'!H19+'EL SALVADOR USD'!H19+'VENEZUELA USD'!H19+'PANAMA USD'!H19</f>
        <v>12348.61275419887</v>
      </c>
      <c r="I19" s="33"/>
      <c r="J19" s="33">
        <f t="shared" si="4"/>
        <v>-1</v>
      </c>
      <c r="K19" s="31">
        <f>+'COLOMBIA USD'!K19+'EL SALVADOR USD'!K19+'VENEZUELA USD'!K19+'PANAMA USD'!K19</f>
        <v>0</v>
      </c>
      <c r="L19" s="33">
        <f t="shared" si="5"/>
        <v>0</v>
      </c>
      <c r="M19" s="31">
        <f>+'COLOMBIA USD'!M19+'EL SALVADOR USD'!M19+'VENEZUELA USD'!M19+'PANAMA USD'!M19</f>
        <v>0</v>
      </c>
      <c r="N19" s="33">
        <f t="shared" si="6"/>
        <v>0</v>
      </c>
      <c r="O19" s="33"/>
      <c r="P19" s="31">
        <f>+'COLOMBIA USD'!P19+'EL SALVADOR USD'!P19+'VENEZUELA USD'!P19+'PANAMA USD'!P19</f>
        <v>0</v>
      </c>
      <c r="Q19" s="33">
        <f t="shared" si="8"/>
        <v>0</v>
      </c>
      <c r="R19" s="33"/>
      <c r="V19" s="3" t="s">
        <v>42</v>
      </c>
      <c r="W19" s="31">
        <f>'COLOMBIA USD'!W23+'EL SALVADOR USD'!V23+'VENEZUELA USD'!W20+'PANAMA USD'!U23</f>
        <v>8078.6046511627919</v>
      </c>
      <c r="X19" s="31">
        <f>'COLOMBIA USD'!Y23+'EL SALVADOR USD'!X23+'VENEZUELA USD'!X20+'PANAMA USD'!W23</f>
        <v>79</v>
      </c>
      <c r="Y19" s="31">
        <f>'COLOMBIA USD'!X23+'EL SALVADOR USD'!W23+'VENEZUELA USD'!Y20+'PANAMA USD'!V23</f>
        <v>9434.0428851640536</v>
      </c>
      <c r="Z19" s="31">
        <f>'COLOMBIA USD'!Z23+'EL SALVADOR USD'!Y23+'VENEZUELA USD'!Z20+'PANAMA USD'!X23</f>
        <v>8078.6046511627919</v>
      </c>
      <c r="AA19" s="31">
        <f>'COLOMBIA USD'!AD23+'EL SALVADOR USD'!AC23+'VENEZUELA USD'!AA20+'PANAMA USD'!AB23</f>
        <v>79</v>
      </c>
      <c r="AB19" s="31">
        <f>'COLOMBIA USD'!AA23+'EL SALVADOR USD'!Z23+'VENEZUELA USD'!AB20+'PANAMA USD'!Y23</f>
        <v>9434.0428851640536</v>
      </c>
      <c r="AC19" s="62">
        <f t="shared" ref="AC19:AC22" si="15">+AB19-Z19</f>
        <v>1355.4382340012617</v>
      </c>
      <c r="AD19" s="67">
        <f t="shared" si="11"/>
        <v>1.167781231107301</v>
      </c>
      <c r="AE19" s="67">
        <f t="shared" si="10"/>
        <v>118.41826436916523</v>
      </c>
      <c r="AF19" s="54"/>
      <c r="AG19" s="54">
        <f>+'COLOMBIA USD'!Y23+'EL SALVADOR USD'!X23+'VENEZUELA USD'!X20+'PANAMA USD'!W23</f>
        <v>79</v>
      </c>
      <c r="AH19" s="54">
        <f>+'COLOMBIA USD'!X23+'EL SALVADOR USD'!W23+'VENEZUELA USD'!Y20+'PANAMA USD'!V23</f>
        <v>9434.0428851640536</v>
      </c>
      <c r="AI19" s="54" t="e">
        <f>+'COLOMBIA USD'!AB23+'EL SALVADOR USD'!AA23+'VENEZUELA USD'!AC20+'PANAMA USD'!Z23</f>
        <v>#VALUE!</v>
      </c>
      <c r="AK19" s="54">
        <f>+'COLOMBIA USD'!AA23+'EL SALVADOR USD'!Z23+'VENEZUELA USD'!AB20+'PANAMA USD'!Y23</f>
        <v>9434.0428851640536</v>
      </c>
    </row>
    <row r="20" spans="2:37" x14ac:dyDescent="0.2">
      <c r="B20" s="19" t="s">
        <v>39</v>
      </c>
      <c r="C20" s="68">
        <f>SUM(C10:C19)</f>
        <v>229573.27906976742</v>
      </c>
      <c r="D20" s="44">
        <f t="shared" si="13"/>
        <v>1</v>
      </c>
      <c r="E20" s="68">
        <f>SUM(E10:E19)</f>
        <v>256642.0134867857</v>
      </c>
      <c r="F20" s="44">
        <f t="shared" si="1"/>
        <v>1</v>
      </c>
      <c r="G20" s="44">
        <f t="shared" si="2"/>
        <v>1.1179089070239401</v>
      </c>
      <c r="H20" s="68">
        <f>SUM(H10:H19)</f>
        <v>249473.98227119641</v>
      </c>
      <c r="I20" s="44">
        <f>+H22/$H$22</f>
        <v>1</v>
      </c>
      <c r="J20" s="44">
        <f t="shared" si="4"/>
        <v>2.8732580248777676E-2</v>
      </c>
      <c r="K20" s="68">
        <f>SUM(K10:K19)</f>
        <v>229573.27906976742</v>
      </c>
      <c r="L20" s="44">
        <f t="shared" si="5"/>
        <v>1</v>
      </c>
      <c r="M20" s="68">
        <f>SUM(M10:M19)</f>
        <v>256642.0134867857</v>
      </c>
      <c r="N20" s="44">
        <f t="shared" si="6"/>
        <v>1</v>
      </c>
      <c r="O20" s="44">
        <f>IF(K20=0,"",(M20-K20)/ABS(K20)+1)</f>
        <v>1.1179089070239401</v>
      </c>
      <c r="P20" s="68">
        <f>SUM(P10:P19)</f>
        <v>237125.36951699754</v>
      </c>
      <c r="Q20" s="44">
        <f t="shared" si="8"/>
        <v>1</v>
      </c>
      <c r="R20" s="44">
        <f>IF(P20=0,"",(M20-P20)/ABS(P20))</f>
        <v>8.230517050765912E-2</v>
      </c>
      <c r="V20" s="3" t="s">
        <v>44</v>
      </c>
      <c r="W20" s="31">
        <f>'COLOMBIA USD'!W25+'EL SALVADOR USD'!V25+'VENEZUELA USD'!W21+'PANAMA USD'!U25</f>
        <v>77497.359906807746</v>
      </c>
      <c r="X20" s="31">
        <f>'COLOMBIA USD'!Y25+'EL SALVADOR USD'!X25+'VENEZUELA USD'!X21+'PANAMA USD'!W25</f>
        <v>79774.882238497899</v>
      </c>
      <c r="Y20" s="31">
        <f>'COLOMBIA USD'!X25+'EL SALVADOR USD'!W25+'VENEZUELA USD'!Y21+'PANAMA USD'!V25</f>
        <v>88960.892122566176</v>
      </c>
      <c r="Z20" s="31">
        <f>'COLOMBIA USD'!Z25+'EL SALVADOR USD'!Y25+'VENEZUELA USD'!Z21+'PANAMA USD'!X25</f>
        <v>75695.761152590247</v>
      </c>
      <c r="AA20" s="31">
        <f>'COLOMBIA USD'!AD25+'EL SALVADOR USD'!AC25+'VENEZUELA USD'!AA21+'PANAMA USD'!AB25</f>
        <v>73633.91987986915</v>
      </c>
      <c r="AB20" s="31">
        <f>'COLOMBIA USD'!AA25+'EL SALVADOR USD'!Z25+'VENEZUELA USD'!AB21+'PANAMA USD'!Y25</f>
        <v>84620.471670970015</v>
      </c>
      <c r="AC20" s="62">
        <f t="shared" si="15"/>
        <v>8924.7105183797685</v>
      </c>
      <c r="AD20" s="67">
        <f t="shared" si="11"/>
        <v>1.1179023816193487</v>
      </c>
      <c r="AE20" s="67">
        <f t="shared" si="10"/>
        <v>0.14920503769220753</v>
      </c>
      <c r="AF20" s="54"/>
      <c r="AG20" s="54">
        <f>+'COLOMBIA USD'!Y25+'EL SALVADOR USD'!X25+'VENEZUELA USD'!X21+'PANAMA USD'!W25</f>
        <v>79774.882238497899</v>
      </c>
      <c r="AH20" s="54">
        <f>+'COLOMBIA USD'!X25+'EL SALVADOR USD'!W25+'VENEZUELA USD'!Y21+'PANAMA USD'!V25</f>
        <v>88960.892122566176</v>
      </c>
      <c r="AI20" s="54">
        <f>+'COLOMBIA USD'!AB25+'EL SALVADOR USD'!AA25+'VENEZUELA USD'!AC21+'PANAMA USD'!Z25</f>
        <v>7125.1298554537843</v>
      </c>
      <c r="AK20" s="54">
        <f>+'COLOMBIA USD'!AA25+'EL SALVADOR USD'!Z25+'VENEZUELA USD'!AB21+'PANAMA USD'!Y25</f>
        <v>84620.471670970015</v>
      </c>
    </row>
    <row r="21" spans="2:37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V21" s="3" t="s">
        <v>47</v>
      </c>
      <c r="W21" s="31">
        <f>'COLOMBIA USD'!W27+'EL SALVADOR USD'!V27+'VENEZUELA USD'!W22+'PANAMA USD'!U27</f>
        <v>2335.8139534883721</v>
      </c>
      <c r="X21" s="31">
        <f>'COLOMBIA USD'!Y27+'EL SALVADOR USD'!X27+'VENEZUELA USD'!X22+'PANAMA USD'!W27</f>
        <v>27634.169509088555</v>
      </c>
      <c r="Y21" s="31">
        <f>'COLOMBIA USD'!X27+'EL SALVADOR USD'!W27+'VENEZUELA USD'!Y22+'PANAMA USD'!V27</f>
        <v>2558.6579758508256</v>
      </c>
      <c r="Z21" s="31">
        <f>'COLOMBIA USD'!Z27+'EL SALVADOR USD'!Y27+'VENEZUELA USD'!Z22+'PANAMA USD'!X27</f>
        <v>2335.8139534883721</v>
      </c>
      <c r="AA21" s="31">
        <f>'COLOMBIA USD'!AD27+'EL SALVADOR USD'!AC27+'VENEZUELA USD'!AA22+'PANAMA USD'!AB27</f>
        <v>27634.169509088555</v>
      </c>
      <c r="AB21" s="31">
        <f>'COLOMBIA USD'!AA27+'EL SALVADOR USD'!Z27+'VENEZUELA USD'!AB22+'PANAMA USD'!Y27</f>
        <v>2558.5897697167311</v>
      </c>
      <c r="AC21" s="62">
        <f t="shared" si="15"/>
        <v>222.77581622835896</v>
      </c>
      <c r="AD21" s="67">
        <f t="shared" si="11"/>
        <v>1.0953739555736701</v>
      </c>
      <c r="AE21" s="67">
        <f t="shared" si="10"/>
        <v>-0.90741209831273417</v>
      </c>
      <c r="AF21" s="54"/>
      <c r="AG21" s="54">
        <f>+'COLOMBIA USD'!Y27+'EL SALVADOR USD'!X27+'VENEZUELA USD'!X22+'PANAMA USD'!W27</f>
        <v>27634.169509088555</v>
      </c>
      <c r="AH21" s="54">
        <f>+'COLOMBIA USD'!X27+'EL SALVADOR USD'!W27+'VENEZUELA USD'!Y22+'PANAMA USD'!V27</f>
        <v>2558.6579758508256</v>
      </c>
      <c r="AI21" s="54">
        <f>+'COLOMBIA USD'!AB27+'EL SALVADOR USD'!AA27+'VENEZUELA USD'!AC22+'PANAMA USD'!Z27</f>
        <v>222.77581622835896</v>
      </c>
      <c r="AK21" s="54">
        <f>+'COLOMBIA USD'!AA27+'EL SALVADOR USD'!Z27+'VENEZUELA USD'!AB22+'PANAMA USD'!Y27</f>
        <v>2558.5897697167311</v>
      </c>
    </row>
    <row r="22" spans="2:37" x14ac:dyDescent="0.2">
      <c r="B22" s="3" t="s">
        <v>41</v>
      </c>
      <c r="C22" s="31">
        <f>+'COLOMBIA USD'!C22+'EL SALVADOR USD'!C22+'VENEZUELA USD'!C22+'PANAMA USD'!C22</f>
        <v>21252</v>
      </c>
      <c r="D22" s="33">
        <f t="shared" si="13"/>
        <v>9.2571749143076476E-2</v>
      </c>
      <c r="E22" s="31">
        <f>+'COLOMBIA USD'!E22+'EL SALVADOR USD'!E22+'VENEZUELA USD'!E22+'PANAMA USD'!E22</f>
        <v>27313.929162421031</v>
      </c>
      <c r="F22" s="33">
        <f>+E22/$E$20</f>
        <v>0.10642812839304429</v>
      </c>
      <c r="G22" s="33">
        <f>IF(C22=0,"",(E22-C22)/ABS(C22)+1)</f>
        <v>1.2852404085460676</v>
      </c>
      <c r="H22" s="31">
        <f>+'COLOMBIA USD'!H22+'EL SALVADOR USD'!H22+'VENEZUELA USD'!H22+'PANAMA USD'!H22</f>
        <v>20202.447001424807</v>
      </c>
      <c r="I22" s="33">
        <f t="shared" ref="I22:I46" si="16">+H22/$H$20</f>
        <v>8.0980176038811427E-2</v>
      </c>
      <c r="J22" s="33">
        <f>IF(H22=0,"",(E22-H22)/ABS(H22))</f>
        <v>0.35201093018556989</v>
      </c>
      <c r="K22" s="31">
        <f>+'COLOMBIA USD'!K22+'EL SALVADOR USD'!K22+'VENEZUELA USD'!K22+'PANAMA USD'!K22</f>
        <v>21252</v>
      </c>
      <c r="L22" s="33">
        <f t="shared" si="5"/>
        <v>9.2571749143076476E-2</v>
      </c>
      <c r="M22" s="31">
        <f>+'COLOMBIA USD'!M22+'EL SALVADOR USD'!M22+'VENEZUELA USD'!M22+'PANAMA USD'!M22</f>
        <v>27313.929162421031</v>
      </c>
      <c r="N22" s="33">
        <f>+M22/$M$20</f>
        <v>0.10642812839304429</v>
      </c>
      <c r="O22" s="33">
        <f>IF(K22=0,"",(M22-K22)/ABS(K22)+1)</f>
        <v>1.2852404085460676</v>
      </c>
      <c r="P22" s="31">
        <f>+'COLOMBIA USD'!P22+'EL SALVADOR USD'!P22+'VENEZUELA USD'!P22+'PANAMA USD'!P22</f>
        <v>20202.447001424807</v>
      </c>
      <c r="Q22" s="33">
        <f t="shared" si="8"/>
        <v>8.5197324278609765E-2</v>
      </c>
      <c r="R22" s="33">
        <f>IF(P22=0,"",(M22-P22)/ABS(P22))</f>
        <v>0.35201093018556989</v>
      </c>
      <c r="V22" s="3" t="s">
        <v>49</v>
      </c>
      <c r="W22" s="31">
        <f>'COLOMBIA USD'!W28+'EL SALVADOR USD'!V28+'VENEZUELA USD'!W23+'PANAMA USD'!U28</f>
        <v>0</v>
      </c>
      <c r="X22" s="31">
        <f>'COLOMBIA USD'!Y28+'EL SALVADOR USD'!X28+'VENEZUELA USD'!X23+'PANAMA USD'!W28</f>
        <v>0</v>
      </c>
      <c r="Y22" s="31">
        <f>'COLOMBIA USD'!X28+'EL SALVADOR USD'!W28+'VENEZUELA USD'!Y23+'PANAMA USD'!V28</f>
        <v>0</v>
      </c>
      <c r="Z22" s="31">
        <f>'COLOMBIA USD'!Z28+'EL SALVADOR USD'!Y28+'VENEZUELA USD'!Z23+'PANAMA USD'!X28</f>
        <v>0</v>
      </c>
      <c r="AA22" s="31" t="e">
        <f>'COLOMBIA USD'!AD28+'EL SALVADOR USD'!AC28+'VENEZUELA USD'!AA23+'PANAMA USD'!AB28</f>
        <v>#VALUE!</v>
      </c>
      <c r="AB22" s="31">
        <f>'COLOMBIA USD'!AA28+'EL SALVADOR USD'!Z28+'VENEZUELA USD'!AB23+'PANAMA USD'!Y28</f>
        <v>0</v>
      </c>
      <c r="AC22" s="62">
        <f t="shared" si="15"/>
        <v>0</v>
      </c>
      <c r="AD22" s="67" t="str">
        <f t="shared" si="11"/>
        <v/>
      </c>
      <c r="AE22" s="67" t="e">
        <f t="shared" si="10"/>
        <v>#VALUE!</v>
      </c>
      <c r="AF22" s="54"/>
      <c r="AG22" s="54">
        <f>+'COLOMBIA USD'!Y28+'EL SALVADOR USD'!X28+'VENEZUELA USD'!X23+'PANAMA USD'!W28</f>
        <v>0</v>
      </c>
      <c r="AH22" s="54">
        <f>+'COLOMBIA USD'!X28+'EL SALVADOR USD'!W28+'VENEZUELA USD'!Y23+'PANAMA USD'!V28</f>
        <v>0</v>
      </c>
      <c r="AI22" s="54" t="e">
        <f>+'COLOMBIA USD'!AB28+'EL SALVADOR USD'!AA28+'VENEZUELA USD'!AC23+'PANAMA USD'!Z28</f>
        <v>#VALUE!</v>
      </c>
      <c r="AK22" s="54">
        <f>+'COLOMBIA USD'!AA28+'EL SALVADOR USD'!Z28+'VENEZUELA USD'!AB23+'PANAMA USD'!Y28</f>
        <v>0</v>
      </c>
    </row>
    <row r="23" spans="2:37" x14ac:dyDescent="0.2"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V23" s="3" t="s">
        <v>51</v>
      </c>
      <c r="W23" s="31">
        <f>W18-W19-W20-W21-W22</f>
        <v>19956.379692055118</v>
      </c>
      <c r="X23" s="31">
        <f t="shared" ref="X23:AB23" si="17">X18-X19-X20-X21-X22</f>
        <v>18382.818631067355</v>
      </c>
      <c r="Y23" s="31">
        <f t="shared" si="17"/>
        <v>21580.705780080931</v>
      </c>
      <c r="Z23" s="31">
        <f t="shared" si="17"/>
        <v>27078.248365815853</v>
      </c>
      <c r="AA23" s="31" t="e">
        <f t="shared" si="17"/>
        <v>#VALUE!</v>
      </c>
      <c r="AB23" s="31">
        <f t="shared" si="17"/>
        <v>24779.637209677261</v>
      </c>
      <c r="AC23" s="62">
        <f t="shared" ref="AC23" si="18">Y23-W23</f>
        <v>1624.3260880258131</v>
      </c>
      <c r="AD23" s="67">
        <f t="shared" ref="AD23" si="19">IF(W23=0,"",(Y23-W23)/ABS(W23)+1)</f>
        <v>1.081393825588139</v>
      </c>
      <c r="AE23" s="67">
        <f t="shared" ref="AE23" si="20">IF(X23=0,"",(Y23-X23)/ABS(X23))</f>
        <v>0.17396065386888374</v>
      </c>
      <c r="AF23" s="54"/>
      <c r="AG23" s="54">
        <f>+'COLOMBIA USD'!Y30+'EL SALVADOR USD'!X30+'VENEZUELA USD'!X24+'PANAMA USD'!W30</f>
        <v>24524.83783688099</v>
      </c>
      <c r="AH23" s="54">
        <f>+'COLOMBIA USD'!X30+'EL SALVADOR USD'!W30+'VENEZUELA USD'!Y24+'PANAMA USD'!V30</f>
        <v>26861.266382209149</v>
      </c>
      <c r="AI23" s="54">
        <f>+'COLOMBIA USD'!AB30+'EL SALVADOR USD'!AA30+'VENEZUELA USD'!AC24+'PANAMA USD'!Z30</f>
        <v>2282.5671464827246</v>
      </c>
      <c r="AK23" s="54">
        <f>+'COLOMBIA USD'!AA30+'EL SALVADOR USD'!Z30+'VENEZUELA USD'!AB24+'PANAMA USD'!Y30</f>
        <v>26861.33458834319</v>
      </c>
    </row>
    <row r="24" spans="2:37" x14ac:dyDescent="0.2">
      <c r="B24" s="3" t="s">
        <v>43</v>
      </c>
      <c r="C24" s="31">
        <f>+C20-C22</f>
        <v>208321.27906976742</v>
      </c>
      <c r="D24" s="33">
        <f t="shared" si="13"/>
        <v>0.90742825085692347</v>
      </c>
      <c r="E24" s="31">
        <f>+E20-E22</f>
        <v>229328.08432436467</v>
      </c>
      <c r="F24" s="33">
        <f>+E24/$E$20</f>
        <v>0.89357187160695573</v>
      </c>
      <c r="G24" s="33">
        <f>IF(C24=0,"",(E24-C24)/ABS(C24)+1)</f>
        <v>1.1008384997845659</v>
      </c>
      <c r="H24" s="31">
        <f>+H20-H22</f>
        <v>229271.53526977159</v>
      </c>
      <c r="I24" s="33">
        <f t="shared" si="16"/>
        <v>0.91901982396118853</v>
      </c>
      <c r="J24" s="33">
        <f>IF(H24=0,"",(E24-H24)/ABS(H24))</f>
        <v>2.4664664336347902E-4</v>
      </c>
      <c r="K24" s="31">
        <f>+K20-K22</f>
        <v>208321.27906976742</v>
      </c>
      <c r="L24" s="33">
        <f t="shared" si="5"/>
        <v>0.90742825085692347</v>
      </c>
      <c r="M24" s="31">
        <f>+M20-M22</f>
        <v>229328.08432436467</v>
      </c>
      <c r="N24" s="33">
        <f>+M24/$M$20</f>
        <v>0.89357187160695573</v>
      </c>
      <c r="O24" s="33">
        <f>IF(K24=0,"",(M24-K24)/ABS(K24)+1)</f>
        <v>1.1008384997845659</v>
      </c>
      <c r="P24" s="31">
        <f>+P20-P22</f>
        <v>216922.92251557275</v>
      </c>
      <c r="Q24" s="33">
        <f t="shared" si="8"/>
        <v>0.91480267572139029</v>
      </c>
      <c r="R24" s="33">
        <f>IF(P24=0,"",(M24-P24)/ABS(P24))</f>
        <v>5.718695684593389E-2</v>
      </c>
      <c r="W24" s="54">
        <f>+'COLOMBIA USD'!W30+'EL SALVADOR USD'!V30+'VENEZUELA USD'!W24+'PANAMA USD'!U30</f>
        <v>24578.767441860451</v>
      </c>
      <c r="X24" s="54">
        <f>+'COLOMBIA USD'!Y30+'EL SALVADOR USD'!X30+'VENEZUELA USD'!X24+'PANAMA USD'!W30</f>
        <v>24524.83783688099</v>
      </c>
      <c r="Y24" s="54">
        <f>+'COLOMBIA USD'!X30+'EL SALVADOR USD'!W30+'VENEZUELA USD'!Y24+'PANAMA USD'!V30</f>
        <v>26861.266382209149</v>
      </c>
      <c r="Z24" s="54">
        <f>+'COLOMBIA USD'!Z30+'EL SALVADOR USD'!Y30+'VENEZUELA USD'!Z24+'PANAMA USD'!X30</f>
        <v>24578.767441860466</v>
      </c>
      <c r="AA24" s="54">
        <f>+'COLOMBIA USD'!AD30+'EL SALVADOR USD'!AC30+'VENEZUELA USD'!AA24+'PANAMA USD'!AB30</f>
        <v>24524.83783688099</v>
      </c>
      <c r="AB24" s="54">
        <f>+'COLOMBIA USD'!AA30+'EL SALVADOR USD'!Z30+'VENEZUELA USD'!AB24+'PANAMA USD'!Y30</f>
        <v>26861.33458834319</v>
      </c>
      <c r="AC24" s="54">
        <f>+'COLOMBIA USD'!AB30+'EL SALVADOR USD'!AA30+'VENEZUELA USD'!AC24+'PANAMA USD'!Z30</f>
        <v>2282.5671464827246</v>
      </c>
      <c r="AE24" s="54"/>
      <c r="AF24" s="54"/>
      <c r="AK24" s="54" t="e">
        <f>+'COLOMBIA USD'!#REF!+'EL SALVADOR USD'!Z31+'VENEZUELA USD'!AB25+'PANAMA USD'!#REF!</f>
        <v>#REF!</v>
      </c>
    </row>
    <row r="25" spans="2:37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AB25" s="54"/>
      <c r="AE25" s="54"/>
      <c r="AF25" s="54"/>
      <c r="AK25" s="54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1">
        <f>+'COLOMBIA USD'!C26+'EL SALVADOR USD'!C26+'VENEZUELA USD'!C26+'PANAMA USD'!C26</f>
        <v>49813.046511627908</v>
      </c>
      <c r="D26" s="33">
        <f t="shared" si="13"/>
        <v>0.21698102981963202</v>
      </c>
      <c r="E26" s="31">
        <f>+'COLOMBIA USD'!E26+'EL SALVADOR USD'!E26+'VENEZUELA USD'!E26+'PANAMA USD'!E26</f>
        <v>41613.359184292014</v>
      </c>
      <c r="F26" s="33">
        <f>+E26/$E$20</f>
        <v>0.16214554514642887</v>
      </c>
      <c r="G26" s="33">
        <f>IF(C26=0,"",(E26-C26)/ABS(C26)+1)</f>
        <v>0.83539076805065848</v>
      </c>
      <c r="H26" s="31">
        <f>+'COLOMBIA USD'!H26+'EL SALVADOR USD'!H26+'VENEZUELA USD'!H26+'PANAMA USD'!H26</f>
        <v>37884.598575787975</v>
      </c>
      <c r="I26" s="33">
        <f t="shared" si="16"/>
        <v>0.1518579141235043</v>
      </c>
      <c r="J26" s="33">
        <f>IF(H26=0,"",(E26-H26)/ABS(H26))</f>
        <v>9.8424181558758483E-2</v>
      </c>
      <c r="K26" s="31">
        <f>+'COLOMBIA USD'!K26+'EL SALVADOR USD'!K26+'VENEZUELA USD'!K26+'PANAMA USD'!K26</f>
        <v>49813.046511627908</v>
      </c>
      <c r="L26" s="33">
        <f t="shared" si="5"/>
        <v>0.21698102981963202</v>
      </c>
      <c r="M26" s="31">
        <f>+'COLOMBIA USD'!M26+'EL SALVADOR USD'!M26+'VENEZUELA USD'!M26+'PANAMA USD'!M26</f>
        <v>41613.359184292014</v>
      </c>
      <c r="N26" s="33">
        <f>+M26/$M$20</f>
        <v>0.16214554514642887</v>
      </c>
      <c r="O26" s="33">
        <f>IF(K26=0,"",(M26-K26)/ABS(K26)+1)</f>
        <v>0.83539076805065848</v>
      </c>
      <c r="P26" s="31">
        <f>+'COLOMBIA USD'!P26+'EL SALVADOR USD'!P26+'VENEZUELA USD'!P26+'PANAMA USD'!P26</f>
        <v>37884.598575787975</v>
      </c>
      <c r="Q26" s="33">
        <f t="shared" si="8"/>
        <v>0.15976611297625135</v>
      </c>
      <c r="R26" s="33">
        <f>IF(P26=0,"",(M26-P26)/ABS(P26))</f>
        <v>9.8424181558758483E-2</v>
      </c>
      <c r="W26" s="54"/>
      <c r="X26" s="54"/>
      <c r="Y26" s="54"/>
      <c r="Z26" s="54"/>
      <c r="AA26" s="54"/>
      <c r="AB26" s="54"/>
      <c r="AC26" s="54"/>
      <c r="AF26" s="54"/>
      <c r="AK26" s="54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1">
        <f>+'COLOMBIA USD'!C27+'EL SALVADOR USD'!C27+'VENEZUELA USD'!C27+'PANAMA USD'!C27</f>
        <v>79165.232558139527</v>
      </c>
      <c r="D27" s="33">
        <f t="shared" si="13"/>
        <v>0.344836441239667</v>
      </c>
      <c r="E27" s="31">
        <f>+'COLOMBIA USD'!E27+'EL SALVADOR USD'!E27+'VENEZUELA USD'!E27+'PANAMA USD'!E27</f>
        <v>82623.398292975151</v>
      </c>
      <c r="F27" s="33">
        <f>+E27/$E$20</f>
        <v>0.32194026679590937</v>
      </c>
      <c r="G27" s="33">
        <f>IF(C27=0,"",(E27-C27)/ABS(C27)+1)</f>
        <v>1.0436828848105248</v>
      </c>
      <c r="H27" s="31">
        <f>+'COLOMBIA USD'!H27+'EL SALVADOR USD'!H27+'VENEZUELA USD'!H27+'PANAMA USD'!H27</f>
        <v>62523.455035887753</v>
      </c>
      <c r="I27" s="33">
        <f t="shared" si="16"/>
        <v>0.25062114480507308</v>
      </c>
      <c r="J27" s="33">
        <f>IF(H27=0,"",(E27-H27)/ABS(H27))</f>
        <v>0.32147844749702748</v>
      </c>
      <c r="K27" s="31">
        <f>+'COLOMBIA USD'!K27+'EL SALVADOR USD'!K27+'VENEZUELA USD'!K27+'PANAMA USD'!K27</f>
        <v>79165.232558139527</v>
      </c>
      <c r="L27" s="33">
        <f t="shared" si="5"/>
        <v>0.344836441239667</v>
      </c>
      <c r="M27" s="31">
        <f>+'COLOMBIA USD'!M27+'EL SALVADOR USD'!M27+'VENEZUELA USD'!M27+'PANAMA USD'!M27</f>
        <v>82623.398292975151</v>
      </c>
      <c r="N27" s="33">
        <f>+M27/$M$20</f>
        <v>0.32194026679590937</v>
      </c>
      <c r="O27" s="33">
        <f>IF(K27=0,"",(M27-K27)/ABS(K27)+1)</f>
        <v>1.0436828848105248</v>
      </c>
      <c r="P27" s="31">
        <f>+'COLOMBIA USD'!P27+'EL SALVADOR USD'!P27+'VENEZUELA USD'!P27+'PANAMA USD'!P27</f>
        <v>62523.455035887753</v>
      </c>
      <c r="Q27" s="33">
        <f t="shared" si="8"/>
        <v>0.26367256765162772</v>
      </c>
      <c r="R27" s="33">
        <f>IF(P27=0,"",(M27-P27)/ABS(P27))</f>
        <v>0.32147844749702748</v>
      </c>
      <c r="W27" s="54"/>
      <c r="X27" s="54"/>
      <c r="Y27" s="54"/>
      <c r="Z27" s="54"/>
      <c r="AA27" s="54"/>
      <c r="AB27" s="54"/>
      <c r="AC27" s="54"/>
      <c r="AF27" s="54"/>
    </row>
    <row r="28" spans="2:37" x14ac:dyDescent="0.2">
      <c r="B28" s="3" t="s">
        <v>48</v>
      </c>
      <c r="C28" s="31">
        <f>SUM(C26:C27)</f>
        <v>128978.27906976744</v>
      </c>
      <c r="D28" s="33">
        <f t="shared" si="13"/>
        <v>0.56181747105929902</v>
      </c>
      <c r="E28" s="31">
        <f>SUM(E26:E27)</f>
        <v>124236.75747726717</v>
      </c>
      <c r="F28" s="33">
        <f>+E28/$E$20</f>
        <v>0.48408581194233818</v>
      </c>
      <c r="G28" s="33">
        <f>IF(C28=0,"",(E28-C28)/ABS(C28)+1)</f>
        <v>0.96323782867396246</v>
      </c>
      <c r="H28" s="31">
        <f>SUM(H26:H27)</f>
        <v>100408.05361167573</v>
      </c>
      <c r="I28" s="33">
        <f t="shared" si="16"/>
        <v>0.40247905892857738</v>
      </c>
      <c r="J28" s="33">
        <f>IF(H28=0,"",(E28-H28)/ABS(H28))</f>
        <v>0.23731865132799038</v>
      </c>
      <c r="K28" s="31">
        <f>SUM(K26:K27)</f>
        <v>128978.27906976744</v>
      </c>
      <c r="L28" s="33">
        <f t="shared" si="5"/>
        <v>0.56181747105929902</v>
      </c>
      <c r="M28" s="31">
        <f>SUM(M26:M27)</f>
        <v>124236.75747726717</v>
      </c>
      <c r="N28" s="33">
        <f>+M28/$M$20</f>
        <v>0.48408581194233818</v>
      </c>
      <c r="O28" s="33">
        <f>IF(K28=0,"",(M28-K28)/ABS(K28)+1)</f>
        <v>0.96323782867396246</v>
      </c>
      <c r="P28" s="31">
        <f>SUM(P26:P27)</f>
        <v>100408.05361167573</v>
      </c>
      <c r="Q28" s="33">
        <f t="shared" si="8"/>
        <v>0.42343868062787904</v>
      </c>
      <c r="R28" s="33">
        <f>IF(P28=0,"",(M28-P28)/ABS(P28))</f>
        <v>0.23731865132799038</v>
      </c>
      <c r="W28" s="54"/>
      <c r="X28" s="54"/>
      <c r="Y28" s="54"/>
      <c r="Z28" s="54"/>
      <c r="AA28" s="54"/>
      <c r="AB28" s="54"/>
      <c r="AC28" s="54"/>
      <c r="AD28" s="54"/>
      <c r="AE28" s="54"/>
    </row>
    <row r="29" spans="2:37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W29" s="54"/>
      <c r="X29" s="54"/>
      <c r="Y29" s="54"/>
      <c r="Z29" s="54"/>
      <c r="AA29" s="54"/>
      <c r="AB29" s="54"/>
      <c r="AC29" s="54"/>
    </row>
    <row r="30" spans="2:37" x14ac:dyDescent="0.2">
      <c r="B30" s="3" t="s">
        <v>50</v>
      </c>
      <c r="C30" s="31">
        <f>+'COLOMBIA USD'!C30+'EL SALVADOR USD'!C30+'VENEZUELA USD'!C30+'PANAMA USD'!C30</f>
        <v>19407.767441860466</v>
      </c>
      <c r="D30" s="33">
        <f t="shared" si="13"/>
        <v>8.4538442455066545E-2</v>
      </c>
      <c r="E30" s="31">
        <f>+'COLOMBIA USD'!E30+'EL SALVADOR USD'!E30+'VENEZUELA USD'!E30+'PANAMA USD'!E30</f>
        <v>23236.543661033982</v>
      </c>
      <c r="F30" s="33">
        <f>+E30/$E$20</f>
        <v>9.0540684844768862E-2</v>
      </c>
      <c r="G30" s="33">
        <f>IF(C30=0,"",(E30-C30)/ABS(C30)+1)</f>
        <v>1.1972806110050174</v>
      </c>
      <c r="H30" s="31">
        <f>+'COLOMBIA USD'!H30+'EL SALVADOR USD'!H30+'VENEZUELA USD'!H30+'PANAMA USD'!H30</f>
        <v>20076.377971824641</v>
      </c>
      <c r="I30" s="33">
        <f t="shared" si="16"/>
        <v>8.0474836650501508E-2</v>
      </c>
      <c r="J30" s="33">
        <f>IF(H30=0,"",(E30-H30)/ABS(H30))</f>
        <v>0.15740716246946262</v>
      </c>
      <c r="K30" s="31">
        <f>+'COLOMBIA USD'!K30+'EL SALVADOR USD'!K30+'VENEZUELA USD'!K30+'PANAMA USD'!K30</f>
        <v>19407.767441860466</v>
      </c>
      <c r="L30" s="33">
        <f t="shared" si="5"/>
        <v>8.4538442455066545E-2</v>
      </c>
      <c r="M30" s="31">
        <f>+'COLOMBIA USD'!M30+'EL SALVADOR USD'!M30+'VENEZUELA USD'!M30+'PANAMA USD'!M30</f>
        <v>23236.543661033982</v>
      </c>
      <c r="N30" s="33">
        <f>+M30/$M$20</f>
        <v>9.0540684844768862E-2</v>
      </c>
      <c r="O30" s="33">
        <f>IF(K30=0,"",(M30-K30)/ABS(K30)+1)</f>
        <v>1.1972806110050174</v>
      </c>
      <c r="P30" s="31">
        <f>+'COLOMBIA USD'!P30+'EL SALVADOR USD'!P30+'VENEZUELA USD'!P30+'PANAMA USD'!P30</f>
        <v>20076.377971824641</v>
      </c>
      <c r="Q30" s="33">
        <f t="shared" si="8"/>
        <v>8.4665668682850623E-2</v>
      </c>
      <c r="R30" s="33">
        <f>IF(P30=0,"",(M30-P30)/ABS(P30))</f>
        <v>0.15740716246946262</v>
      </c>
      <c r="W30" s="54"/>
      <c r="X30" s="54"/>
      <c r="Y30" s="54"/>
      <c r="Z30" s="54"/>
      <c r="AA30" s="54"/>
      <c r="AB30" s="54"/>
      <c r="AC30" s="54"/>
    </row>
    <row r="31" spans="2:37" x14ac:dyDescent="0.2">
      <c r="B31" s="3" t="s">
        <v>52</v>
      </c>
      <c r="C31" s="31">
        <f>+'COLOMBIA USD'!C31+'EL SALVADOR USD'!C31+'VENEZUELA USD'!C31+'PANAMA USD'!C31</f>
        <v>0</v>
      </c>
      <c r="D31" s="33">
        <f t="shared" si="13"/>
        <v>0</v>
      </c>
      <c r="E31" s="31">
        <f>+'COLOMBIA USD'!E31+'EL SALVADOR USD'!E31+'VENEZUELA USD'!E31+'PANAMA USD'!E31</f>
        <v>889.24033220866852</v>
      </c>
      <c r="F31" s="33">
        <f>+E31/$E$20</f>
        <v>3.464905531745506E-3</v>
      </c>
      <c r="G31" s="33" t="str">
        <f>IF(C31=0,"",(E31-C31)/ABS(C31)+1)</f>
        <v/>
      </c>
      <c r="H31" s="31">
        <f>+'COLOMBIA USD'!H31+'EL SALVADOR USD'!H31+'VENEZUELA USD'!H31+'PANAMA USD'!H31</f>
        <v>655.38727823453053</v>
      </c>
      <c r="I31" s="33">
        <f t="shared" si="16"/>
        <v>2.627076668548453E-3</v>
      </c>
      <c r="J31" s="33">
        <f>IF(H31=0,"",(E31-H31)/ABS(H31))</f>
        <v>0.35681659034347873</v>
      </c>
      <c r="K31" s="31">
        <f>+'COLOMBIA USD'!K31+'EL SALVADOR USD'!K31+'VENEZUELA USD'!K31+'PANAMA USD'!K31</f>
        <v>0</v>
      </c>
      <c r="L31" s="33">
        <f t="shared" si="5"/>
        <v>0</v>
      </c>
      <c r="M31" s="31">
        <f>+'COLOMBIA USD'!M31+'EL SALVADOR USD'!M31+'VENEZUELA USD'!M31+'PANAMA USD'!M31</f>
        <v>889.24033220866852</v>
      </c>
      <c r="N31" s="33">
        <f>+M31/$M$20</f>
        <v>3.464905531745506E-3</v>
      </c>
      <c r="O31" s="33" t="str">
        <f>IF(K31=0,"",(M31-K31)/ABS(K31)+1)</f>
        <v/>
      </c>
      <c r="P31" s="31">
        <f>+'COLOMBIA USD'!P31+'EL SALVADOR USD'!P31+'VENEZUELA USD'!P31+'PANAMA USD'!P31</f>
        <v>655.38727823453053</v>
      </c>
      <c r="Q31" s="33">
        <f t="shared" si="8"/>
        <v>2.7638851109414984E-3</v>
      </c>
      <c r="R31" s="33">
        <f>IF(P31=0,"",(M31-P31)/ABS(P31))</f>
        <v>0.35681659034347873</v>
      </c>
      <c r="W31" s="54"/>
      <c r="X31" s="54"/>
      <c r="Y31" s="54"/>
      <c r="Z31" s="54"/>
      <c r="AA31" s="54"/>
      <c r="AB31" s="54"/>
      <c r="AC31" s="54"/>
    </row>
    <row r="32" spans="2:37" x14ac:dyDescent="0.2">
      <c r="B32" s="3" t="s">
        <v>53</v>
      </c>
      <c r="C32" s="31">
        <f>SUM(C30:C31)</f>
        <v>19407.767441860466</v>
      </c>
      <c r="D32" s="33">
        <f t="shared" si="13"/>
        <v>8.4538442455066545E-2</v>
      </c>
      <c r="E32" s="31">
        <f>SUM(E30:E31)</f>
        <v>24125.78399324265</v>
      </c>
      <c r="F32" s="33">
        <f>+E32/$E$20</f>
        <v>9.4005590376514361E-2</v>
      </c>
      <c r="G32" s="33">
        <f>IF(C32=0,"",(E32-C32)/ABS(C32)+1)</f>
        <v>1.2430993964409287</v>
      </c>
      <c r="H32" s="31">
        <f>SUM(H30:H31)</f>
        <v>20731.765250059172</v>
      </c>
      <c r="I32" s="33">
        <f t="shared" si="16"/>
        <v>8.3101913319049966E-2</v>
      </c>
      <c r="J32" s="33">
        <f>IF(H32=0,"",(E32-H32)/ABS(H32))</f>
        <v>0.16371103484175287</v>
      </c>
      <c r="K32" s="31">
        <f>SUM(K30:K31)</f>
        <v>19407.767441860466</v>
      </c>
      <c r="L32" s="33">
        <f t="shared" si="5"/>
        <v>8.4538442455066545E-2</v>
      </c>
      <c r="M32" s="31">
        <f>SUM(M30:M31)</f>
        <v>24125.78399324265</v>
      </c>
      <c r="N32" s="33">
        <f>+M32/$M$20</f>
        <v>9.4005590376514361E-2</v>
      </c>
      <c r="O32" s="33">
        <f>IF(K32=0,"",(M32-K32)/ABS(K32)+1)</f>
        <v>1.2430993964409287</v>
      </c>
      <c r="P32" s="31">
        <f>SUM(P30:P31)</f>
        <v>20731.765250059172</v>
      </c>
      <c r="Q32" s="33">
        <f t="shared" si="8"/>
        <v>8.7429553793792122E-2</v>
      </c>
      <c r="R32" s="33">
        <f>IF(P32=0,"",(M32-P32)/ABS(P32))</f>
        <v>0.16371103484175287</v>
      </c>
      <c r="W32" s="54"/>
      <c r="X32" s="54"/>
      <c r="Y32" s="54"/>
      <c r="Z32" s="54"/>
      <c r="AA32" s="54"/>
      <c r="AB32" s="54"/>
      <c r="AC32" s="54"/>
    </row>
    <row r="33" spans="2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W33" s="54"/>
      <c r="X33" s="54"/>
      <c r="Y33" s="54"/>
      <c r="Z33" s="54"/>
      <c r="AA33" s="54"/>
      <c r="AB33" s="54"/>
      <c r="AC33" s="54"/>
    </row>
    <row r="34" spans="2:29" x14ac:dyDescent="0.2">
      <c r="B34" s="3" t="s">
        <v>54</v>
      </c>
      <c r="C34" s="31">
        <f>C28+C32</f>
        <v>148386.04651162791</v>
      </c>
      <c r="D34" s="33">
        <f t="shared" si="13"/>
        <v>0.64635591351436561</v>
      </c>
      <c r="E34" s="31">
        <f>E28+E32</f>
        <v>148362.54147050981</v>
      </c>
      <c r="F34" s="33">
        <f>+E34/$E$20</f>
        <v>0.57809140231885248</v>
      </c>
      <c r="G34" s="33">
        <f>IF(C34=0,"",(E34-C34)/ABS(C34)+1)</f>
        <v>0.99984159534086481</v>
      </c>
      <c r="H34" s="31">
        <f>H28+H32</f>
        <v>121139.81886173491</v>
      </c>
      <c r="I34" s="33">
        <f t="shared" si="16"/>
        <v>0.48558097224762736</v>
      </c>
      <c r="J34" s="33">
        <f>IF(H34=0,"",(E34-H34)/ABS(H34))</f>
        <v>0.22472150664057075</v>
      </c>
      <c r="K34" s="31">
        <f>K28+K32</f>
        <v>148386.04651162791</v>
      </c>
      <c r="L34" s="33">
        <f t="shared" si="5"/>
        <v>0.64635591351436561</v>
      </c>
      <c r="M34" s="31">
        <f>M28+M32</f>
        <v>148362.54147050981</v>
      </c>
      <c r="N34" s="33">
        <f>+M34/$M$20</f>
        <v>0.57809140231885248</v>
      </c>
      <c r="O34" s="33">
        <f>IF(K34=0,"",(M34-K34)/ABS(K34)+1)</f>
        <v>0.99984159534086481</v>
      </c>
      <c r="P34" s="31">
        <f>P28+P32</f>
        <v>121139.81886173491</v>
      </c>
      <c r="Q34" s="33">
        <f t="shared" si="8"/>
        <v>0.51086823442167117</v>
      </c>
      <c r="R34" s="33">
        <f>IF(P34=0,"",(M34-P34)/ABS(P34))</f>
        <v>0.22472150664057075</v>
      </c>
      <c r="W34" s="54"/>
      <c r="X34" s="54"/>
      <c r="Y34" s="54"/>
      <c r="Z34" s="54"/>
      <c r="AA34" s="54"/>
      <c r="AB34" s="54"/>
      <c r="AC34" s="54"/>
    </row>
    <row r="35" spans="2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W35" s="54"/>
      <c r="X35" s="54"/>
      <c r="Y35" s="54"/>
      <c r="Z35" s="54"/>
      <c r="AA35" s="54"/>
      <c r="AB35" s="54"/>
      <c r="AC35" s="54"/>
    </row>
    <row r="36" spans="2:29" x14ac:dyDescent="0.2">
      <c r="B36" s="19" t="s">
        <v>55</v>
      </c>
      <c r="C36" s="68">
        <f>C24-C34</f>
        <v>59935.232558139513</v>
      </c>
      <c r="D36" s="44">
        <f t="shared" si="13"/>
        <v>0.26107233734255791</v>
      </c>
      <c r="E36" s="68">
        <f>E24-E34</f>
        <v>80965.542853854859</v>
      </c>
      <c r="F36" s="44">
        <f>+E36/$E$20</f>
        <v>0.31548046928810319</v>
      </c>
      <c r="G36" s="44">
        <f>IF(C36=0,"",(E36-C36)/ABS(C36)+1)</f>
        <v>1.3508839358438314</v>
      </c>
      <c r="H36" s="68">
        <f>H24-H34</f>
        <v>108131.71640803668</v>
      </c>
      <c r="I36" s="44">
        <f t="shared" si="16"/>
        <v>0.43343885171356111</v>
      </c>
      <c r="J36" s="44">
        <f>IF(H36=0,"",(E36-H36)/ABS(H36))</f>
        <v>-0.25123224208954431</v>
      </c>
      <c r="K36" s="68">
        <f>K24-K34</f>
        <v>59935.232558139513</v>
      </c>
      <c r="L36" s="44">
        <f t="shared" si="5"/>
        <v>0.26107233734255791</v>
      </c>
      <c r="M36" s="68">
        <f>+M24-M34</f>
        <v>80965.542853854859</v>
      </c>
      <c r="N36" s="44">
        <f>+M36/$M$20</f>
        <v>0.31548046928810319</v>
      </c>
      <c r="O36" s="44">
        <f>IF(K36=0,"",(M36-K36)/ABS(K36)+1)</f>
        <v>1.3508839358438314</v>
      </c>
      <c r="P36" s="68">
        <f>P24-P34</f>
        <v>95783.103653837839</v>
      </c>
      <c r="Q36" s="44">
        <f t="shared" si="8"/>
        <v>0.40393444129971906</v>
      </c>
      <c r="R36" s="44">
        <f>IF(P36=0,"",(M36-P36)/ABS(P36))</f>
        <v>-0.15469910907808918</v>
      </c>
      <c r="W36" s="54"/>
      <c r="X36" s="54"/>
      <c r="Y36" s="54"/>
      <c r="Z36" s="54"/>
      <c r="AA36" s="54"/>
      <c r="AB36" s="54"/>
      <c r="AC36" s="54"/>
    </row>
    <row r="37" spans="2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W37" s="54"/>
      <c r="X37" s="54"/>
      <c r="Y37" s="54"/>
      <c r="Z37" s="54"/>
      <c r="AA37" s="54"/>
      <c r="AB37" s="54"/>
      <c r="AC37" s="54"/>
    </row>
    <row r="38" spans="2:29" x14ac:dyDescent="0.2">
      <c r="B38" s="3" t="s">
        <v>56</v>
      </c>
      <c r="C38" s="31">
        <f>+'COLOMBIA USD'!C38+'EL SALVADOR USD'!C38+'VENEZUELA USD'!C38+'PANAMA USD'!C38</f>
        <v>74.651162790697683</v>
      </c>
      <c r="D38" s="33">
        <f t="shared" si="13"/>
        <v>3.2517357025689021E-4</v>
      </c>
      <c r="E38" s="31">
        <f>+'COLOMBIA USD'!E38+'EL SALVADOR USD'!E38+'VENEZUELA USD'!E38+'PANAMA USD'!E38</f>
        <v>312.83103121974779</v>
      </c>
      <c r="F38" s="33">
        <f>+E38/$E$20</f>
        <v>1.2189392803211279E-3</v>
      </c>
      <c r="G38" s="33">
        <f>IF(C38=0,"",(E38-C38)/ABS(C38)+1)</f>
        <v>4.1905714462458423</v>
      </c>
      <c r="H38" s="31">
        <f>+'COLOMBIA USD'!H38+'EL SALVADOR USD'!H38+'VENEZUELA USD'!H38+'PANAMA USD'!H38</f>
        <v>3100.5921663223949</v>
      </c>
      <c r="I38" s="33">
        <f t="shared" si="16"/>
        <v>1.2428519150954288E-2</v>
      </c>
      <c r="J38" s="33">
        <f>IF(H38=0,"",(E38-H38)/ABS(H38))</f>
        <v>-0.89910603702814751</v>
      </c>
      <c r="K38" s="31">
        <f>+'COLOMBIA USD'!K38+'EL SALVADOR USD'!K38+'VENEZUELA USD'!K38+'PANAMA USD'!K38</f>
        <v>74.651162790697683</v>
      </c>
      <c r="L38" s="33">
        <f t="shared" si="5"/>
        <v>3.2517357025689021E-4</v>
      </c>
      <c r="M38" s="31">
        <f>+'COLOMBIA USD'!M38+'EL SALVADOR USD'!M38+'VENEZUELA USD'!M38+'PANAMA USD'!M38</f>
        <v>312.83103121974779</v>
      </c>
      <c r="N38" s="33">
        <f>+M38/$M$20</f>
        <v>1.2189392803211279E-3</v>
      </c>
      <c r="O38" s="33">
        <f>IF(K38=0,"",(M38-K38)/ABS(K38)+1)</f>
        <v>4.1905714462458423</v>
      </c>
      <c r="P38" s="31">
        <f>+'COLOMBIA USD'!P38+'EL SALVADOR USD'!P38+'VENEZUELA USD'!P38+'PANAMA USD'!P38</f>
        <v>3100.5921663223949</v>
      </c>
      <c r="Q38" s="33">
        <f t="shared" si="8"/>
        <v>1.3075750488604465E-2</v>
      </c>
      <c r="R38" s="33">
        <f>IF(P38=0,"",(M38-P38)/ABS(P38))</f>
        <v>-0.89910603702814751</v>
      </c>
      <c r="W38" s="54"/>
      <c r="X38" s="54"/>
      <c r="Y38" s="54"/>
      <c r="Z38" s="54"/>
      <c r="AA38" s="54"/>
      <c r="AB38" s="54"/>
      <c r="AC38" s="54"/>
    </row>
    <row r="39" spans="2:29" x14ac:dyDescent="0.2">
      <c r="B39" s="3" t="s">
        <v>57</v>
      </c>
      <c r="C39" s="31">
        <f>+'COLOMBIA USD'!C39+'EL SALVADOR USD'!C39+'VENEZUELA USD'!C39+'PANAMA USD'!C39</f>
        <v>6836.5116279069771</v>
      </c>
      <c r="D39" s="33">
        <f t="shared" si="13"/>
        <v>2.9779213223806236E-2</v>
      </c>
      <c r="E39" s="31">
        <f>+'COLOMBIA USD'!E39+'EL SALVADOR USD'!E39+'VENEZUELA USD'!E39+'PANAMA USD'!E39</f>
        <v>8280.8515165358822</v>
      </c>
      <c r="F39" s="33">
        <f>+E39/$E$20</f>
        <v>3.2266157064584661E-2</v>
      </c>
      <c r="G39" s="33">
        <f>IF(C39=0,"",(E39-C39)/ABS(C39)+1)</f>
        <v>1.2112685485289074</v>
      </c>
      <c r="H39" s="31">
        <f>+'COLOMBIA USD'!H39+'EL SALVADOR USD'!H39+'VENEZUELA USD'!H39+'PANAMA USD'!H39</f>
        <v>5069.2000261129961</v>
      </c>
      <c r="I39" s="33">
        <f t="shared" si="16"/>
        <v>2.0319553886795322E-2</v>
      </c>
      <c r="J39" s="33">
        <f>IF(H39=0,"",(E39-H39)/ABS(H39))</f>
        <v>0.6335617994710584</v>
      </c>
      <c r="K39" s="31">
        <f>+'COLOMBIA USD'!K39+'EL SALVADOR USD'!K39+'VENEZUELA USD'!K39+'PANAMA USD'!K39</f>
        <v>6836.5116279069771</v>
      </c>
      <c r="L39" s="33">
        <f t="shared" si="5"/>
        <v>2.9779213223806236E-2</v>
      </c>
      <c r="M39" s="31">
        <f>+'COLOMBIA USD'!M39+'EL SALVADOR USD'!M39+'VENEZUELA USD'!M39+'PANAMA USD'!M39</f>
        <v>8280.8515165358822</v>
      </c>
      <c r="N39" s="33">
        <f>+M39/$M$20</f>
        <v>3.2266157064584661E-2</v>
      </c>
      <c r="O39" s="33">
        <f>IF(K39=0,"",(M39-K39)/ABS(K39)+1)</f>
        <v>1.2112685485289074</v>
      </c>
      <c r="P39" s="31">
        <f>+'COLOMBIA USD'!P39+'EL SALVADOR USD'!P39+'VENEZUELA USD'!P39+'PANAMA USD'!P39</f>
        <v>5069.2000261129961</v>
      </c>
      <c r="Q39" s="33">
        <f t="shared" si="8"/>
        <v>2.1377721145731846E-2</v>
      </c>
      <c r="R39" s="33">
        <f>IF(P39=0,"",(M39-P39)/ABS(P39))</f>
        <v>0.6335617994710584</v>
      </c>
      <c r="W39" s="54"/>
      <c r="X39" s="54"/>
      <c r="Y39" s="54"/>
      <c r="Z39" s="54"/>
      <c r="AA39" s="54"/>
      <c r="AB39" s="54"/>
      <c r="AC39" s="54"/>
    </row>
    <row r="40" spans="2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</row>
    <row r="41" spans="2:29" x14ac:dyDescent="0.2">
      <c r="B41" s="3" t="s">
        <v>58</v>
      </c>
      <c r="C41" s="31">
        <f>C36+C38-C39</f>
        <v>53173.37209302323</v>
      </c>
      <c r="D41" s="33">
        <f t="shared" si="13"/>
        <v>0.23161829768900857</v>
      </c>
      <c r="E41" s="31">
        <f>E36+E38-E39</f>
        <v>72997.522368538717</v>
      </c>
      <c r="F41" s="33">
        <f>+E41/$E$20</f>
        <v>0.28443325150383963</v>
      </c>
      <c r="G41" s="33">
        <f>IF(C41=0,"",(E41-C41)/ABS(C41)+1)</f>
        <v>1.3728210097496634</v>
      </c>
      <c r="H41" s="31">
        <f>H36+H38-H39</f>
        <v>106163.10854824608</v>
      </c>
      <c r="I41" s="33">
        <f t="shared" si="16"/>
        <v>0.42554781697772009</v>
      </c>
      <c r="J41" s="33">
        <f>IF(H41=0,"",(E41-H41)/ABS(H41))</f>
        <v>-0.31240217654925939</v>
      </c>
      <c r="K41" s="31">
        <f>K36+K38-K39</f>
        <v>53173.37209302323</v>
      </c>
      <c r="L41" s="33">
        <f t="shared" si="5"/>
        <v>0.23161829768900857</v>
      </c>
      <c r="M41" s="31">
        <f>+'COLOMBIA USD'!M41+'EL SALVADOR USD'!M41+'VENEZUELA USD'!M41+'PANAMA USD'!M41</f>
        <v>21303.2164356877</v>
      </c>
      <c r="N41" s="33">
        <f>+M41/$M$20</f>
        <v>8.3007517538762551E-2</v>
      </c>
      <c r="O41" s="33">
        <f>IF(K41=0,"",(M41-K41)/ABS(K41)+1)</f>
        <v>0.40063692779196247</v>
      </c>
      <c r="P41" s="31">
        <f>+'COLOMBIA USD'!P41+'EL SALVADOR USD'!P41+'VENEZUELA USD'!P41+'PANAMA USD'!P41</f>
        <v>33668.341949221853</v>
      </c>
      <c r="Q41" s="33">
        <f t="shared" si="8"/>
        <v>0.14198540636036183</v>
      </c>
      <c r="R41" s="33">
        <f>IF(P41=0,"",(M41-P41)/ABS(P41))</f>
        <v>-0.36726268053779038</v>
      </c>
    </row>
    <row r="42" spans="2:29" x14ac:dyDescent="0.2">
      <c r="B42" s="3" t="s">
        <v>44</v>
      </c>
      <c r="C42" s="31">
        <f>+'COLOMBIA USD'!C42+'EL SALVADOR USD'!C42+'VENEZUELA USD'!C42+'PANAMA USD'!C42</f>
        <v>7268.8372093023254</v>
      </c>
      <c r="D42" s="33">
        <f t="shared" si="13"/>
        <v>3.1662383526321995E-2</v>
      </c>
      <c r="E42" s="31">
        <f>+'COLOMBIA USD'!E42+'EL SALVADOR USD'!E42+'VENEZUELA USD'!E42+'PANAMA USD'!E42</f>
        <v>13288.951878948441</v>
      </c>
      <c r="F42" s="33">
        <f>+E42/$E$20</f>
        <v>5.1780110740257575E-2</v>
      </c>
      <c r="G42" s="33">
        <f>IF(C42=0,"",(E42-C42)/ABS(C42)+1)</f>
        <v>1.8282087624609131</v>
      </c>
      <c r="H42" s="31">
        <f>+'COLOMBIA USD'!H42+'EL SALVADOR USD'!H42+'VENEZUELA USD'!H42+'PANAMA USD'!H42</f>
        <v>22585.929723241657</v>
      </c>
      <c r="I42" s="33">
        <f t="shared" si="16"/>
        <v>9.0534209289564738E-2</v>
      </c>
      <c r="J42" s="33">
        <f>IF(H42=0,"",(E42-H42)/ABS(H42))</f>
        <v>-0.41162697122564423</v>
      </c>
      <c r="K42" s="31">
        <f>+'COLOMBIA USD'!K42+'EL SALVADOR USD'!K42+'VENEZUELA USD'!K42+'PANAMA USD'!K42</f>
        <v>7268.8372093023254</v>
      </c>
      <c r="L42" s="33">
        <f t="shared" si="5"/>
        <v>3.1662383526321995E-2</v>
      </c>
      <c r="M42" s="31">
        <f>+'COLOMBIA USD'!M42+'EL SALVADOR USD'!M42+'VENEZUELA USD'!M42+'PANAMA USD'!M42</f>
        <v>13288.951878948441</v>
      </c>
      <c r="N42" s="33">
        <f>+M42/$M$20</f>
        <v>5.1780110740257575E-2</v>
      </c>
      <c r="O42" s="33">
        <f>IF(K42=0,"",(M42-K42)/ABS(K42)+1)</f>
        <v>1.8282087624609131</v>
      </c>
      <c r="P42" s="31">
        <f>+'COLOMBIA USD'!P42+'EL SALVADOR USD'!P42+'VENEZUELA USD'!P42+'PANAMA USD'!P42</f>
        <v>22585.929723241657</v>
      </c>
      <c r="Q42" s="33">
        <f t="shared" si="8"/>
        <v>9.5248896266338381E-2</v>
      </c>
      <c r="R42" s="33">
        <f>IF(P42=0,"",(M42-P42)/ABS(P42))</f>
        <v>-0.41162697122564423</v>
      </c>
    </row>
    <row r="43" spans="2:29" x14ac:dyDescent="0.2">
      <c r="B43" s="19" t="s">
        <v>59</v>
      </c>
      <c r="C43" s="68">
        <f>+C41-C42</f>
        <v>45904.534883720902</v>
      </c>
      <c r="D43" s="44">
        <f t="shared" si="13"/>
        <v>0.19995591416268657</v>
      </c>
      <c r="E43" s="68">
        <f>E41-E42</f>
        <v>59708.570489590275</v>
      </c>
      <c r="F43" s="44">
        <f>+E43/$E$20</f>
        <v>0.23265314076358204</v>
      </c>
      <c r="G43" s="44">
        <f>IF(C43=0,"",(E43-C43)/ABS(C43)+1)</f>
        <v>1.3007118063789529</v>
      </c>
      <c r="H43" s="68">
        <f>+H41-H42</f>
        <v>83577.178825004419</v>
      </c>
      <c r="I43" s="44">
        <f t="shared" si="16"/>
        <v>0.33501360768815536</v>
      </c>
      <c r="J43" s="44">
        <f>IF(H43=0,"",(E43-H43)/ABS(H43))</f>
        <v>-0.28558762895539602</v>
      </c>
      <c r="K43" s="68">
        <f>+K41-K42</f>
        <v>45904.534883720902</v>
      </c>
      <c r="L43" s="44">
        <f t="shared" si="5"/>
        <v>0.19995591416268657</v>
      </c>
      <c r="M43" s="68">
        <f>+M41-M42</f>
        <v>8014.2645567392592</v>
      </c>
      <c r="N43" s="44">
        <f>+M43/$M$20</f>
        <v>3.1227406798504984E-2</v>
      </c>
      <c r="O43" s="44">
        <f>IF(K43=0,"",(M43-K43)/ABS(K43)+1)</f>
        <v>0.17458546474852432</v>
      </c>
      <c r="P43" s="68">
        <f>P41-P42</f>
        <v>11082.412225980195</v>
      </c>
      <c r="Q43" s="44">
        <f t="shared" si="8"/>
        <v>4.6736510094023444E-2</v>
      </c>
      <c r="R43" s="44">
        <f>IF(P43=0,"",(M43-P43)/ABS(P43))</f>
        <v>-0.27684836177166933</v>
      </c>
    </row>
    <row r="44" spans="2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</row>
    <row r="45" spans="2:29" x14ac:dyDescent="0.2">
      <c r="B45" s="3" t="s">
        <v>83</v>
      </c>
      <c r="C45" s="31">
        <f>+'COLOMBIA USD'!C45+'EL SALVADOR USD'!C45+'VENEZUELA USD'!C45+'PANAMA USD'!C45</f>
        <v>38331.139534883725</v>
      </c>
      <c r="D45" s="33">
        <f t="shared" si="13"/>
        <v>0.16696690350985871</v>
      </c>
      <c r="E45" s="31">
        <f>+'COLOMBIA USD'!E45+'EL SALVADOR USD'!E45+'VENEZUELA USD'!E45+'PANAMA USD'!E45</f>
        <v>56984.194606158504</v>
      </c>
      <c r="F45" s="33">
        <f>+E45/$E$20</f>
        <v>0.2220376696393577</v>
      </c>
      <c r="G45" s="33">
        <f>IF(C45=0,"",(E45-C45)/ABS(C45)+1)</f>
        <v>1.4866292862047406</v>
      </c>
      <c r="H45" s="31">
        <f>+'COLOMBIA USD'!H45+'EL SALVADOR USD'!H45+'VENEZUELA USD'!H45+'PANAMA USD'!H45</f>
        <v>85118.472970766728</v>
      </c>
      <c r="I45" s="33">
        <f t="shared" si="16"/>
        <v>0.34119178359143176</v>
      </c>
      <c r="J45" s="33">
        <f>IF(H45=0,"",(E45-H45)/ABS(H45))</f>
        <v>-0.33053081643359278</v>
      </c>
      <c r="K45" s="31">
        <f>+'COLOMBIA USD'!K45+'EL SALVADOR USD'!K45+'VENEZUELA USD'!K45+'PANAMA USD'!K45</f>
        <v>38331.139534883725</v>
      </c>
      <c r="L45" s="33">
        <f t="shared" si="5"/>
        <v>0.16696690350985871</v>
      </c>
      <c r="M45" s="31">
        <f>+'COLOMBIA USD'!M45+'EL SALVADOR USD'!M45+'VENEZUELA USD'!M45+'PANAMA USD'!M45</f>
        <v>56984.194606158504</v>
      </c>
      <c r="N45" s="33">
        <f>+M45/$M$20</f>
        <v>0.2220376696393577</v>
      </c>
      <c r="O45" s="33">
        <f>IF(K45=0,"",(M45-K45)/ABS(K45)+1)</f>
        <v>1.4866292862047406</v>
      </c>
      <c r="P45" s="31">
        <f>+'COLOMBIA USD'!P45+'EL SALVADOR USD'!P45+'VENEZUELA USD'!P45+'PANAMA USD'!P45</f>
        <v>85118.472970766728</v>
      </c>
      <c r="Q45" s="33">
        <f t="shared" si="8"/>
        <v>0.35895979052829813</v>
      </c>
      <c r="R45" s="33">
        <f>IF(P45=0,"",(M45-P45)/ABS(P45))</f>
        <v>-0.33053081643359278</v>
      </c>
    </row>
    <row r="46" spans="2:29" x14ac:dyDescent="0.2">
      <c r="B46" s="3" t="s">
        <v>35</v>
      </c>
      <c r="C46" s="31">
        <f>+'COLOMBIA USD'!C46+'EL SALVADOR USD'!C46+'VENEZUELA USD'!C46+'PANAMA USD'!C46</f>
        <v>104685.23255813953</v>
      </c>
      <c r="D46" s="33">
        <f t="shared" si="13"/>
        <v>0.45599920418580436</v>
      </c>
      <c r="E46" s="31">
        <f>+'COLOMBIA USD'!E46+'EL SALVADOR USD'!E46+'VENEZUELA USD'!E46+'PANAMA USD'!E46</f>
        <v>109180.00056853215</v>
      </c>
      <c r="F46" s="33">
        <f>+E46/$E$20</f>
        <v>0.42541748751575215</v>
      </c>
      <c r="G46" s="33">
        <f>IF(C46=0,"",(E46-C46)/ABS(C46)+1)</f>
        <v>1.0429360273703967</v>
      </c>
      <c r="H46" s="31">
        <f>+'COLOMBIA USD'!H46+'EL SALVADOR USD'!H46+'VENEZUELA USD'!H46+'PANAMA USD'!H46</f>
        <v>80824.916730635639</v>
      </c>
      <c r="I46" s="33">
        <f t="shared" si="16"/>
        <v>0.32398134665110312</v>
      </c>
      <c r="J46" s="33">
        <f>IF(H46=0,"",(E46-H46)/ABS(H46))</f>
        <v>0.35082107083877617</v>
      </c>
      <c r="K46" s="31">
        <f>+'COLOMBIA USD'!K46+'EL SALVADOR USD'!K46+'VENEZUELA USD'!K46+'PANAMA USD'!K46</f>
        <v>104685.23255813953</v>
      </c>
      <c r="L46" s="33">
        <f t="shared" si="5"/>
        <v>0.45599920418580436</v>
      </c>
      <c r="M46" s="31">
        <f>+'COLOMBIA USD'!M46+'EL SALVADOR USD'!M46+'VENEZUELA USD'!M46+'PANAMA USD'!M46</f>
        <v>109180.00056853215</v>
      </c>
      <c r="N46" s="33">
        <f>+M46/$M$20</f>
        <v>0.42541748751575215</v>
      </c>
      <c r="O46" s="33">
        <f>IF(K46=0,"",(M46-K46)/ABS(K46)+1)</f>
        <v>1.0429360273703967</v>
      </c>
      <c r="P46" s="31">
        <f>+'COLOMBIA USD'!P46+'EL SALVADOR USD'!P46+'VENEZUELA USD'!P46+'PANAMA USD'!P46</f>
        <v>80824.916730635639</v>
      </c>
      <c r="Q46" s="33">
        <f t="shared" si="8"/>
        <v>0.34085309764732691</v>
      </c>
      <c r="R46" s="33">
        <f>IF(P46=0,"",(M46-P46)/ABS(P46))</f>
        <v>0.35082107083877617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A00A-EC01-4D60-B780-F02752BA37BF}">
  <dimension ref="A6:V594"/>
  <sheetViews>
    <sheetView topLeftCell="A525" workbookViewId="0">
      <selection activeCell="A544" sqref="A544"/>
    </sheetView>
  </sheetViews>
  <sheetFormatPr baseColWidth="10" defaultRowHeight="12" x14ac:dyDescent="0.2"/>
  <cols>
    <col min="1" max="1" width="40.85546875" style="118" customWidth="1"/>
    <col min="2" max="2" width="44.42578125" style="118" customWidth="1"/>
    <col min="3" max="3" width="29.140625" style="118" customWidth="1"/>
    <col min="4" max="4" width="8" style="118" customWidth="1"/>
    <col min="5" max="5" width="22.85546875" style="118" bestFit="1" customWidth="1"/>
    <col min="6" max="6" width="39.7109375" style="118" bestFit="1" customWidth="1"/>
    <col min="7" max="7" width="13.42578125" style="120" bestFit="1" customWidth="1"/>
    <col min="8" max="18" width="30.5703125" style="120" bestFit="1" customWidth="1"/>
    <col min="19" max="19" width="14.140625" style="120" bestFit="1" customWidth="1"/>
    <col min="20" max="22" width="11.42578125" style="120"/>
    <col min="23" max="16384" width="11.42578125" style="118"/>
  </cols>
  <sheetData>
    <row r="6" spans="1:2" x14ac:dyDescent="0.2">
      <c r="A6" s="116" t="s">
        <v>64</v>
      </c>
      <c r="B6" s="117" t="s">
        <v>154</v>
      </c>
    </row>
    <row r="7" spans="1:2" x14ac:dyDescent="0.2">
      <c r="A7" s="116" t="s">
        <v>66</v>
      </c>
      <c r="B7" s="117" t="s">
        <v>155</v>
      </c>
    </row>
    <row r="8" spans="1:2" x14ac:dyDescent="0.2">
      <c r="A8" s="116" t="s">
        <v>68</v>
      </c>
      <c r="B8" s="117" t="s">
        <v>156</v>
      </c>
    </row>
    <row r="9" spans="1:2" x14ac:dyDescent="0.2">
      <c r="A9" s="116" t="s">
        <v>77</v>
      </c>
      <c r="B9" s="117" t="s">
        <v>157</v>
      </c>
    </row>
    <row r="10" spans="1:2" x14ac:dyDescent="0.2">
      <c r="A10" s="116" t="s">
        <v>158</v>
      </c>
      <c r="B10" s="117" t="s">
        <v>159</v>
      </c>
    </row>
    <row r="11" spans="1:2" x14ac:dyDescent="0.2">
      <c r="A11" s="116">
        <v>4170250500</v>
      </c>
      <c r="B11" s="117" t="s">
        <v>160</v>
      </c>
    </row>
    <row r="12" spans="1:2" x14ac:dyDescent="0.2">
      <c r="A12" s="116" t="s">
        <v>79</v>
      </c>
      <c r="B12" s="117" t="s">
        <v>161</v>
      </c>
    </row>
    <row r="13" spans="1:2" x14ac:dyDescent="0.2">
      <c r="A13" s="116" t="s">
        <v>162</v>
      </c>
      <c r="B13" s="117" t="s">
        <v>163</v>
      </c>
    </row>
    <row r="14" spans="1:2" x14ac:dyDescent="0.2">
      <c r="A14" s="116" t="s">
        <v>73</v>
      </c>
      <c r="B14" s="117" t="s">
        <v>164</v>
      </c>
    </row>
    <row r="15" spans="1:2" x14ac:dyDescent="0.2">
      <c r="A15" s="116">
        <v>4155951000</v>
      </c>
      <c r="B15" s="117" t="s">
        <v>165</v>
      </c>
    </row>
    <row r="16" spans="1:2" x14ac:dyDescent="0.2">
      <c r="A16" s="116">
        <v>4155951500</v>
      </c>
      <c r="B16" s="117" t="s">
        <v>166</v>
      </c>
    </row>
    <row r="33" spans="1:19" x14ac:dyDescent="0.2">
      <c r="B33" s="119" t="s">
        <v>167</v>
      </c>
      <c r="D33" s="118" t="s">
        <v>168</v>
      </c>
    </row>
    <row r="34" spans="1:19" x14ac:dyDescent="0.2">
      <c r="A34" s="118" t="s">
        <v>169</v>
      </c>
      <c r="B34" s="119" t="s">
        <v>170</v>
      </c>
    </row>
    <row r="35" spans="1:19" x14ac:dyDescent="0.2">
      <c r="A35" s="118" t="s">
        <v>171</v>
      </c>
      <c r="B35" s="119" t="s">
        <v>172</v>
      </c>
    </row>
    <row r="36" spans="1:19" x14ac:dyDescent="0.2">
      <c r="A36" s="118" t="s">
        <v>173</v>
      </c>
      <c r="B36" s="119" t="s">
        <v>174</v>
      </c>
    </row>
    <row r="37" spans="1:19" x14ac:dyDescent="0.2">
      <c r="A37" s="118" t="s">
        <v>175</v>
      </c>
      <c r="B37" s="119" t="s">
        <v>176</v>
      </c>
    </row>
    <row r="38" spans="1:19" x14ac:dyDescent="0.2">
      <c r="B38" s="119"/>
    </row>
    <row r="39" spans="1:19" x14ac:dyDescent="0.2">
      <c r="B39" s="119"/>
    </row>
    <row r="40" spans="1:19" x14ac:dyDescent="0.2">
      <c r="B40" s="119"/>
    </row>
    <row r="41" spans="1:19" x14ac:dyDescent="0.2">
      <c r="B41" s="119" t="s">
        <v>177</v>
      </c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</row>
    <row r="42" spans="1:19" x14ac:dyDescent="0.2">
      <c r="A42" s="121"/>
      <c r="B42" s="118" t="s">
        <v>178</v>
      </c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</row>
    <row r="43" spans="1:19" x14ac:dyDescent="0.2">
      <c r="A43" s="121" t="s">
        <v>179</v>
      </c>
      <c r="B43" s="117" t="s">
        <v>180</v>
      </c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</row>
    <row r="44" spans="1:19" x14ac:dyDescent="0.2">
      <c r="A44" s="118" t="s">
        <v>181</v>
      </c>
      <c r="B44" s="117" t="s">
        <v>182</v>
      </c>
      <c r="G44" s="118"/>
    </row>
    <row r="45" spans="1:19" x14ac:dyDescent="0.2">
      <c r="A45" s="121" t="s">
        <v>183</v>
      </c>
      <c r="B45" s="117" t="s">
        <v>184</v>
      </c>
      <c r="G45" s="118"/>
    </row>
    <row r="46" spans="1:19" x14ac:dyDescent="0.2">
      <c r="A46" s="116">
        <v>5295400000</v>
      </c>
      <c r="B46" s="117" t="s">
        <v>185</v>
      </c>
      <c r="G46" s="118"/>
    </row>
    <row r="47" spans="1:19" x14ac:dyDescent="0.2">
      <c r="A47" s="116">
        <v>5235500000</v>
      </c>
      <c r="B47" s="117" t="s">
        <v>186</v>
      </c>
    </row>
    <row r="48" spans="1:19" x14ac:dyDescent="0.2">
      <c r="A48" s="121" t="s">
        <v>187</v>
      </c>
      <c r="B48" s="117" t="s">
        <v>188</v>
      </c>
    </row>
    <row r="49" spans="1:5" x14ac:dyDescent="0.2">
      <c r="A49" s="121" t="s">
        <v>189</v>
      </c>
      <c r="B49" s="117" t="s">
        <v>190</v>
      </c>
    </row>
    <row r="50" spans="1:5" x14ac:dyDescent="0.2">
      <c r="A50" s="121" t="s">
        <v>191</v>
      </c>
      <c r="B50" s="117" t="s">
        <v>192</v>
      </c>
    </row>
    <row r="51" spans="1:5" x14ac:dyDescent="0.2">
      <c r="A51" s="122">
        <v>5295950300</v>
      </c>
      <c r="B51" s="117" t="s">
        <v>193</v>
      </c>
    </row>
    <row r="52" spans="1:5" x14ac:dyDescent="0.2">
      <c r="A52" s="121" t="s">
        <v>194</v>
      </c>
      <c r="B52" s="117" t="s">
        <v>195</v>
      </c>
    </row>
    <row r="53" spans="1:5" x14ac:dyDescent="0.2">
      <c r="A53" s="116">
        <v>5240200100</v>
      </c>
      <c r="B53" s="117" t="s">
        <v>196</v>
      </c>
    </row>
    <row r="54" spans="1:5" x14ac:dyDescent="0.2">
      <c r="A54" s="116">
        <v>5235150000</v>
      </c>
      <c r="B54" s="117" t="s">
        <v>197</v>
      </c>
    </row>
    <row r="55" spans="1:5" x14ac:dyDescent="0.2">
      <c r="A55" s="116">
        <v>5235100000</v>
      </c>
      <c r="B55" s="117" t="s">
        <v>198</v>
      </c>
    </row>
    <row r="56" spans="1:5" x14ac:dyDescent="0.2">
      <c r="A56" s="121" t="s">
        <v>199</v>
      </c>
      <c r="B56" s="117" t="s">
        <v>200</v>
      </c>
    </row>
    <row r="57" spans="1:5" x14ac:dyDescent="0.2">
      <c r="A57" s="116">
        <v>5299100000</v>
      </c>
      <c r="B57" s="117" t="s">
        <v>201</v>
      </c>
    </row>
    <row r="58" spans="1:5" x14ac:dyDescent="0.2">
      <c r="A58" s="122" t="s">
        <v>202</v>
      </c>
      <c r="B58" s="123" t="s">
        <v>203</v>
      </c>
    </row>
    <row r="59" spans="1:5" x14ac:dyDescent="0.2">
      <c r="A59" s="121"/>
      <c r="B59" s="123" t="s">
        <v>204</v>
      </c>
      <c r="C59" s="118" t="str">
        <f>+Paramet!B4</f>
        <v>202401</v>
      </c>
    </row>
    <row r="60" spans="1:5" x14ac:dyDescent="0.2">
      <c r="A60" s="121" t="s">
        <v>205</v>
      </c>
      <c r="B60" s="117" t="s">
        <v>206</v>
      </c>
      <c r="C60" s="124"/>
      <c r="D60" s="124"/>
      <c r="E60" s="125"/>
    </row>
    <row r="61" spans="1:5" x14ac:dyDescent="0.2">
      <c r="A61" s="118" t="s">
        <v>207</v>
      </c>
      <c r="B61" s="117" t="s">
        <v>208</v>
      </c>
      <c r="C61" s="124"/>
      <c r="D61" s="124"/>
      <c r="E61" s="125"/>
    </row>
    <row r="62" spans="1:5" x14ac:dyDescent="0.2">
      <c r="A62" s="121" t="s">
        <v>209</v>
      </c>
      <c r="B62" s="117" t="s">
        <v>210</v>
      </c>
      <c r="C62" s="124"/>
      <c r="D62" s="124"/>
      <c r="E62" s="125"/>
    </row>
    <row r="63" spans="1:5" x14ac:dyDescent="0.2">
      <c r="A63" s="121" t="s">
        <v>211</v>
      </c>
      <c r="B63" s="117" t="s">
        <v>212</v>
      </c>
      <c r="C63" s="124"/>
      <c r="D63" s="124"/>
      <c r="E63" s="125"/>
    </row>
    <row r="64" spans="1:5" x14ac:dyDescent="0.2">
      <c r="A64" s="121" t="s">
        <v>213</v>
      </c>
      <c r="B64" s="117" t="s">
        <v>214</v>
      </c>
      <c r="C64" s="124"/>
      <c r="D64" s="124"/>
      <c r="E64" s="125"/>
    </row>
    <row r="65" spans="1:5" x14ac:dyDescent="0.2">
      <c r="A65" s="121" t="s">
        <v>215</v>
      </c>
      <c r="B65" s="117" t="s">
        <v>216</v>
      </c>
      <c r="C65" s="124"/>
      <c r="D65" s="124"/>
      <c r="E65" s="125"/>
    </row>
    <row r="66" spans="1:5" x14ac:dyDescent="0.2">
      <c r="A66" s="121" t="s">
        <v>217</v>
      </c>
      <c r="B66" s="117" t="s">
        <v>218</v>
      </c>
      <c r="C66" s="124"/>
      <c r="D66" s="124"/>
      <c r="E66" s="125"/>
    </row>
    <row r="67" spans="1:5" x14ac:dyDescent="0.2">
      <c r="A67" s="121" t="s">
        <v>219</v>
      </c>
      <c r="B67" s="117" t="s">
        <v>220</v>
      </c>
      <c r="C67" s="124"/>
      <c r="D67" s="124"/>
      <c r="E67" s="125"/>
    </row>
    <row r="68" spans="1:5" x14ac:dyDescent="0.2">
      <c r="A68" s="116">
        <v>5265100000</v>
      </c>
      <c r="B68" s="117" t="s">
        <v>221</v>
      </c>
      <c r="C68" s="124"/>
      <c r="D68" s="124"/>
      <c r="E68" s="125"/>
    </row>
    <row r="69" spans="1:5" x14ac:dyDescent="0.2">
      <c r="A69" s="121" t="s">
        <v>222</v>
      </c>
      <c r="B69" s="117" t="s">
        <v>223</v>
      </c>
      <c r="C69" s="124"/>
      <c r="D69" s="124"/>
      <c r="E69" s="125"/>
    </row>
    <row r="70" spans="1:5" x14ac:dyDescent="0.2">
      <c r="A70" s="121" t="s">
        <v>224</v>
      </c>
      <c r="B70" s="117" t="s">
        <v>225</v>
      </c>
      <c r="C70" s="124"/>
      <c r="D70" s="124"/>
      <c r="E70" s="125"/>
    </row>
    <row r="71" spans="1:5" x14ac:dyDescent="0.2">
      <c r="A71" s="121" t="s">
        <v>226</v>
      </c>
      <c r="B71" s="117" t="s">
        <v>227</v>
      </c>
      <c r="C71" s="124"/>
      <c r="D71" s="124"/>
      <c r="E71" s="125"/>
    </row>
    <row r="72" spans="1:5" x14ac:dyDescent="0.2">
      <c r="A72" s="121" t="s">
        <v>228</v>
      </c>
      <c r="B72" s="117" t="s">
        <v>229</v>
      </c>
      <c r="C72" s="124"/>
      <c r="D72" s="124"/>
      <c r="E72" s="125"/>
    </row>
    <row r="73" spans="1:5" x14ac:dyDescent="0.2">
      <c r="A73" s="116" t="s">
        <v>230</v>
      </c>
      <c r="B73" s="117" t="s">
        <v>231</v>
      </c>
      <c r="C73" s="124"/>
      <c r="D73" s="124"/>
      <c r="E73" s="125"/>
    </row>
    <row r="74" spans="1:5" x14ac:dyDescent="0.2">
      <c r="A74" s="121" t="s">
        <v>232</v>
      </c>
      <c r="B74" s="117" t="s">
        <v>233</v>
      </c>
      <c r="C74" s="124"/>
      <c r="D74" s="124"/>
      <c r="E74" s="125"/>
    </row>
    <row r="75" spans="1:5" x14ac:dyDescent="0.2">
      <c r="A75" s="116">
        <v>5265150000</v>
      </c>
      <c r="B75" s="117" t="s">
        <v>234</v>
      </c>
      <c r="C75" s="124"/>
      <c r="D75" s="124"/>
      <c r="E75" s="125"/>
    </row>
    <row r="76" spans="1:5" x14ac:dyDescent="0.2">
      <c r="A76" s="121" t="s">
        <v>235</v>
      </c>
      <c r="B76" s="117" t="s">
        <v>236</v>
      </c>
      <c r="C76" s="124"/>
      <c r="D76" s="124"/>
      <c r="E76" s="125"/>
    </row>
    <row r="77" spans="1:5" x14ac:dyDescent="0.2">
      <c r="A77" s="121" t="s">
        <v>237</v>
      </c>
      <c r="B77" s="117" t="s">
        <v>238</v>
      </c>
      <c r="C77" s="124"/>
      <c r="D77" s="124"/>
      <c r="E77" s="125"/>
    </row>
    <row r="78" spans="1:5" x14ac:dyDescent="0.2">
      <c r="A78" s="121" t="s">
        <v>239</v>
      </c>
      <c r="B78" s="117" t="s">
        <v>240</v>
      </c>
      <c r="C78" s="124"/>
      <c r="D78" s="124"/>
      <c r="E78" s="125"/>
    </row>
    <row r="79" spans="1:5" x14ac:dyDescent="0.2">
      <c r="A79" s="121" t="s">
        <v>241</v>
      </c>
      <c r="B79" s="117" t="s">
        <v>242</v>
      </c>
      <c r="C79" s="124"/>
      <c r="D79" s="124"/>
      <c r="E79" s="125"/>
    </row>
    <row r="80" spans="1:5" x14ac:dyDescent="0.2">
      <c r="A80" s="121" t="s">
        <v>243</v>
      </c>
      <c r="B80" s="117" t="s">
        <v>244</v>
      </c>
      <c r="C80" s="124"/>
      <c r="D80" s="124"/>
      <c r="E80" s="125"/>
    </row>
    <row r="81" spans="1:5" x14ac:dyDescent="0.2">
      <c r="A81" s="121" t="s">
        <v>245</v>
      </c>
      <c r="B81" s="117" t="s">
        <v>246</v>
      </c>
      <c r="C81" s="124"/>
      <c r="D81" s="124"/>
      <c r="E81" s="125"/>
    </row>
    <row r="82" spans="1:5" x14ac:dyDescent="0.2">
      <c r="A82" s="116" t="s">
        <v>247</v>
      </c>
      <c r="B82" s="117" t="s">
        <v>248</v>
      </c>
      <c r="C82" s="124"/>
      <c r="D82" s="124"/>
      <c r="E82" s="125"/>
    </row>
    <row r="83" spans="1:5" x14ac:dyDescent="0.2">
      <c r="A83" s="121" t="s">
        <v>249</v>
      </c>
      <c r="B83" s="117" t="s">
        <v>250</v>
      </c>
      <c r="C83" s="124"/>
      <c r="D83" s="124"/>
      <c r="E83" s="125"/>
    </row>
    <row r="84" spans="1:5" x14ac:dyDescent="0.2">
      <c r="A84" s="121" t="s">
        <v>251</v>
      </c>
      <c r="B84" s="117" t="s">
        <v>252</v>
      </c>
      <c r="C84" s="124"/>
      <c r="D84" s="124"/>
      <c r="E84" s="125"/>
    </row>
    <row r="85" spans="1:5" x14ac:dyDescent="0.2">
      <c r="A85" s="121" t="s">
        <v>253</v>
      </c>
      <c r="B85" s="117" t="s">
        <v>254</v>
      </c>
      <c r="C85" s="124"/>
      <c r="D85" s="124"/>
      <c r="E85" s="125"/>
    </row>
    <row r="86" spans="1:5" x14ac:dyDescent="0.2">
      <c r="A86" s="126" t="s">
        <v>255</v>
      </c>
      <c r="B86" s="117" t="s">
        <v>256</v>
      </c>
      <c r="C86" s="124"/>
      <c r="D86" s="124"/>
      <c r="E86" s="125"/>
    </row>
    <row r="87" spans="1:5" x14ac:dyDescent="0.2">
      <c r="A87" s="121" t="s">
        <v>257</v>
      </c>
      <c r="B87" s="117" t="s">
        <v>258</v>
      </c>
      <c r="C87" s="124"/>
      <c r="D87" s="124"/>
      <c r="E87" s="125"/>
    </row>
    <row r="88" spans="1:5" x14ac:dyDescent="0.2">
      <c r="A88" s="121"/>
      <c r="B88" s="123" t="s">
        <v>259</v>
      </c>
      <c r="C88" s="125"/>
      <c r="D88" s="127"/>
      <c r="E88" s="128"/>
    </row>
    <row r="89" spans="1:5" x14ac:dyDescent="0.2">
      <c r="A89" s="121" t="s">
        <v>260</v>
      </c>
      <c r="B89" s="117" t="s">
        <v>261</v>
      </c>
    </row>
    <row r="90" spans="1:5" x14ac:dyDescent="0.2">
      <c r="A90" s="116">
        <v>5105180100</v>
      </c>
      <c r="B90" s="117" t="s">
        <v>262</v>
      </c>
    </row>
    <row r="91" spans="1:5" x14ac:dyDescent="0.2">
      <c r="A91" s="118" t="s">
        <v>263</v>
      </c>
      <c r="B91" s="117" t="s">
        <v>264</v>
      </c>
    </row>
    <row r="92" spans="1:5" x14ac:dyDescent="0.2">
      <c r="A92" s="116">
        <v>5105480100</v>
      </c>
      <c r="B92" s="117" t="s">
        <v>265</v>
      </c>
    </row>
    <row r="93" spans="1:5" x14ac:dyDescent="0.2">
      <c r="A93" s="121" t="s">
        <v>266</v>
      </c>
      <c r="B93" s="117" t="s">
        <v>267</v>
      </c>
    </row>
    <row r="94" spans="1:5" x14ac:dyDescent="0.2">
      <c r="A94" s="121" t="s">
        <v>268</v>
      </c>
      <c r="B94" s="117" t="s">
        <v>269</v>
      </c>
    </row>
    <row r="95" spans="1:5" x14ac:dyDescent="0.2">
      <c r="A95" s="121"/>
      <c r="B95" s="123" t="s">
        <v>270</v>
      </c>
    </row>
    <row r="96" spans="1:5" x14ac:dyDescent="0.2">
      <c r="A96" s="116">
        <v>5105180000</v>
      </c>
      <c r="B96" s="117" t="s">
        <v>271</v>
      </c>
      <c r="C96" s="124"/>
      <c r="E96" s="125"/>
    </row>
    <row r="97" spans="1:5" x14ac:dyDescent="0.2">
      <c r="A97" s="121" t="s">
        <v>272</v>
      </c>
      <c r="B97" s="117" t="s">
        <v>273</v>
      </c>
      <c r="C97" s="124"/>
      <c r="E97" s="125"/>
    </row>
    <row r="98" spans="1:5" x14ac:dyDescent="0.2">
      <c r="A98" s="121" t="s">
        <v>274</v>
      </c>
      <c r="B98" s="117" t="s">
        <v>275</v>
      </c>
      <c r="C98" s="124"/>
      <c r="E98" s="125"/>
    </row>
    <row r="99" spans="1:5" x14ac:dyDescent="0.2">
      <c r="A99" s="121" t="s">
        <v>276</v>
      </c>
      <c r="B99" s="117" t="s">
        <v>277</v>
      </c>
      <c r="C99" s="124"/>
      <c r="E99" s="125"/>
    </row>
    <row r="100" spans="1:5" x14ac:dyDescent="0.2">
      <c r="A100" s="116" t="s">
        <v>278</v>
      </c>
      <c r="B100" s="117" t="s">
        <v>279</v>
      </c>
      <c r="C100" s="124"/>
      <c r="E100" s="125"/>
    </row>
    <row r="101" spans="1:5" x14ac:dyDescent="0.2">
      <c r="A101" s="121" t="s">
        <v>280</v>
      </c>
      <c r="B101" s="117" t="s">
        <v>281</v>
      </c>
      <c r="C101" s="124"/>
      <c r="E101" s="125"/>
    </row>
    <row r="102" spans="1:5" x14ac:dyDescent="0.2">
      <c r="A102" s="121" t="s">
        <v>282</v>
      </c>
      <c r="B102" s="117" t="s">
        <v>283</v>
      </c>
      <c r="C102" s="124"/>
      <c r="E102" s="125"/>
    </row>
    <row r="103" spans="1:5" x14ac:dyDescent="0.2">
      <c r="A103" s="116" t="s">
        <v>284</v>
      </c>
      <c r="B103" s="117" t="s">
        <v>285</v>
      </c>
      <c r="C103" s="124"/>
      <c r="E103" s="125"/>
    </row>
    <row r="104" spans="1:5" x14ac:dyDescent="0.2">
      <c r="A104" s="116" t="s">
        <v>286</v>
      </c>
      <c r="B104" s="117" t="s">
        <v>287</v>
      </c>
      <c r="C104" s="124"/>
      <c r="E104" s="125"/>
    </row>
    <row r="105" spans="1:5" x14ac:dyDescent="0.2">
      <c r="A105" s="116">
        <v>5120100000</v>
      </c>
      <c r="B105" s="117" t="s">
        <v>288</v>
      </c>
      <c r="C105" s="124"/>
      <c r="E105" s="125"/>
    </row>
    <row r="106" spans="1:5" x14ac:dyDescent="0.2">
      <c r="A106" s="121" t="s">
        <v>289</v>
      </c>
      <c r="B106" s="117" t="s">
        <v>290</v>
      </c>
      <c r="C106" s="124"/>
      <c r="E106" s="125"/>
    </row>
    <row r="107" spans="1:5" x14ac:dyDescent="0.2">
      <c r="A107" s="121" t="s">
        <v>291</v>
      </c>
      <c r="B107" s="117" t="s">
        <v>292</v>
      </c>
      <c r="C107" s="124"/>
      <c r="E107" s="125"/>
    </row>
    <row r="108" spans="1:5" x14ac:dyDescent="0.2">
      <c r="A108" s="121" t="s">
        <v>293</v>
      </c>
      <c r="B108" s="117" t="s">
        <v>294</v>
      </c>
      <c r="C108" s="124"/>
      <c r="E108" s="125"/>
    </row>
    <row r="109" spans="1:5" x14ac:dyDescent="0.2">
      <c r="A109" s="121" t="s">
        <v>295</v>
      </c>
      <c r="B109" s="117" t="s">
        <v>296</v>
      </c>
      <c r="C109" s="124"/>
      <c r="E109" s="125"/>
    </row>
    <row r="110" spans="1:5" x14ac:dyDescent="0.2">
      <c r="A110" s="121" t="s">
        <v>297</v>
      </c>
      <c r="B110" s="117" t="s">
        <v>298</v>
      </c>
      <c r="C110" s="124"/>
      <c r="E110" s="125"/>
    </row>
    <row r="111" spans="1:5" x14ac:dyDescent="0.2">
      <c r="A111" s="121" t="s">
        <v>299</v>
      </c>
      <c r="B111" s="117" t="s">
        <v>300</v>
      </c>
      <c r="C111" s="124"/>
      <c r="E111" s="125"/>
    </row>
    <row r="112" spans="1:5" x14ac:dyDescent="0.2">
      <c r="A112" s="121" t="s">
        <v>301</v>
      </c>
      <c r="B112" s="117" t="s">
        <v>302</v>
      </c>
      <c r="C112" s="124"/>
      <c r="E112" s="125"/>
    </row>
    <row r="113" spans="1:11" x14ac:dyDescent="0.2">
      <c r="A113" s="121" t="s">
        <v>303</v>
      </c>
      <c r="B113" s="117" t="s">
        <v>304</v>
      </c>
      <c r="C113" s="124"/>
      <c r="E113" s="125"/>
    </row>
    <row r="114" spans="1:11" x14ac:dyDescent="0.2">
      <c r="A114" s="121" t="s">
        <v>305</v>
      </c>
      <c r="B114" s="117" t="s">
        <v>306</v>
      </c>
      <c r="C114" s="124"/>
      <c r="E114" s="125"/>
    </row>
    <row r="115" spans="1:11" x14ac:dyDescent="0.2">
      <c r="A115" s="121" t="s">
        <v>307</v>
      </c>
      <c r="B115" s="117" t="s">
        <v>308</v>
      </c>
      <c r="C115" s="124"/>
      <c r="E115" s="125"/>
    </row>
    <row r="116" spans="1:11" x14ac:dyDescent="0.2">
      <c r="A116" s="116" t="s">
        <v>309</v>
      </c>
      <c r="B116" s="117" t="s">
        <v>310</v>
      </c>
      <c r="C116" s="124"/>
      <c r="E116" s="125"/>
    </row>
    <row r="117" spans="1:11" x14ac:dyDescent="0.2">
      <c r="A117" s="121" t="s">
        <v>311</v>
      </c>
      <c r="B117" s="117" t="s">
        <v>312</v>
      </c>
      <c r="C117" s="124"/>
      <c r="E117" s="125"/>
    </row>
    <row r="118" spans="1:11" x14ac:dyDescent="0.2">
      <c r="A118" s="121" t="s">
        <v>313</v>
      </c>
      <c r="B118" s="117" t="s">
        <v>314</v>
      </c>
      <c r="C118" s="124"/>
      <c r="E118" s="125"/>
    </row>
    <row r="119" spans="1:11" x14ac:dyDescent="0.2">
      <c r="A119" s="121" t="s">
        <v>315</v>
      </c>
      <c r="B119" s="117" t="s">
        <v>316</v>
      </c>
      <c r="C119" s="124"/>
      <c r="E119" s="125"/>
    </row>
    <row r="120" spans="1:11" x14ac:dyDescent="0.2">
      <c r="A120" s="121" t="s">
        <v>317</v>
      </c>
      <c r="B120" s="117" t="s">
        <v>318</v>
      </c>
      <c r="C120" s="124"/>
      <c r="E120" s="125"/>
    </row>
    <row r="121" spans="1:11" x14ac:dyDescent="0.2">
      <c r="A121" s="116" t="s">
        <v>319</v>
      </c>
      <c r="B121" s="117" t="s">
        <v>320</v>
      </c>
      <c r="C121" s="124"/>
      <c r="E121" s="125"/>
    </row>
    <row r="122" spans="1:11" x14ac:dyDescent="0.2">
      <c r="A122" s="121" t="s">
        <v>321</v>
      </c>
      <c r="B122" s="117" t="s">
        <v>322</v>
      </c>
      <c r="C122" s="124"/>
      <c r="E122" s="125"/>
    </row>
    <row r="123" spans="1:11" x14ac:dyDescent="0.2">
      <c r="A123" s="121" t="s">
        <v>323</v>
      </c>
      <c r="B123" s="117" t="s">
        <v>324</v>
      </c>
      <c r="C123" s="124"/>
      <c r="E123" s="125"/>
    </row>
    <row r="124" spans="1:11" x14ac:dyDescent="0.2">
      <c r="A124" s="121" t="s">
        <v>325</v>
      </c>
      <c r="B124" s="117" t="s">
        <v>326</v>
      </c>
      <c r="C124" s="124"/>
      <c r="E124" s="125"/>
    </row>
    <row r="125" spans="1:11" x14ac:dyDescent="0.2">
      <c r="A125" s="121" t="s">
        <v>327</v>
      </c>
      <c r="B125" s="117" t="s">
        <v>328</v>
      </c>
      <c r="C125" s="124"/>
      <c r="E125" s="125"/>
    </row>
    <row r="126" spans="1:11" x14ac:dyDescent="0.2">
      <c r="A126" s="121" t="s">
        <v>329</v>
      </c>
      <c r="B126" s="117" t="s">
        <v>330</v>
      </c>
      <c r="C126" s="124"/>
      <c r="E126" s="118" t="s">
        <v>331</v>
      </c>
      <c r="G126" s="118"/>
      <c r="H126" s="118"/>
      <c r="I126" s="118"/>
      <c r="J126" s="118"/>
      <c r="K126" s="118"/>
    </row>
    <row r="127" spans="1:11" x14ac:dyDescent="0.2">
      <c r="A127" s="121"/>
      <c r="B127" s="123" t="s">
        <v>332</v>
      </c>
      <c r="C127" s="125"/>
      <c r="D127" s="125"/>
      <c r="E127" s="118" t="s">
        <v>333</v>
      </c>
      <c r="F127" s="118" t="s">
        <v>334</v>
      </c>
      <c r="G127" s="118" t="s">
        <v>112</v>
      </c>
      <c r="H127" s="118"/>
      <c r="I127" s="118"/>
      <c r="J127" s="118"/>
      <c r="K127" s="118"/>
    </row>
    <row r="128" spans="1:11" x14ac:dyDescent="0.2">
      <c r="A128" s="121" t="s">
        <v>335</v>
      </c>
      <c r="B128" s="117" t="s">
        <v>336</v>
      </c>
      <c r="E128" s="118" t="s">
        <v>337</v>
      </c>
      <c r="F128" s="118" t="s">
        <v>338</v>
      </c>
      <c r="G128" s="129">
        <v>-2083333</v>
      </c>
      <c r="H128" s="118"/>
      <c r="I128" s="118"/>
      <c r="J128" s="118"/>
      <c r="K128" s="118"/>
    </row>
    <row r="129" spans="1:11" x14ac:dyDescent="0.2">
      <c r="A129" s="121" t="s">
        <v>339</v>
      </c>
      <c r="B129" s="117" t="s">
        <v>340</v>
      </c>
      <c r="E129" s="118" t="s">
        <v>341</v>
      </c>
      <c r="G129" s="129">
        <v>-2083333</v>
      </c>
      <c r="H129" s="118"/>
      <c r="I129" s="118"/>
      <c r="J129" s="118"/>
      <c r="K129" s="118"/>
    </row>
    <row r="130" spans="1:11" x14ac:dyDescent="0.2">
      <c r="A130" s="116">
        <v>5110358000</v>
      </c>
      <c r="B130" s="117" t="s">
        <v>342</v>
      </c>
      <c r="G130" s="118"/>
      <c r="H130" s="118"/>
      <c r="I130" s="118"/>
      <c r="J130" s="118"/>
      <c r="K130" s="118"/>
    </row>
    <row r="131" spans="1:11" x14ac:dyDescent="0.2">
      <c r="A131" s="121"/>
      <c r="B131" s="123" t="s">
        <v>343</v>
      </c>
      <c r="G131" s="118"/>
      <c r="H131" s="118"/>
      <c r="I131" s="118"/>
      <c r="J131" s="118"/>
      <c r="K131" s="118"/>
    </row>
    <row r="132" spans="1:11" x14ac:dyDescent="0.2">
      <c r="A132" s="121" t="s">
        <v>344</v>
      </c>
      <c r="B132" s="117" t="s">
        <v>345</v>
      </c>
      <c r="G132" s="118"/>
      <c r="H132" s="118"/>
      <c r="I132" s="118"/>
      <c r="J132" s="118"/>
      <c r="K132" s="118"/>
    </row>
    <row r="133" spans="1:11" x14ac:dyDescent="0.2">
      <c r="A133" s="121" t="s">
        <v>346</v>
      </c>
      <c r="B133" s="117" t="s">
        <v>347</v>
      </c>
      <c r="G133" s="118"/>
      <c r="H133" s="118"/>
      <c r="I133" s="118"/>
      <c r="J133" s="118"/>
      <c r="K133" s="118"/>
    </row>
    <row r="134" spans="1:11" x14ac:dyDescent="0.2">
      <c r="A134" s="121" t="s">
        <v>348</v>
      </c>
      <c r="B134" s="117" t="s">
        <v>349</v>
      </c>
      <c r="G134" s="118"/>
      <c r="H134" s="118"/>
      <c r="I134" s="118"/>
      <c r="J134" s="118"/>
      <c r="K134" s="118"/>
    </row>
    <row r="135" spans="1:11" x14ac:dyDescent="0.2">
      <c r="A135" s="121" t="s">
        <v>350</v>
      </c>
      <c r="B135" s="117" t="s">
        <v>351</v>
      </c>
      <c r="G135" s="118"/>
      <c r="H135" s="118"/>
      <c r="I135" s="118"/>
      <c r="J135" s="118"/>
      <c r="K135" s="118"/>
    </row>
    <row r="136" spans="1:11" x14ac:dyDescent="0.2">
      <c r="G136" s="118"/>
      <c r="H136" s="118"/>
      <c r="I136" s="118"/>
      <c r="J136" s="118"/>
      <c r="K136" s="118"/>
    </row>
    <row r="137" spans="1:11" x14ac:dyDescent="0.2">
      <c r="A137" s="121"/>
      <c r="B137" s="123" t="s">
        <v>352</v>
      </c>
      <c r="G137" s="118"/>
      <c r="H137" s="118"/>
      <c r="I137" s="118"/>
      <c r="J137" s="118"/>
      <c r="K137" s="118"/>
    </row>
    <row r="138" spans="1:11" x14ac:dyDescent="0.2">
      <c r="A138" s="121" t="s">
        <v>353</v>
      </c>
      <c r="B138" s="117" t="s">
        <v>354</v>
      </c>
      <c r="G138" s="118"/>
      <c r="H138" s="118"/>
      <c r="I138" s="118"/>
      <c r="J138" s="118"/>
      <c r="K138" s="118"/>
    </row>
    <row r="139" spans="1:11" x14ac:dyDescent="0.2">
      <c r="A139" s="121" t="s">
        <v>355</v>
      </c>
      <c r="B139" s="117" t="s">
        <v>356</v>
      </c>
      <c r="G139" s="118"/>
      <c r="H139" s="118"/>
      <c r="I139" s="118"/>
      <c r="J139" s="118"/>
      <c r="K139" s="118"/>
    </row>
    <row r="140" spans="1:11" x14ac:dyDescent="0.2">
      <c r="A140" s="121" t="s">
        <v>357</v>
      </c>
      <c r="B140" s="117" t="s">
        <v>358</v>
      </c>
      <c r="G140" s="118"/>
      <c r="H140" s="118"/>
      <c r="I140" s="118"/>
      <c r="J140" s="118"/>
      <c r="K140" s="118"/>
    </row>
    <row r="141" spans="1:11" x14ac:dyDescent="0.2">
      <c r="A141" s="130" t="s">
        <v>359</v>
      </c>
      <c r="B141" s="117" t="s">
        <v>360</v>
      </c>
      <c r="G141" s="118"/>
    </row>
    <row r="142" spans="1:11" x14ac:dyDescent="0.2">
      <c r="A142" s="130"/>
      <c r="B142" s="123" t="s">
        <v>361</v>
      </c>
      <c r="G142" s="118"/>
    </row>
    <row r="143" spans="1:11" x14ac:dyDescent="0.2">
      <c r="A143" s="121" t="s">
        <v>362</v>
      </c>
      <c r="B143" s="117" t="s">
        <v>363</v>
      </c>
      <c r="G143" s="118"/>
    </row>
    <row r="144" spans="1:11" x14ac:dyDescent="0.2">
      <c r="A144" s="121"/>
      <c r="B144" s="123" t="s">
        <v>364</v>
      </c>
      <c r="G144" s="118"/>
    </row>
    <row r="145" spans="1:7" x14ac:dyDescent="0.2">
      <c r="A145" s="121"/>
      <c r="B145" s="123" t="s">
        <v>365</v>
      </c>
      <c r="G145" s="118"/>
    </row>
    <row r="146" spans="1:7" x14ac:dyDescent="0.2">
      <c r="A146" s="121"/>
      <c r="B146" s="123" t="s">
        <v>366</v>
      </c>
      <c r="G146" s="118"/>
    </row>
    <row r="147" spans="1:7" x14ac:dyDescent="0.2">
      <c r="A147" s="121" t="s">
        <v>367</v>
      </c>
      <c r="B147" s="117" t="s">
        <v>368</v>
      </c>
      <c r="G147" s="118"/>
    </row>
    <row r="148" spans="1:7" x14ac:dyDescent="0.2">
      <c r="G148" s="118"/>
    </row>
    <row r="149" spans="1:7" x14ac:dyDescent="0.2">
      <c r="G149" s="118"/>
    </row>
    <row r="150" spans="1:7" x14ac:dyDescent="0.2">
      <c r="B150" s="118" t="s">
        <v>369</v>
      </c>
    </row>
    <row r="151" spans="1:7" x14ac:dyDescent="0.2">
      <c r="A151" s="121" t="s">
        <v>179</v>
      </c>
      <c r="B151" s="117" t="s">
        <v>180</v>
      </c>
    </row>
    <row r="152" spans="1:7" x14ac:dyDescent="0.2">
      <c r="A152" s="118" t="s">
        <v>181</v>
      </c>
      <c r="B152" s="117" t="s">
        <v>182</v>
      </c>
    </row>
    <row r="153" spans="1:7" x14ac:dyDescent="0.2">
      <c r="A153" s="121" t="s">
        <v>205</v>
      </c>
      <c r="B153" s="117" t="s">
        <v>206</v>
      </c>
    </row>
    <row r="154" spans="1:7" x14ac:dyDescent="0.2">
      <c r="A154" s="118" t="s">
        <v>207</v>
      </c>
      <c r="B154" s="117" t="s">
        <v>208</v>
      </c>
    </row>
    <row r="155" spans="1:7" x14ac:dyDescent="0.2">
      <c r="A155" s="121" t="s">
        <v>260</v>
      </c>
      <c r="B155" s="117" t="s">
        <v>261</v>
      </c>
    </row>
    <row r="156" spans="1:7" x14ac:dyDescent="0.2">
      <c r="A156" s="116">
        <v>5105180100</v>
      </c>
      <c r="B156" s="117" t="s">
        <v>262</v>
      </c>
    </row>
    <row r="157" spans="1:7" x14ac:dyDescent="0.2">
      <c r="A157" s="118" t="s">
        <v>263</v>
      </c>
      <c r="B157" s="117" t="s">
        <v>264</v>
      </c>
    </row>
    <row r="158" spans="1:7" x14ac:dyDescent="0.2">
      <c r="A158" s="116">
        <v>5105180000</v>
      </c>
      <c r="B158" s="117" t="s">
        <v>271</v>
      </c>
    </row>
    <row r="159" spans="1:7" x14ac:dyDescent="0.2">
      <c r="A159" s="121" t="s">
        <v>272</v>
      </c>
      <c r="B159" s="117" t="s">
        <v>273</v>
      </c>
    </row>
    <row r="160" spans="1:7" x14ac:dyDescent="0.2">
      <c r="A160" s="121" t="s">
        <v>274</v>
      </c>
      <c r="B160" s="117" t="s">
        <v>275</v>
      </c>
    </row>
    <row r="161" spans="1:5" x14ac:dyDescent="0.2">
      <c r="A161" s="121" t="s">
        <v>276</v>
      </c>
      <c r="B161" s="117" t="s">
        <v>277</v>
      </c>
    </row>
    <row r="164" spans="1:5" x14ac:dyDescent="0.2">
      <c r="B164" s="118" t="s">
        <v>370</v>
      </c>
    </row>
    <row r="165" spans="1:5" x14ac:dyDescent="0.2">
      <c r="A165" s="118" t="s">
        <v>187</v>
      </c>
      <c r="B165" s="118" t="s">
        <v>188</v>
      </c>
    </row>
    <row r="166" spans="1:5" x14ac:dyDescent="0.2">
      <c r="A166" s="118" t="s">
        <v>266</v>
      </c>
      <c r="B166" s="118" t="s">
        <v>267</v>
      </c>
    </row>
    <row r="167" spans="1:5" x14ac:dyDescent="0.2">
      <c r="A167" s="118" t="s">
        <v>268</v>
      </c>
      <c r="B167" s="118" t="s">
        <v>269</v>
      </c>
    </row>
    <row r="173" spans="1:5" x14ac:dyDescent="0.2">
      <c r="A173" s="131" t="s">
        <v>371</v>
      </c>
    </row>
    <row r="174" spans="1:5" x14ac:dyDescent="0.2">
      <c r="A174" s="119" t="s">
        <v>372</v>
      </c>
      <c r="E174" s="118" t="s">
        <v>373</v>
      </c>
    </row>
    <row r="175" spans="1:5" x14ac:dyDescent="0.2">
      <c r="A175" s="118" t="s">
        <v>374</v>
      </c>
      <c r="B175" s="118" t="s">
        <v>375</v>
      </c>
    </row>
    <row r="176" spans="1:5" x14ac:dyDescent="0.2">
      <c r="A176" s="118">
        <v>4155950000</v>
      </c>
      <c r="B176" s="118" t="s">
        <v>376</v>
      </c>
    </row>
    <row r="177" spans="1:5" x14ac:dyDescent="0.2">
      <c r="A177" s="118">
        <v>4155950100</v>
      </c>
      <c r="B177" s="118" t="s">
        <v>377</v>
      </c>
    </row>
    <row r="178" spans="1:5" x14ac:dyDescent="0.2">
      <c r="A178" s="118">
        <v>4155951500</v>
      </c>
      <c r="B178" s="118" t="s">
        <v>378</v>
      </c>
    </row>
    <row r="179" spans="1:5" x14ac:dyDescent="0.2">
      <c r="A179" s="118">
        <v>4135950900</v>
      </c>
      <c r="B179" s="118" t="s">
        <v>379</v>
      </c>
    </row>
    <row r="180" spans="1:5" x14ac:dyDescent="0.2">
      <c r="A180" s="118">
        <v>4135950000</v>
      </c>
      <c r="B180" s="118" t="s">
        <v>380</v>
      </c>
      <c r="E180" s="118">
        <v>4135950000</v>
      </c>
    </row>
    <row r="181" spans="1:5" x14ac:dyDescent="0.2">
      <c r="A181" s="118">
        <v>4155950500</v>
      </c>
      <c r="B181" s="118" t="s">
        <v>380</v>
      </c>
    </row>
    <row r="182" spans="1:5" x14ac:dyDescent="0.2">
      <c r="A182" s="118">
        <v>4170250300</v>
      </c>
      <c r="B182" s="118" t="s">
        <v>380</v>
      </c>
    </row>
    <row r="183" spans="1:5" x14ac:dyDescent="0.2">
      <c r="A183" s="118" t="s">
        <v>381</v>
      </c>
      <c r="B183" s="118" t="s">
        <v>382</v>
      </c>
    </row>
    <row r="184" spans="1:5" x14ac:dyDescent="0.2">
      <c r="A184" s="118">
        <v>6135950000</v>
      </c>
      <c r="B184" s="118" t="s">
        <v>383</v>
      </c>
    </row>
    <row r="186" spans="1:5" x14ac:dyDescent="0.2">
      <c r="B186" s="118" t="s">
        <v>384</v>
      </c>
    </row>
    <row r="187" spans="1:5" x14ac:dyDescent="0.2">
      <c r="A187" s="118">
        <v>5205180100</v>
      </c>
      <c r="B187" s="118" t="s">
        <v>385</v>
      </c>
      <c r="C187" s="118" t="s">
        <v>386</v>
      </c>
    </row>
    <row r="188" spans="1:5" x14ac:dyDescent="0.2">
      <c r="A188" s="118">
        <v>5205361000</v>
      </c>
      <c r="B188" s="118" t="s">
        <v>387</v>
      </c>
      <c r="C188" s="118" t="s">
        <v>388</v>
      </c>
      <c r="D188" s="118" t="s">
        <v>112</v>
      </c>
    </row>
    <row r="189" spans="1:5" x14ac:dyDescent="0.2">
      <c r="A189" s="118">
        <v>5205391000</v>
      </c>
      <c r="B189" s="118" t="s">
        <v>387</v>
      </c>
      <c r="C189" s="118" t="s">
        <v>389</v>
      </c>
      <c r="D189" s="118">
        <v>4638.9799999999996</v>
      </c>
    </row>
    <row r="190" spans="1:5" x14ac:dyDescent="0.2">
      <c r="A190" s="118">
        <v>5205422000</v>
      </c>
      <c r="B190" s="118" t="s">
        <v>387</v>
      </c>
      <c r="C190" s="118" t="s">
        <v>390</v>
      </c>
      <c r="D190" s="118">
        <v>1230.26</v>
      </c>
    </row>
    <row r="191" spans="1:5" x14ac:dyDescent="0.2">
      <c r="A191" s="118">
        <v>5205691000</v>
      </c>
      <c r="B191" s="118" t="s">
        <v>387</v>
      </c>
      <c r="C191" s="118" t="s">
        <v>391</v>
      </c>
      <c r="D191" s="118">
        <v>307.56</v>
      </c>
    </row>
    <row r="192" spans="1:5" x14ac:dyDescent="0.2">
      <c r="A192" s="118">
        <v>5205701000</v>
      </c>
      <c r="B192" s="118" t="s">
        <v>387</v>
      </c>
      <c r="C192" s="118" t="s">
        <v>392</v>
      </c>
      <c r="D192" s="118">
        <v>896.8</v>
      </c>
    </row>
    <row r="193" spans="1:4" x14ac:dyDescent="0.2">
      <c r="A193" s="118">
        <v>5160200000</v>
      </c>
      <c r="B193" s="118" t="s">
        <v>393</v>
      </c>
      <c r="C193" s="118" t="s">
        <v>394</v>
      </c>
      <c r="D193" s="118">
        <v>604.20000000000005</v>
      </c>
    </row>
    <row r="194" spans="1:4" x14ac:dyDescent="0.2">
      <c r="A194" s="118">
        <v>5260100000</v>
      </c>
      <c r="B194" s="118" t="s">
        <v>393</v>
      </c>
      <c r="C194" s="118" t="s">
        <v>395</v>
      </c>
      <c r="D194" s="118">
        <v>27.16</v>
      </c>
    </row>
    <row r="195" spans="1:4" x14ac:dyDescent="0.2">
      <c r="A195" s="118">
        <v>5260200000</v>
      </c>
      <c r="B195" s="118" t="s">
        <v>393</v>
      </c>
      <c r="C195" s="118" t="s">
        <v>341</v>
      </c>
      <c r="D195" s="118">
        <v>7704.96</v>
      </c>
    </row>
    <row r="196" spans="1:4" x14ac:dyDescent="0.2">
      <c r="A196" s="118">
        <v>5260150000</v>
      </c>
      <c r="B196" s="118" t="s">
        <v>393</v>
      </c>
    </row>
    <row r="197" spans="1:4" x14ac:dyDescent="0.2">
      <c r="A197" s="118">
        <v>5260350000</v>
      </c>
      <c r="B197" s="118" t="s">
        <v>393</v>
      </c>
    </row>
    <row r="198" spans="1:4" x14ac:dyDescent="0.2">
      <c r="A198" s="118">
        <v>5160150000</v>
      </c>
      <c r="B198" s="118" t="s">
        <v>396</v>
      </c>
    </row>
    <row r="199" spans="1:4" x14ac:dyDescent="0.2">
      <c r="A199" s="118">
        <v>5145150100</v>
      </c>
      <c r="B199" s="118" t="s">
        <v>397</v>
      </c>
    </row>
    <row r="200" spans="1:4" x14ac:dyDescent="0.2">
      <c r="A200" s="118">
        <v>5235300000</v>
      </c>
      <c r="B200" s="118" t="s">
        <v>397</v>
      </c>
    </row>
    <row r="201" spans="1:4" x14ac:dyDescent="0.2">
      <c r="A201" s="118">
        <v>5245100000</v>
      </c>
      <c r="B201" s="118" t="s">
        <v>397</v>
      </c>
    </row>
    <row r="202" spans="1:4" x14ac:dyDescent="0.2">
      <c r="A202" s="118">
        <v>5245150000</v>
      </c>
      <c r="B202" s="118" t="s">
        <v>397</v>
      </c>
    </row>
    <row r="203" spans="1:4" x14ac:dyDescent="0.2">
      <c r="A203" s="118">
        <v>5245150100</v>
      </c>
      <c r="B203" s="118" t="s">
        <v>397</v>
      </c>
    </row>
    <row r="204" spans="1:4" x14ac:dyDescent="0.2">
      <c r="A204" s="118">
        <v>5245200000</v>
      </c>
      <c r="B204" s="118" t="s">
        <v>397</v>
      </c>
    </row>
    <row r="205" spans="1:4" x14ac:dyDescent="0.2">
      <c r="A205" s="118">
        <v>5245250000</v>
      </c>
      <c r="B205" s="118" t="s">
        <v>397</v>
      </c>
    </row>
    <row r="206" spans="1:4" x14ac:dyDescent="0.2">
      <c r="A206" s="118">
        <v>5250050000</v>
      </c>
      <c r="B206" s="118" t="s">
        <v>397</v>
      </c>
    </row>
    <row r="207" spans="1:4" x14ac:dyDescent="0.2">
      <c r="A207" s="118">
        <v>5250100000</v>
      </c>
      <c r="B207" s="118" t="s">
        <v>397</v>
      </c>
    </row>
    <row r="208" spans="1:4" x14ac:dyDescent="0.2">
      <c r="A208" s="118">
        <v>5250950000</v>
      </c>
      <c r="B208" s="118" t="s">
        <v>397</v>
      </c>
    </row>
    <row r="209" spans="1:2" x14ac:dyDescent="0.2">
      <c r="A209" s="118">
        <v>5295250000</v>
      </c>
      <c r="B209" s="118" t="s">
        <v>397</v>
      </c>
    </row>
    <row r="210" spans="1:2" x14ac:dyDescent="0.2">
      <c r="A210" s="118">
        <v>5295950300</v>
      </c>
      <c r="B210" s="118" t="s">
        <v>397</v>
      </c>
    </row>
    <row r="211" spans="1:2" x14ac:dyDescent="0.2">
      <c r="A211" s="118">
        <v>5235050000</v>
      </c>
      <c r="B211" s="118" t="s">
        <v>398</v>
      </c>
    </row>
    <row r="212" spans="1:2" x14ac:dyDescent="0.2">
      <c r="A212" s="118">
        <v>5235200000</v>
      </c>
      <c r="B212" s="118" t="s">
        <v>398</v>
      </c>
    </row>
    <row r="213" spans="1:2" x14ac:dyDescent="0.2">
      <c r="A213" s="118">
        <v>5235950100</v>
      </c>
      <c r="B213" s="118" t="s">
        <v>398</v>
      </c>
    </row>
    <row r="214" spans="1:2" x14ac:dyDescent="0.2">
      <c r="A214" s="118">
        <v>5235950400</v>
      </c>
      <c r="B214" s="118" t="s">
        <v>398</v>
      </c>
    </row>
    <row r="215" spans="1:2" x14ac:dyDescent="0.2">
      <c r="A215" s="118">
        <v>5235950500</v>
      </c>
      <c r="B215" s="118" t="s">
        <v>398</v>
      </c>
    </row>
    <row r="216" spans="1:2" x14ac:dyDescent="0.2">
      <c r="A216" s="118">
        <v>5235950600</v>
      </c>
      <c r="B216" s="118" t="s">
        <v>398</v>
      </c>
    </row>
    <row r="217" spans="1:2" x14ac:dyDescent="0.2">
      <c r="A217" s="118">
        <v>5235950600</v>
      </c>
      <c r="B217" s="118" t="s">
        <v>398</v>
      </c>
    </row>
    <row r="218" spans="1:2" x14ac:dyDescent="0.2">
      <c r="A218" s="118">
        <v>5235950600</v>
      </c>
      <c r="B218" s="118" t="s">
        <v>398</v>
      </c>
    </row>
    <row r="219" spans="1:2" x14ac:dyDescent="0.2">
      <c r="A219" s="118">
        <v>5295950500</v>
      </c>
      <c r="B219" s="118" t="s">
        <v>398</v>
      </c>
    </row>
    <row r="220" spans="1:2" x14ac:dyDescent="0.2">
      <c r="A220" s="118">
        <v>5295950100</v>
      </c>
      <c r="B220" s="118" t="s">
        <v>399</v>
      </c>
    </row>
    <row r="221" spans="1:2" x14ac:dyDescent="0.2">
      <c r="A221" s="118">
        <v>5299100000</v>
      </c>
      <c r="B221" s="118" t="s">
        <v>400</v>
      </c>
    </row>
    <row r="222" spans="1:2" x14ac:dyDescent="0.2">
      <c r="A222" s="118">
        <v>5160100000</v>
      </c>
      <c r="B222" s="118" t="s">
        <v>401</v>
      </c>
    </row>
    <row r="223" spans="1:2" x14ac:dyDescent="0.2">
      <c r="B223" s="118" t="s">
        <v>402</v>
      </c>
    </row>
    <row r="224" spans="1:2" x14ac:dyDescent="0.2">
      <c r="A224" s="118">
        <v>5205630100</v>
      </c>
      <c r="B224" s="118" t="s">
        <v>403</v>
      </c>
    </row>
    <row r="225" spans="1:2" x14ac:dyDescent="0.2">
      <c r="A225" s="118">
        <v>5205630200</v>
      </c>
      <c r="B225" s="118" t="s">
        <v>403</v>
      </c>
    </row>
    <row r="226" spans="1:2" x14ac:dyDescent="0.2">
      <c r="A226" s="118">
        <v>5205060100</v>
      </c>
      <c r="B226" s="118" t="s">
        <v>404</v>
      </c>
    </row>
    <row r="227" spans="1:2" x14ac:dyDescent="0.2">
      <c r="A227" s="118">
        <v>5205150100</v>
      </c>
      <c r="B227" s="118" t="s">
        <v>404</v>
      </c>
    </row>
    <row r="228" spans="1:2" x14ac:dyDescent="0.2">
      <c r="A228" s="118">
        <v>5205360100</v>
      </c>
      <c r="B228" s="118" t="s">
        <v>405</v>
      </c>
    </row>
    <row r="229" spans="1:2" x14ac:dyDescent="0.2">
      <c r="A229" s="118">
        <v>5205390100</v>
      </c>
      <c r="B229" s="118" t="s">
        <v>405</v>
      </c>
    </row>
    <row r="230" spans="1:2" x14ac:dyDescent="0.2">
      <c r="A230" s="118">
        <v>5205600100</v>
      </c>
      <c r="B230" s="118" t="s">
        <v>405</v>
      </c>
    </row>
    <row r="231" spans="1:2" x14ac:dyDescent="0.2">
      <c r="A231" s="118">
        <v>5205690100</v>
      </c>
      <c r="B231" s="118" t="s">
        <v>405</v>
      </c>
    </row>
    <row r="232" spans="1:2" x14ac:dyDescent="0.2">
      <c r="A232" s="118">
        <v>5205700100</v>
      </c>
      <c r="B232" s="118" t="s">
        <v>405</v>
      </c>
    </row>
    <row r="233" spans="1:2" x14ac:dyDescent="0.2">
      <c r="A233" s="118">
        <v>5205700100</v>
      </c>
      <c r="B233" s="118" t="s">
        <v>405</v>
      </c>
    </row>
    <row r="234" spans="1:2" x14ac:dyDescent="0.2">
      <c r="A234" s="118">
        <v>5205700200</v>
      </c>
      <c r="B234" s="118" t="s">
        <v>405</v>
      </c>
    </row>
    <row r="235" spans="1:2" x14ac:dyDescent="0.2">
      <c r="A235" s="118">
        <v>5205780100</v>
      </c>
      <c r="B235" s="118" t="s">
        <v>405</v>
      </c>
    </row>
    <row r="236" spans="1:2" x14ac:dyDescent="0.2">
      <c r="A236" s="118">
        <v>5205660100</v>
      </c>
      <c r="B236" s="118" t="s">
        <v>406</v>
      </c>
    </row>
    <row r="237" spans="1:2" x14ac:dyDescent="0.2">
      <c r="A237" s="118">
        <v>5210250000</v>
      </c>
      <c r="B237" s="118" t="s">
        <v>407</v>
      </c>
    </row>
    <row r="238" spans="1:2" x14ac:dyDescent="0.2">
      <c r="A238" s="118">
        <v>5210350000</v>
      </c>
      <c r="B238" s="118" t="s">
        <v>407</v>
      </c>
    </row>
    <row r="239" spans="1:2" x14ac:dyDescent="0.2">
      <c r="A239" s="118">
        <v>5210950000</v>
      </c>
      <c r="B239" s="118" t="s">
        <v>407</v>
      </c>
    </row>
    <row r="240" spans="1:2" x14ac:dyDescent="0.2">
      <c r="A240" s="118">
        <v>5115950000</v>
      </c>
      <c r="B240" s="118" t="s">
        <v>408</v>
      </c>
    </row>
    <row r="241" spans="1:2" x14ac:dyDescent="0.2">
      <c r="A241" s="118">
        <v>5215100000</v>
      </c>
      <c r="B241" s="118" t="s">
        <v>408</v>
      </c>
    </row>
    <row r="242" spans="1:2" x14ac:dyDescent="0.2">
      <c r="A242" s="118">
        <v>5215950000</v>
      </c>
      <c r="B242" s="118" t="s">
        <v>408</v>
      </c>
    </row>
    <row r="243" spans="1:2" x14ac:dyDescent="0.2">
      <c r="A243" s="118">
        <v>5240100000</v>
      </c>
      <c r="B243" s="118" t="s">
        <v>408</v>
      </c>
    </row>
    <row r="244" spans="1:2" x14ac:dyDescent="0.2">
      <c r="A244" s="118">
        <v>5240150000</v>
      </c>
      <c r="B244" s="118" t="s">
        <v>408</v>
      </c>
    </row>
    <row r="245" spans="1:2" x14ac:dyDescent="0.2">
      <c r="A245" s="118">
        <v>5245400000</v>
      </c>
      <c r="B245" s="118" t="s">
        <v>409</v>
      </c>
    </row>
    <row r="246" spans="1:2" x14ac:dyDescent="0.2">
      <c r="A246" s="118">
        <v>5295350000</v>
      </c>
      <c r="B246" s="118" t="s">
        <v>409</v>
      </c>
    </row>
    <row r="247" spans="1:2" x14ac:dyDescent="0.2">
      <c r="A247" s="118">
        <v>5295100000</v>
      </c>
      <c r="B247" s="118" t="s">
        <v>410</v>
      </c>
    </row>
    <row r="248" spans="1:2" x14ac:dyDescent="0.2">
      <c r="A248" s="118">
        <v>5295300000</v>
      </c>
      <c r="B248" s="118" t="s">
        <v>410</v>
      </c>
    </row>
    <row r="249" spans="1:2" x14ac:dyDescent="0.2">
      <c r="A249" s="118">
        <v>5235600000</v>
      </c>
      <c r="B249" s="118" t="s">
        <v>411</v>
      </c>
    </row>
    <row r="250" spans="1:2" x14ac:dyDescent="0.2">
      <c r="A250" s="118">
        <v>5235350000</v>
      </c>
      <c r="B250" s="118" t="s">
        <v>412</v>
      </c>
    </row>
    <row r="251" spans="1:2" x14ac:dyDescent="0.2">
      <c r="A251" s="118">
        <v>5235400100</v>
      </c>
      <c r="B251" s="118" t="s">
        <v>412</v>
      </c>
    </row>
    <row r="252" spans="1:2" x14ac:dyDescent="0.2">
      <c r="A252" s="118">
        <v>5235400200</v>
      </c>
      <c r="B252" s="118" t="s">
        <v>412</v>
      </c>
    </row>
    <row r="253" spans="1:2" x14ac:dyDescent="0.2">
      <c r="A253" s="118">
        <v>5235450000</v>
      </c>
      <c r="B253" s="118" t="s">
        <v>412</v>
      </c>
    </row>
    <row r="254" spans="1:2" x14ac:dyDescent="0.2">
      <c r="A254" s="118">
        <v>5230250000</v>
      </c>
      <c r="B254" s="118" t="s">
        <v>413</v>
      </c>
    </row>
    <row r="255" spans="1:2" x14ac:dyDescent="0.2">
      <c r="A255" s="118">
        <v>5230950000</v>
      </c>
      <c r="B255" s="118" t="s">
        <v>413</v>
      </c>
    </row>
    <row r="256" spans="1:2" x14ac:dyDescent="0.2">
      <c r="A256" s="118">
        <v>5295700000</v>
      </c>
      <c r="B256" s="118" t="s">
        <v>413</v>
      </c>
    </row>
    <row r="257" spans="1:2" x14ac:dyDescent="0.2">
      <c r="A257" s="118">
        <v>5225100000</v>
      </c>
      <c r="B257" s="118" t="s">
        <v>414</v>
      </c>
    </row>
    <row r="258" spans="1:2" x14ac:dyDescent="0.2">
      <c r="A258" s="118">
        <v>5205480100</v>
      </c>
      <c r="B258" s="118" t="s">
        <v>415</v>
      </c>
    </row>
    <row r="259" spans="1:2" x14ac:dyDescent="0.2">
      <c r="A259" s="118">
        <v>5205480200</v>
      </c>
      <c r="B259" s="118" t="s">
        <v>415</v>
      </c>
    </row>
    <row r="260" spans="1:2" x14ac:dyDescent="0.2">
      <c r="A260" s="118">
        <v>5205481000</v>
      </c>
      <c r="B260" s="118" t="s">
        <v>415</v>
      </c>
    </row>
    <row r="261" spans="1:2" x14ac:dyDescent="0.2">
      <c r="A261" s="118">
        <v>5205481100</v>
      </c>
      <c r="B261" s="118" t="s">
        <v>415</v>
      </c>
    </row>
    <row r="262" spans="1:2" x14ac:dyDescent="0.2">
      <c r="A262" s="118">
        <v>5205210100</v>
      </c>
      <c r="B262" s="118" t="s">
        <v>416</v>
      </c>
    </row>
    <row r="263" spans="1:2" x14ac:dyDescent="0.2">
      <c r="A263" s="118">
        <v>5205210200</v>
      </c>
      <c r="B263" s="118" t="s">
        <v>416</v>
      </c>
    </row>
    <row r="264" spans="1:2" x14ac:dyDescent="0.2">
      <c r="A264" s="118">
        <v>5255050100</v>
      </c>
      <c r="B264" s="118" t="s">
        <v>416</v>
      </c>
    </row>
    <row r="265" spans="1:2" x14ac:dyDescent="0.2">
      <c r="A265" s="118">
        <v>5255060100</v>
      </c>
      <c r="B265" s="118" t="s">
        <v>416</v>
      </c>
    </row>
    <row r="266" spans="1:2" x14ac:dyDescent="0.2">
      <c r="A266" s="118">
        <v>5255150100</v>
      </c>
      <c r="B266" s="118" t="s">
        <v>416</v>
      </c>
    </row>
    <row r="267" spans="1:2" x14ac:dyDescent="0.2">
      <c r="A267" s="118">
        <v>5255200100</v>
      </c>
      <c r="B267" s="118" t="s">
        <v>416</v>
      </c>
    </row>
    <row r="268" spans="1:2" x14ac:dyDescent="0.2">
      <c r="A268" s="118">
        <v>5255200200</v>
      </c>
      <c r="B268" s="118" t="s">
        <v>416</v>
      </c>
    </row>
    <row r="269" spans="1:2" x14ac:dyDescent="0.2">
      <c r="A269" s="118">
        <v>5255950100</v>
      </c>
      <c r="B269" s="118" t="s">
        <v>416</v>
      </c>
    </row>
    <row r="270" spans="1:2" x14ac:dyDescent="0.2">
      <c r="A270" s="118">
        <v>5240050000</v>
      </c>
      <c r="B270" s="118" t="s">
        <v>417</v>
      </c>
    </row>
    <row r="271" spans="1:2" x14ac:dyDescent="0.2">
      <c r="A271" s="118">
        <v>5240200400</v>
      </c>
      <c r="B271" s="118" t="s">
        <v>417</v>
      </c>
    </row>
    <row r="272" spans="1:2" x14ac:dyDescent="0.2">
      <c r="A272" s="118">
        <v>5220050000</v>
      </c>
      <c r="B272" s="118" t="s">
        <v>418</v>
      </c>
    </row>
    <row r="273" spans="1:2" x14ac:dyDescent="0.2">
      <c r="A273" s="118">
        <v>5220100000</v>
      </c>
      <c r="B273" s="118" t="s">
        <v>418</v>
      </c>
    </row>
    <row r="274" spans="1:2" x14ac:dyDescent="0.2">
      <c r="A274" s="118">
        <v>5220100100</v>
      </c>
      <c r="B274" s="118" t="s">
        <v>418</v>
      </c>
    </row>
    <row r="275" spans="1:2" x14ac:dyDescent="0.2">
      <c r="A275" s="118">
        <v>5220950000</v>
      </c>
      <c r="B275" s="118" t="s">
        <v>418</v>
      </c>
    </row>
    <row r="278" spans="1:2" x14ac:dyDescent="0.2">
      <c r="B278" s="118" t="s">
        <v>419</v>
      </c>
    </row>
    <row r="279" spans="1:2" x14ac:dyDescent="0.2">
      <c r="A279" s="118">
        <v>5105060000</v>
      </c>
      <c r="B279" s="118" t="s">
        <v>420</v>
      </c>
    </row>
    <row r="280" spans="1:2" x14ac:dyDescent="0.2">
      <c r="A280" s="118">
        <v>5105150000</v>
      </c>
      <c r="B280" s="118" t="s">
        <v>420</v>
      </c>
    </row>
    <row r="281" spans="1:2" x14ac:dyDescent="0.2">
      <c r="A281" s="118">
        <v>5105360000</v>
      </c>
      <c r="B281" s="118" t="s">
        <v>421</v>
      </c>
    </row>
    <row r="282" spans="1:2" x14ac:dyDescent="0.2">
      <c r="A282" s="118">
        <v>5105390000</v>
      </c>
      <c r="B282" s="118" t="s">
        <v>421</v>
      </c>
    </row>
    <row r="283" spans="1:2" x14ac:dyDescent="0.2">
      <c r="A283" s="118">
        <v>5105600000</v>
      </c>
      <c r="B283" s="118" t="s">
        <v>421</v>
      </c>
    </row>
    <row r="284" spans="1:2" x14ac:dyDescent="0.2">
      <c r="A284" s="118">
        <v>5105690000</v>
      </c>
      <c r="B284" s="118" t="s">
        <v>421</v>
      </c>
    </row>
    <row r="285" spans="1:2" x14ac:dyDescent="0.2">
      <c r="A285" s="118">
        <v>5105700000</v>
      </c>
      <c r="B285" s="118" t="s">
        <v>421</v>
      </c>
    </row>
    <row r="286" spans="1:2" x14ac:dyDescent="0.2">
      <c r="A286" s="118">
        <v>5105780000</v>
      </c>
      <c r="B286" s="118" t="s">
        <v>421</v>
      </c>
    </row>
    <row r="287" spans="1:2" x14ac:dyDescent="0.2">
      <c r="A287" s="118">
        <v>5105950000</v>
      </c>
      <c r="B287" s="118" t="s">
        <v>421</v>
      </c>
    </row>
    <row r="288" spans="1:2" x14ac:dyDescent="0.2">
      <c r="A288" s="118">
        <v>5105180000</v>
      </c>
      <c r="B288" s="118" t="s">
        <v>422</v>
      </c>
    </row>
    <row r="289" spans="1:2" x14ac:dyDescent="0.2">
      <c r="A289" s="118">
        <v>5105630000</v>
      </c>
      <c r="B289" s="118" t="s">
        <v>423</v>
      </c>
    </row>
    <row r="290" spans="1:2" x14ac:dyDescent="0.2">
      <c r="A290" s="118">
        <v>5105391000</v>
      </c>
      <c r="B290" s="118" t="s">
        <v>424</v>
      </c>
    </row>
    <row r="291" spans="1:2" x14ac:dyDescent="0.2">
      <c r="A291" s="118">
        <v>5105691000</v>
      </c>
      <c r="B291" s="118" t="s">
        <v>424</v>
      </c>
    </row>
    <row r="292" spans="1:2" x14ac:dyDescent="0.2">
      <c r="A292" s="118">
        <v>5105701000</v>
      </c>
      <c r="B292" s="118" t="s">
        <v>424</v>
      </c>
    </row>
    <row r="293" spans="1:2" x14ac:dyDescent="0.2">
      <c r="A293" s="118">
        <v>5135050000</v>
      </c>
      <c r="B293" s="118" t="s">
        <v>398</v>
      </c>
    </row>
    <row r="294" spans="1:2" x14ac:dyDescent="0.2">
      <c r="A294" s="118">
        <v>5135150000</v>
      </c>
      <c r="B294" s="118" t="s">
        <v>398</v>
      </c>
    </row>
    <row r="295" spans="1:2" x14ac:dyDescent="0.2">
      <c r="A295" s="118">
        <v>5135200000</v>
      </c>
      <c r="B295" s="118" t="s">
        <v>398</v>
      </c>
    </row>
    <row r="296" spans="1:2" x14ac:dyDescent="0.2">
      <c r="A296" s="118">
        <v>5135950500</v>
      </c>
      <c r="B296" s="118" t="s">
        <v>398</v>
      </c>
    </row>
    <row r="297" spans="1:2" x14ac:dyDescent="0.2">
      <c r="A297" s="118">
        <v>5120100000</v>
      </c>
      <c r="B297" s="118" t="s">
        <v>425</v>
      </c>
    </row>
    <row r="298" spans="1:2" x14ac:dyDescent="0.2">
      <c r="A298" s="118">
        <v>5105660000</v>
      </c>
      <c r="B298" s="118" t="s">
        <v>426</v>
      </c>
    </row>
    <row r="299" spans="1:2" x14ac:dyDescent="0.2">
      <c r="A299" s="118">
        <v>5155960000</v>
      </c>
      <c r="B299" s="118" t="s">
        <v>426</v>
      </c>
    </row>
    <row r="300" spans="1:2" x14ac:dyDescent="0.2">
      <c r="A300" s="118">
        <v>5195950300</v>
      </c>
      <c r="B300" s="118" t="s">
        <v>427</v>
      </c>
    </row>
    <row r="301" spans="1:2" x14ac:dyDescent="0.2">
      <c r="A301" s="118">
        <v>5110100000</v>
      </c>
      <c r="B301" s="118" t="s">
        <v>428</v>
      </c>
    </row>
    <row r="302" spans="1:2" x14ac:dyDescent="0.2">
      <c r="A302" s="118">
        <v>5110200000</v>
      </c>
      <c r="B302" s="118" t="s">
        <v>428</v>
      </c>
    </row>
    <row r="303" spans="1:2" x14ac:dyDescent="0.2">
      <c r="A303" s="118">
        <v>5110250000</v>
      </c>
      <c r="B303" s="118" t="s">
        <v>428</v>
      </c>
    </row>
    <row r="304" spans="1:2" x14ac:dyDescent="0.2">
      <c r="A304" s="118">
        <v>5110300000</v>
      </c>
      <c r="B304" s="118" t="s">
        <v>428</v>
      </c>
    </row>
    <row r="305" spans="1:2" x14ac:dyDescent="0.2">
      <c r="A305" s="118">
        <v>5110350000</v>
      </c>
      <c r="B305" s="118" t="s">
        <v>428</v>
      </c>
    </row>
    <row r="306" spans="1:2" x14ac:dyDescent="0.2">
      <c r="A306" s="118">
        <v>5110950000</v>
      </c>
      <c r="B306" s="118" t="s">
        <v>428</v>
      </c>
    </row>
    <row r="307" spans="1:2" x14ac:dyDescent="0.2">
      <c r="A307" s="118">
        <v>5130</v>
      </c>
      <c r="B307" s="118" t="s">
        <v>429</v>
      </c>
    </row>
    <row r="308" spans="1:2" x14ac:dyDescent="0.2">
      <c r="A308" s="118">
        <v>5145400000</v>
      </c>
      <c r="B308" s="118" t="s">
        <v>430</v>
      </c>
    </row>
    <row r="309" spans="1:2" x14ac:dyDescent="0.2">
      <c r="A309" s="118">
        <v>5195350000</v>
      </c>
      <c r="B309" s="118" t="s">
        <v>430</v>
      </c>
    </row>
    <row r="310" spans="1:2" x14ac:dyDescent="0.2">
      <c r="A310" s="118">
        <v>5195300000</v>
      </c>
      <c r="B310" s="118" t="s">
        <v>410</v>
      </c>
    </row>
    <row r="311" spans="1:2" x14ac:dyDescent="0.2">
      <c r="A311" s="118">
        <v>5135350000</v>
      </c>
      <c r="B311" s="118" t="s">
        <v>431</v>
      </c>
    </row>
    <row r="312" spans="1:2" x14ac:dyDescent="0.2">
      <c r="A312" s="118">
        <v>5145050000</v>
      </c>
      <c r="B312" s="118" t="s">
        <v>432</v>
      </c>
    </row>
    <row r="313" spans="1:2" x14ac:dyDescent="0.2">
      <c r="A313" s="118">
        <v>5145100000</v>
      </c>
      <c r="B313" s="118" t="s">
        <v>432</v>
      </c>
    </row>
    <row r="314" spans="1:2" x14ac:dyDescent="0.2">
      <c r="A314" s="118">
        <v>5145200000</v>
      </c>
      <c r="B314" s="118" t="s">
        <v>432</v>
      </c>
    </row>
    <row r="315" spans="1:2" x14ac:dyDescent="0.2">
      <c r="A315" s="118">
        <v>5145250000</v>
      </c>
      <c r="B315" s="118" t="s">
        <v>432</v>
      </c>
    </row>
    <row r="316" spans="1:2" x14ac:dyDescent="0.2">
      <c r="A316" s="118">
        <v>5150050000</v>
      </c>
      <c r="B316" s="118" t="s">
        <v>432</v>
      </c>
    </row>
    <row r="317" spans="1:2" x14ac:dyDescent="0.2">
      <c r="A317" s="118">
        <v>5150100000</v>
      </c>
      <c r="B317" s="118" t="s">
        <v>432</v>
      </c>
    </row>
    <row r="318" spans="1:2" x14ac:dyDescent="0.2">
      <c r="A318" s="118">
        <v>5150150000</v>
      </c>
      <c r="B318" s="118" t="s">
        <v>432</v>
      </c>
    </row>
    <row r="319" spans="1:2" x14ac:dyDescent="0.2">
      <c r="A319" s="118">
        <v>5150950000</v>
      </c>
      <c r="B319" s="118" t="s">
        <v>432</v>
      </c>
    </row>
    <row r="320" spans="1:2" x14ac:dyDescent="0.2">
      <c r="A320" s="118">
        <v>5195150000</v>
      </c>
      <c r="B320" s="118" t="s">
        <v>432</v>
      </c>
    </row>
    <row r="321" spans="1:2" x14ac:dyDescent="0.2">
      <c r="A321" s="118">
        <v>5195250000</v>
      </c>
      <c r="B321" s="118" t="s">
        <v>432</v>
      </c>
    </row>
    <row r="322" spans="1:2" x14ac:dyDescent="0.2">
      <c r="A322" s="118">
        <v>5195400000</v>
      </c>
      <c r="B322" s="118" t="s">
        <v>432</v>
      </c>
    </row>
    <row r="323" spans="1:2" x14ac:dyDescent="0.2">
      <c r="A323" s="132">
        <v>5140050000</v>
      </c>
      <c r="B323" s="118" t="s">
        <v>433</v>
      </c>
    </row>
    <row r="324" spans="1:2" x14ac:dyDescent="0.2">
      <c r="A324" s="132">
        <v>5140100000</v>
      </c>
      <c r="B324" s="118" t="s">
        <v>434</v>
      </c>
    </row>
    <row r="325" spans="1:2" x14ac:dyDescent="0.2">
      <c r="A325" s="118">
        <v>5105210000</v>
      </c>
      <c r="B325" s="118" t="s">
        <v>435</v>
      </c>
    </row>
    <row r="326" spans="1:2" x14ac:dyDescent="0.2">
      <c r="A326" s="118">
        <v>5155050000</v>
      </c>
      <c r="B326" s="118" t="s">
        <v>435</v>
      </c>
    </row>
    <row r="327" spans="1:2" x14ac:dyDescent="0.2">
      <c r="A327" s="118">
        <v>5155060000</v>
      </c>
      <c r="B327" s="118" t="s">
        <v>435</v>
      </c>
    </row>
    <row r="328" spans="1:2" x14ac:dyDescent="0.2">
      <c r="A328" s="118">
        <v>5155150000</v>
      </c>
      <c r="B328" s="118" t="s">
        <v>435</v>
      </c>
    </row>
    <row r="329" spans="1:2" x14ac:dyDescent="0.2">
      <c r="A329" s="118">
        <v>5155200000</v>
      </c>
      <c r="B329" s="118" t="s">
        <v>435</v>
      </c>
    </row>
    <row r="330" spans="1:2" x14ac:dyDescent="0.2">
      <c r="A330" s="118">
        <v>5155950000</v>
      </c>
      <c r="B330" s="118" t="s">
        <v>435</v>
      </c>
    </row>
    <row r="332" spans="1:2" x14ac:dyDescent="0.2">
      <c r="B332" s="118" t="s">
        <v>436</v>
      </c>
    </row>
    <row r="333" spans="1:2" x14ac:dyDescent="0.2">
      <c r="A333" s="118">
        <v>5135950300</v>
      </c>
      <c r="B333" s="118" t="s">
        <v>437</v>
      </c>
    </row>
    <row r="334" spans="1:2" x14ac:dyDescent="0.2">
      <c r="A334" s="118">
        <v>5198530000</v>
      </c>
      <c r="B334" s="118" t="s">
        <v>437</v>
      </c>
    </row>
    <row r="335" spans="1:2" x14ac:dyDescent="0.2">
      <c r="A335" s="118">
        <v>5398050000</v>
      </c>
      <c r="B335" s="118" t="s">
        <v>437</v>
      </c>
    </row>
    <row r="336" spans="1:2" x14ac:dyDescent="0.2">
      <c r="A336" s="118">
        <v>5398210000</v>
      </c>
      <c r="B336" s="118" t="s">
        <v>438</v>
      </c>
    </row>
    <row r="337" spans="1:2" x14ac:dyDescent="0.2">
      <c r="A337" s="118">
        <v>5110358000</v>
      </c>
      <c r="B337" s="118" t="s">
        <v>439</v>
      </c>
    </row>
    <row r="338" spans="1:2" x14ac:dyDescent="0.2">
      <c r="A338" s="118">
        <v>5210358000</v>
      </c>
      <c r="B338" s="118" t="s">
        <v>439</v>
      </c>
    </row>
    <row r="340" spans="1:2" x14ac:dyDescent="0.2">
      <c r="B340" s="118" t="s">
        <v>440</v>
      </c>
    </row>
    <row r="341" spans="1:2" x14ac:dyDescent="0.2">
      <c r="A341" s="118">
        <v>4210200100</v>
      </c>
      <c r="B341" s="118" t="s">
        <v>441</v>
      </c>
    </row>
    <row r="342" spans="1:2" x14ac:dyDescent="0.2">
      <c r="A342" s="118">
        <v>4210200200</v>
      </c>
      <c r="B342" s="118" t="s">
        <v>441</v>
      </c>
    </row>
    <row r="343" spans="1:2" x14ac:dyDescent="0.2">
      <c r="A343" s="118">
        <v>4210200400</v>
      </c>
      <c r="B343" s="118" t="s">
        <v>442</v>
      </c>
    </row>
    <row r="344" spans="1:2" x14ac:dyDescent="0.2">
      <c r="A344" s="118">
        <v>4210200500</v>
      </c>
      <c r="B344" s="118" t="s">
        <v>442</v>
      </c>
    </row>
    <row r="345" spans="1:2" x14ac:dyDescent="0.2">
      <c r="A345" s="118">
        <v>4210200501</v>
      </c>
      <c r="B345" s="118" t="s">
        <v>442</v>
      </c>
    </row>
    <row r="346" spans="1:2" x14ac:dyDescent="0.2">
      <c r="A346" s="118">
        <v>4210201000</v>
      </c>
      <c r="B346" s="118" t="s">
        <v>442</v>
      </c>
    </row>
    <row r="347" spans="1:2" x14ac:dyDescent="0.2">
      <c r="A347" s="118">
        <v>4210201001</v>
      </c>
      <c r="B347" s="118" t="s">
        <v>442</v>
      </c>
    </row>
    <row r="348" spans="1:2" x14ac:dyDescent="0.2">
      <c r="A348" s="118">
        <v>4210201100</v>
      </c>
      <c r="B348" s="118" t="s">
        <v>442</v>
      </c>
    </row>
    <row r="349" spans="1:2" x14ac:dyDescent="0.2">
      <c r="A349" s="118">
        <v>4210051000</v>
      </c>
      <c r="B349" s="118" t="s">
        <v>443</v>
      </c>
    </row>
    <row r="350" spans="1:2" x14ac:dyDescent="0.2">
      <c r="A350" s="118">
        <v>4210201000</v>
      </c>
      <c r="B350" s="118" t="s">
        <v>443</v>
      </c>
    </row>
    <row r="351" spans="1:2" x14ac:dyDescent="0.2">
      <c r="A351" s="118">
        <v>4210400000</v>
      </c>
      <c r="B351" s="118" t="s">
        <v>443</v>
      </c>
    </row>
    <row r="352" spans="1:2" x14ac:dyDescent="0.2">
      <c r="A352" s="118">
        <v>4245010000</v>
      </c>
      <c r="B352" s="118" t="s">
        <v>443</v>
      </c>
    </row>
    <row r="353" spans="1:2" x14ac:dyDescent="0.2">
      <c r="A353" s="118">
        <v>4250500100</v>
      </c>
      <c r="B353" s="118" t="s">
        <v>443</v>
      </c>
    </row>
    <row r="354" spans="1:2" x14ac:dyDescent="0.2">
      <c r="A354" s="118">
        <v>4250500200</v>
      </c>
      <c r="B354" s="118" t="s">
        <v>443</v>
      </c>
    </row>
    <row r="355" spans="1:2" x14ac:dyDescent="0.2">
      <c r="A355" s="118">
        <v>4250500300</v>
      </c>
      <c r="B355" s="118" t="s">
        <v>443</v>
      </c>
    </row>
    <row r="356" spans="1:2" x14ac:dyDescent="0.2">
      <c r="A356" s="118">
        <v>4250506600</v>
      </c>
      <c r="B356" s="118" t="s">
        <v>443</v>
      </c>
    </row>
    <row r="357" spans="1:2" x14ac:dyDescent="0.2">
      <c r="A357" s="118">
        <v>4255200000</v>
      </c>
      <c r="B357" s="118" t="s">
        <v>443</v>
      </c>
    </row>
    <row r="358" spans="1:2" x14ac:dyDescent="0.2">
      <c r="A358" s="118">
        <v>4295050000</v>
      </c>
      <c r="B358" s="118" t="s">
        <v>443</v>
      </c>
    </row>
    <row r="359" spans="1:2" x14ac:dyDescent="0.2">
      <c r="A359" s="118">
        <v>4295810000</v>
      </c>
      <c r="B359" s="118" t="s">
        <v>443</v>
      </c>
    </row>
    <row r="361" spans="1:2" x14ac:dyDescent="0.2">
      <c r="B361" s="118" t="s">
        <v>444</v>
      </c>
    </row>
    <row r="362" spans="1:2" x14ac:dyDescent="0.2">
      <c r="A362" s="118">
        <v>5305350000</v>
      </c>
      <c r="B362" s="118" t="s">
        <v>445</v>
      </c>
    </row>
    <row r="363" spans="1:2" x14ac:dyDescent="0.2">
      <c r="A363" s="118">
        <v>5310150000</v>
      </c>
      <c r="B363" s="118" t="s">
        <v>445</v>
      </c>
    </row>
    <row r="364" spans="1:2" x14ac:dyDescent="0.2">
      <c r="A364" s="118">
        <v>5310300000</v>
      </c>
      <c r="B364" s="118" t="s">
        <v>445</v>
      </c>
    </row>
    <row r="365" spans="1:2" x14ac:dyDescent="0.2">
      <c r="A365" s="118">
        <v>5310350000</v>
      </c>
      <c r="B365" s="118" t="s">
        <v>445</v>
      </c>
    </row>
    <row r="366" spans="1:2" x14ac:dyDescent="0.2">
      <c r="A366" s="118">
        <v>5313050000</v>
      </c>
      <c r="B366" s="118" t="s">
        <v>445</v>
      </c>
    </row>
    <row r="367" spans="1:2" x14ac:dyDescent="0.2">
      <c r="A367" s="118">
        <v>5315150200</v>
      </c>
      <c r="B367" s="118" t="s">
        <v>445</v>
      </c>
    </row>
    <row r="368" spans="1:2" x14ac:dyDescent="0.2">
      <c r="A368" s="118">
        <v>5315160000</v>
      </c>
      <c r="B368" s="118" t="s">
        <v>445</v>
      </c>
    </row>
    <row r="369" spans="1:3" x14ac:dyDescent="0.2">
      <c r="A369" s="118">
        <v>5315200000</v>
      </c>
      <c r="B369" s="118" t="s">
        <v>445</v>
      </c>
    </row>
    <row r="370" spans="1:3" x14ac:dyDescent="0.2">
      <c r="A370" s="118">
        <v>5315200100</v>
      </c>
      <c r="B370" s="118" t="s">
        <v>445</v>
      </c>
    </row>
    <row r="371" spans="1:3" x14ac:dyDescent="0.2">
      <c r="A371" s="118">
        <v>5315950000</v>
      </c>
      <c r="B371" s="118" t="s">
        <v>445</v>
      </c>
    </row>
    <row r="372" spans="1:3" x14ac:dyDescent="0.2">
      <c r="A372" s="118">
        <v>5395200000</v>
      </c>
      <c r="B372" s="118" t="s">
        <v>445</v>
      </c>
    </row>
    <row r="373" spans="1:3" x14ac:dyDescent="0.2">
      <c r="A373" s="118">
        <v>5395300000</v>
      </c>
      <c r="B373" s="118" t="s">
        <v>445</v>
      </c>
    </row>
    <row r="374" spans="1:3" x14ac:dyDescent="0.2">
      <c r="A374" s="118">
        <v>5395950000</v>
      </c>
      <c r="B374" s="118" t="s">
        <v>445</v>
      </c>
    </row>
    <row r="375" spans="1:3" x14ac:dyDescent="0.2">
      <c r="A375" s="118">
        <v>5305250500</v>
      </c>
      <c r="B375" s="118" t="s">
        <v>446</v>
      </c>
    </row>
    <row r="376" spans="1:3" x14ac:dyDescent="0.2">
      <c r="A376" s="118">
        <v>5305050000</v>
      </c>
      <c r="B376" s="118" t="s">
        <v>447</v>
      </c>
      <c r="C376" s="118">
        <v>5305050000</v>
      </c>
    </row>
    <row r="377" spans="1:3" x14ac:dyDescent="0.2">
      <c r="A377" s="118">
        <v>5305150000</v>
      </c>
      <c r="B377" s="118" t="s">
        <v>447</v>
      </c>
      <c r="C377" s="118">
        <v>5305200100</v>
      </c>
    </row>
    <row r="378" spans="1:3" x14ac:dyDescent="0.2">
      <c r="A378" s="118">
        <v>5305200100</v>
      </c>
      <c r="B378" s="118" t="s">
        <v>447</v>
      </c>
      <c r="C378" s="118">
        <v>5305202200</v>
      </c>
    </row>
    <row r="379" spans="1:3" x14ac:dyDescent="0.2">
      <c r="A379" s="118">
        <v>5305200200</v>
      </c>
      <c r="B379" s="118" t="s">
        <v>447</v>
      </c>
      <c r="C379" s="118">
        <v>5305150000</v>
      </c>
    </row>
    <row r="380" spans="1:3" x14ac:dyDescent="0.2">
      <c r="A380" s="118">
        <v>5305200300</v>
      </c>
      <c r="B380" s="118" t="s">
        <v>447</v>
      </c>
      <c r="C380" s="118">
        <v>5305200101</v>
      </c>
    </row>
    <row r="381" spans="1:3" x14ac:dyDescent="0.2">
      <c r="A381" s="118">
        <v>5305200400</v>
      </c>
      <c r="B381" s="118" t="s">
        <v>447</v>
      </c>
    </row>
    <row r="382" spans="1:3" x14ac:dyDescent="0.2">
      <c r="A382" s="118">
        <v>5305950000</v>
      </c>
      <c r="B382" s="118" t="s">
        <v>447</v>
      </c>
    </row>
    <row r="383" spans="1:3" x14ac:dyDescent="0.2">
      <c r="A383" s="118">
        <v>5315150000</v>
      </c>
      <c r="B383" s="118" t="s">
        <v>447</v>
      </c>
    </row>
    <row r="385" spans="1:2" x14ac:dyDescent="0.2">
      <c r="A385" s="118">
        <v>5405050100</v>
      </c>
      <c r="B385" s="118" t="s">
        <v>448</v>
      </c>
    </row>
    <row r="389" spans="1:2" x14ac:dyDescent="0.2">
      <c r="B389" s="118" t="s">
        <v>369</v>
      </c>
    </row>
    <row r="390" spans="1:2" x14ac:dyDescent="0.2">
      <c r="A390" s="118">
        <v>5205180100</v>
      </c>
      <c r="B390" s="118" t="s">
        <v>385</v>
      </c>
    </row>
    <row r="391" spans="1:2" x14ac:dyDescent="0.2">
      <c r="A391" s="118">
        <v>5205361000</v>
      </c>
      <c r="B391" s="118" t="s">
        <v>387</v>
      </c>
    </row>
    <row r="392" spans="1:2" x14ac:dyDescent="0.2">
      <c r="A392" s="118">
        <v>5205391000</v>
      </c>
      <c r="B392" s="118" t="s">
        <v>387</v>
      </c>
    </row>
    <row r="393" spans="1:2" x14ac:dyDescent="0.2">
      <c r="A393" s="118">
        <v>5205422000</v>
      </c>
      <c r="B393" s="118" t="s">
        <v>387</v>
      </c>
    </row>
    <row r="394" spans="1:2" x14ac:dyDescent="0.2">
      <c r="A394" s="118">
        <v>5205691000</v>
      </c>
      <c r="B394" s="118" t="s">
        <v>387</v>
      </c>
    </row>
    <row r="395" spans="1:2" x14ac:dyDescent="0.2">
      <c r="A395" s="118">
        <v>5205701000</v>
      </c>
      <c r="B395" s="118" t="s">
        <v>387</v>
      </c>
    </row>
    <row r="396" spans="1:2" x14ac:dyDescent="0.2">
      <c r="A396" s="118">
        <v>5205060100</v>
      </c>
      <c r="B396" s="118" t="s">
        <v>404</v>
      </c>
    </row>
    <row r="397" spans="1:2" x14ac:dyDescent="0.2">
      <c r="A397" s="118">
        <v>5205150100</v>
      </c>
      <c r="B397" s="118" t="s">
        <v>404</v>
      </c>
    </row>
    <row r="398" spans="1:2" x14ac:dyDescent="0.2">
      <c r="A398" s="118">
        <v>5205360100</v>
      </c>
      <c r="B398" s="118" t="s">
        <v>405</v>
      </c>
    </row>
    <row r="399" spans="1:2" x14ac:dyDescent="0.2">
      <c r="A399" s="118">
        <v>5205390100</v>
      </c>
      <c r="B399" s="118" t="s">
        <v>405</v>
      </c>
    </row>
    <row r="400" spans="1:2" x14ac:dyDescent="0.2">
      <c r="A400" s="118">
        <v>5205600100</v>
      </c>
      <c r="B400" s="118" t="s">
        <v>405</v>
      </c>
    </row>
    <row r="401" spans="1:2" x14ac:dyDescent="0.2">
      <c r="A401" s="118">
        <v>5205690100</v>
      </c>
      <c r="B401" s="118" t="s">
        <v>405</v>
      </c>
    </row>
    <row r="402" spans="1:2" x14ac:dyDescent="0.2">
      <c r="A402" s="118">
        <v>5205700100</v>
      </c>
      <c r="B402" s="118" t="s">
        <v>405</v>
      </c>
    </row>
    <row r="403" spans="1:2" x14ac:dyDescent="0.2">
      <c r="A403" s="118">
        <v>5205700100</v>
      </c>
      <c r="B403" s="118" t="s">
        <v>405</v>
      </c>
    </row>
    <row r="404" spans="1:2" x14ac:dyDescent="0.2">
      <c r="A404" s="118">
        <v>5205700200</v>
      </c>
      <c r="B404" s="118" t="s">
        <v>405</v>
      </c>
    </row>
    <row r="405" spans="1:2" x14ac:dyDescent="0.2">
      <c r="A405" s="118">
        <v>5205780100</v>
      </c>
      <c r="B405" s="118" t="s">
        <v>405</v>
      </c>
    </row>
    <row r="406" spans="1:2" x14ac:dyDescent="0.2">
      <c r="A406" s="118">
        <v>5105060000</v>
      </c>
      <c r="B406" s="118" t="s">
        <v>420</v>
      </c>
    </row>
    <row r="407" spans="1:2" x14ac:dyDescent="0.2">
      <c r="A407" s="118">
        <v>5105150000</v>
      </c>
      <c r="B407" s="118" t="s">
        <v>420</v>
      </c>
    </row>
    <row r="408" spans="1:2" x14ac:dyDescent="0.2">
      <c r="A408" s="118">
        <v>5105360000</v>
      </c>
      <c r="B408" s="118" t="s">
        <v>421</v>
      </c>
    </row>
    <row r="409" spans="1:2" x14ac:dyDescent="0.2">
      <c r="A409" s="118">
        <v>5105390000</v>
      </c>
      <c r="B409" s="118" t="s">
        <v>421</v>
      </c>
    </row>
    <row r="410" spans="1:2" x14ac:dyDescent="0.2">
      <c r="A410" s="118">
        <v>5105600000</v>
      </c>
      <c r="B410" s="118" t="s">
        <v>421</v>
      </c>
    </row>
    <row r="411" spans="1:2" x14ac:dyDescent="0.2">
      <c r="A411" s="118">
        <v>5105690000</v>
      </c>
      <c r="B411" s="118" t="s">
        <v>421</v>
      </c>
    </row>
    <row r="412" spans="1:2" x14ac:dyDescent="0.2">
      <c r="A412" s="118">
        <v>5105700000</v>
      </c>
      <c r="B412" s="118" t="s">
        <v>421</v>
      </c>
    </row>
    <row r="413" spans="1:2" x14ac:dyDescent="0.2">
      <c r="A413" s="118">
        <v>5105780000</v>
      </c>
      <c r="B413" s="118" t="s">
        <v>421</v>
      </c>
    </row>
    <row r="414" spans="1:2" x14ac:dyDescent="0.2">
      <c r="A414" s="118">
        <v>5105950000</v>
      </c>
      <c r="B414" s="118" t="s">
        <v>421</v>
      </c>
    </row>
    <row r="415" spans="1:2" x14ac:dyDescent="0.2">
      <c r="A415" s="118">
        <v>5105180000</v>
      </c>
      <c r="B415" s="118" t="s">
        <v>422</v>
      </c>
    </row>
    <row r="416" spans="1:2" x14ac:dyDescent="0.2">
      <c r="A416" s="118">
        <v>5105391000</v>
      </c>
      <c r="B416" s="118" t="s">
        <v>424</v>
      </c>
    </row>
    <row r="417" spans="1:3" x14ac:dyDescent="0.2">
      <c r="A417" s="118">
        <v>5105691000</v>
      </c>
      <c r="B417" s="118" t="s">
        <v>424</v>
      </c>
    </row>
    <row r="418" spans="1:3" x14ac:dyDescent="0.2">
      <c r="A418" s="118">
        <v>5105701000</v>
      </c>
      <c r="B418" s="118" t="s">
        <v>424</v>
      </c>
    </row>
    <row r="421" spans="1:3" x14ac:dyDescent="0.2">
      <c r="A421" s="118">
        <v>5160100000</v>
      </c>
      <c r="B421" s="118" t="s">
        <v>449</v>
      </c>
      <c r="C421" s="118" t="s">
        <v>450</v>
      </c>
    </row>
    <row r="427" spans="1:3" x14ac:dyDescent="0.2">
      <c r="A427" s="119" t="s">
        <v>451</v>
      </c>
    </row>
    <row r="428" spans="1:3" x14ac:dyDescent="0.2">
      <c r="A428" s="118">
        <v>1105050100</v>
      </c>
      <c r="B428" s="118" t="s">
        <v>452</v>
      </c>
      <c r="C428" s="120">
        <v>0</v>
      </c>
    </row>
    <row r="429" spans="1:3" x14ac:dyDescent="0.2">
      <c r="A429" s="118">
        <v>1105100200</v>
      </c>
      <c r="B429" s="118" t="s">
        <v>453</v>
      </c>
      <c r="C429" s="120">
        <v>7650000</v>
      </c>
    </row>
    <row r="430" spans="1:3" x14ac:dyDescent="0.2">
      <c r="A430" s="118">
        <v>1110050101</v>
      </c>
      <c r="B430" s="118" t="s">
        <v>454</v>
      </c>
      <c r="C430" s="120">
        <v>87094833.519999996</v>
      </c>
    </row>
    <row r="431" spans="1:3" x14ac:dyDescent="0.2">
      <c r="A431" s="118">
        <v>1110050106</v>
      </c>
      <c r="B431" s="118" t="s">
        <v>455</v>
      </c>
      <c r="C431" s="120">
        <v>4020934.46</v>
      </c>
    </row>
    <row r="432" spans="1:3" x14ac:dyDescent="0.2">
      <c r="A432" s="118">
        <v>1110050108</v>
      </c>
      <c r="B432" s="118" t="s">
        <v>456</v>
      </c>
      <c r="C432" s="120">
        <v>2182803.0099999998</v>
      </c>
    </row>
    <row r="433" spans="1:3" x14ac:dyDescent="0.2">
      <c r="A433" s="118">
        <v>1110050110</v>
      </c>
      <c r="B433" s="118" t="s">
        <v>457</v>
      </c>
      <c r="C433" s="120">
        <v>562187.67000000004</v>
      </c>
    </row>
    <row r="434" spans="1:3" x14ac:dyDescent="0.2">
      <c r="A434" s="118">
        <v>1110050111</v>
      </c>
      <c r="B434" s="118" t="s">
        <v>458</v>
      </c>
      <c r="C434" s="120">
        <v>4855691.87</v>
      </c>
    </row>
    <row r="435" spans="1:3" x14ac:dyDescent="0.2">
      <c r="A435" s="118">
        <v>1110100101</v>
      </c>
      <c r="B435" s="118" t="s">
        <v>459</v>
      </c>
      <c r="C435" s="120">
        <v>6300643.9299999997</v>
      </c>
    </row>
    <row r="436" spans="1:3" x14ac:dyDescent="0.2">
      <c r="A436" s="118">
        <v>1125100200</v>
      </c>
      <c r="B436" s="118" t="s">
        <v>460</v>
      </c>
      <c r="C436" s="120">
        <v>1355004.36</v>
      </c>
    </row>
    <row r="437" spans="1:3" x14ac:dyDescent="0.2">
      <c r="A437" s="118">
        <v>1130050100</v>
      </c>
      <c r="B437" s="118" t="s">
        <v>461</v>
      </c>
      <c r="C437" s="120">
        <v>377428.44</v>
      </c>
    </row>
    <row r="438" spans="1:3" x14ac:dyDescent="0.2">
      <c r="A438" s="119"/>
      <c r="C438" s="120">
        <f>SUM(C428:C437)</f>
        <v>114399527.26000001</v>
      </c>
    </row>
    <row r="439" spans="1:3" x14ac:dyDescent="0.2">
      <c r="A439" s="119"/>
    </row>
    <row r="440" spans="1:3" x14ac:dyDescent="0.2">
      <c r="A440" s="118">
        <v>1101</v>
      </c>
      <c r="B440" s="118" t="s">
        <v>462</v>
      </c>
    </row>
    <row r="441" spans="1:3" x14ac:dyDescent="0.2">
      <c r="A441" s="118">
        <v>1102</v>
      </c>
      <c r="B441" s="118" t="s">
        <v>463</v>
      </c>
    </row>
    <row r="442" spans="1:3" x14ac:dyDescent="0.2">
      <c r="A442" s="118">
        <v>1103</v>
      </c>
      <c r="B442" s="118" t="s">
        <v>464</v>
      </c>
    </row>
    <row r="443" spans="1:3" x14ac:dyDescent="0.2">
      <c r="A443" s="118">
        <v>1104</v>
      </c>
      <c r="B443" s="118" t="s">
        <v>465</v>
      </c>
    </row>
    <row r="444" spans="1:3" x14ac:dyDescent="0.2">
      <c r="A444" s="118" t="s">
        <v>466</v>
      </c>
      <c r="B444" s="118" t="s">
        <v>467</v>
      </c>
    </row>
    <row r="445" spans="1:3" x14ac:dyDescent="0.2">
      <c r="A445" s="118">
        <v>1106</v>
      </c>
      <c r="B445" s="118" t="s">
        <v>468</v>
      </c>
    </row>
    <row r="446" spans="1:3" x14ac:dyDescent="0.2">
      <c r="B446" s="118" t="s">
        <v>469</v>
      </c>
    </row>
    <row r="448" spans="1:3" x14ac:dyDescent="0.2">
      <c r="B448" s="118" t="s">
        <v>470</v>
      </c>
    </row>
    <row r="450" spans="1:2" x14ac:dyDescent="0.2">
      <c r="B450" s="118" t="s">
        <v>95</v>
      </c>
    </row>
    <row r="451" spans="1:2" x14ac:dyDescent="0.2">
      <c r="A451" s="118">
        <v>1201</v>
      </c>
      <c r="B451" s="118" t="s">
        <v>471</v>
      </c>
    </row>
    <row r="452" spans="1:2" x14ac:dyDescent="0.2">
      <c r="A452" s="118">
        <v>1202</v>
      </c>
      <c r="B452" s="118" t="s">
        <v>472</v>
      </c>
    </row>
    <row r="453" spans="1:2" x14ac:dyDescent="0.2">
      <c r="A453" s="118">
        <v>1203</v>
      </c>
      <c r="B453" s="118" t="s">
        <v>473</v>
      </c>
    </row>
    <row r="454" spans="1:2" x14ac:dyDescent="0.2">
      <c r="A454" s="118">
        <v>1204</v>
      </c>
      <c r="B454" s="118" t="s">
        <v>474</v>
      </c>
    </row>
    <row r="455" spans="1:2" x14ac:dyDescent="0.2">
      <c r="A455" s="118">
        <v>1205</v>
      </c>
      <c r="B455" s="118" t="s">
        <v>475</v>
      </c>
    </row>
    <row r="456" spans="1:2" x14ac:dyDescent="0.2">
      <c r="A456" s="118">
        <v>1206</v>
      </c>
      <c r="B456" s="118" t="s">
        <v>476</v>
      </c>
    </row>
    <row r="458" spans="1:2" x14ac:dyDescent="0.2">
      <c r="B458" s="118" t="s">
        <v>477</v>
      </c>
    </row>
    <row r="460" spans="1:2" x14ac:dyDescent="0.2">
      <c r="B460" s="118" t="s">
        <v>478</v>
      </c>
    </row>
    <row r="461" spans="1:2" x14ac:dyDescent="0.2">
      <c r="A461" s="118">
        <v>1208</v>
      </c>
      <c r="B461" s="118" t="s">
        <v>479</v>
      </c>
    </row>
    <row r="463" spans="1:2" x14ac:dyDescent="0.2">
      <c r="B463" s="118" t="s">
        <v>96</v>
      </c>
    </row>
    <row r="464" spans="1:2" x14ac:dyDescent="0.2">
      <c r="A464" s="118" t="s">
        <v>480</v>
      </c>
      <c r="B464" s="118" t="s">
        <v>481</v>
      </c>
    </row>
    <row r="465" spans="1:2" x14ac:dyDescent="0.2">
      <c r="A465" s="118">
        <v>1210</v>
      </c>
      <c r="B465" s="118" t="s">
        <v>482</v>
      </c>
    </row>
    <row r="466" spans="1:2" x14ac:dyDescent="0.2">
      <c r="A466" s="118">
        <v>1211</v>
      </c>
      <c r="B466" s="118" t="s">
        <v>483</v>
      </c>
    </row>
    <row r="467" spans="1:2" x14ac:dyDescent="0.2">
      <c r="A467" s="118">
        <v>1212</v>
      </c>
      <c r="B467" s="118" t="s">
        <v>484</v>
      </c>
    </row>
    <row r="468" spans="1:2" x14ac:dyDescent="0.2">
      <c r="B468" s="118" t="s">
        <v>485</v>
      </c>
    </row>
    <row r="470" spans="1:2" x14ac:dyDescent="0.2">
      <c r="B470" s="118" t="s">
        <v>97</v>
      </c>
    </row>
    <row r="471" spans="1:2" x14ac:dyDescent="0.2">
      <c r="A471" s="118">
        <v>1214</v>
      </c>
      <c r="B471" s="118" t="s">
        <v>486</v>
      </c>
    </row>
    <row r="472" spans="1:2" x14ac:dyDescent="0.2">
      <c r="A472" s="118">
        <v>1242</v>
      </c>
      <c r="B472" s="118" t="s">
        <v>487</v>
      </c>
    </row>
    <row r="473" spans="1:2" x14ac:dyDescent="0.2">
      <c r="A473" s="118">
        <v>1243</v>
      </c>
      <c r="B473" s="118" t="s">
        <v>488</v>
      </c>
    </row>
    <row r="474" spans="1:2" x14ac:dyDescent="0.2">
      <c r="A474" s="118">
        <v>1244</v>
      </c>
      <c r="B474" s="118" t="s">
        <v>489</v>
      </c>
    </row>
    <row r="475" spans="1:2" x14ac:dyDescent="0.2">
      <c r="A475" s="118">
        <v>1245</v>
      </c>
      <c r="B475" s="118" t="s">
        <v>490</v>
      </c>
    </row>
    <row r="476" spans="1:2" x14ac:dyDescent="0.2">
      <c r="A476" s="118">
        <v>1246</v>
      </c>
      <c r="B476" s="118" t="s">
        <v>491</v>
      </c>
    </row>
    <row r="477" spans="1:2" x14ac:dyDescent="0.2">
      <c r="A477" s="118">
        <v>1215</v>
      </c>
      <c r="B477" s="118" t="s">
        <v>492</v>
      </c>
    </row>
    <row r="478" spans="1:2" x14ac:dyDescent="0.2">
      <c r="A478" s="118">
        <v>1216</v>
      </c>
      <c r="B478" s="118" t="s">
        <v>493</v>
      </c>
    </row>
    <row r="479" spans="1:2" x14ac:dyDescent="0.2">
      <c r="A479" s="118">
        <v>1217</v>
      </c>
      <c r="B479" s="118" t="s">
        <v>494</v>
      </c>
    </row>
    <row r="480" spans="1:2" x14ac:dyDescent="0.2">
      <c r="A480" s="118">
        <v>1218</v>
      </c>
      <c r="B480" s="118" t="s">
        <v>495</v>
      </c>
    </row>
    <row r="481" spans="1:2" x14ac:dyDescent="0.2">
      <c r="A481" s="118">
        <v>1219</v>
      </c>
      <c r="B481" s="118" t="s">
        <v>496</v>
      </c>
    </row>
    <row r="482" spans="1:2" x14ac:dyDescent="0.2">
      <c r="A482" s="118">
        <v>1220</v>
      </c>
      <c r="B482" s="118" t="s">
        <v>497</v>
      </c>
    </row>
    <row r="483" spans="1:2" x14ac:dyDescent="0.2">
      <c r="A483" s="118">
        <v>1221</v>
      </c>
      <c r="B483" s="118" t="s">
        <v>498</v>
      </c>
    </row>
    <row r="484" spans="1:2" x14ac:dyDescent="0.2">
      <c r="A484" s="118">
        <v>1222</v>
      </c>
      <c r="B484" s="118" t="s">
        <v>499</v>
      </c>
    </row>
    <row r="485" spans="1:2" x14ac:dyDescent="0.2">
      <c r="A485" s="118">
        <v>1223</v>
      </c>
      <c r="B485" s="118" t="s">
        <v>500</v>
      </c>
    </row>
    <row r="486" spans="1:2" x14ac:dyDescent="0.2">
      <c r="A486" s="118">
        <v>1224</v>
      </c>
      <c r="B486" s="118" t="s">
        <v>501</v>
      </c>
    </row>
    <row r="487" spans="1:2" x14ac:dyDescent="0.2">
      <c r="A487" s="118">
        <v>1225</v>
      </c>
      <c r="B487" s="118" t="s">
        <v>502</v>
      </c>
    </row>
    <row r="488" spans="1:2" x14ac:dyDescent="0.2">
      <c r="A488" s="118">
        <v>1226</v>
      </c>
      <c r="B488" s="118" t="s">
        <v>503</v>
      </c>
    </row>
    <row r="489" spans="1:2" x14ac:dyDescent="0.2">
      <c r="A489" s="118">
        <v>1227</v>
      </c>
      <c r="B489" s="118" t="s">
        <v>504</v>
      </c>
    </row>
    <row r="490" spans="1:2" x14ac:dyDescent="0.2">
      <c r="A490" s="118">
        <v>1228</v>
      </c>
      <c r="B490" s="118" t="s">
        <v>505</v>
      </c>
    </row>
    <row r="491" spans="1:2" x14ac:dyDescent="0.2">
      <c r="A491" s="118">
        <v>1229</v>
      </c>
      <c r="B491" s="118" t="s">
        <v>506</v>
      </c>
    </row>
    <row r="492" spans="1:2" x14ac:dyDescent="0.2">
      <c r="A492" s="118">
        <v>1230</v>
      </c>
      <c r="B492" s="118" t="s">
        <v>507</v>
      </c>
    </row>
    <row r="493" spans="1:2" x14ac:dyDescent="0.2">
      <c r="A493" s="118">
        <v>1231</v>
      </c>
      <c r="B493" s="118" t="s">
        <v>508</v>
      </c>
    </row>
    <row r="494" spans="1:2" x14ac:dyDescent="0.2">
      <c r="A494" s="118">
        <v>1232</v>
      </c>
      <c r="B494" s="118" t="s">
        <v>509</v>
      </c>
    </row>
    <row r="495" spans="1:2" x14ac:dyDescent="0.2">
      <c r="A495" s="118">
        <v>1233</v>
      </c>
      <c r="B495" s="118" t="s">
        <v>510</v>
      </c>
    </row>
    <row r="496" spans="1:2" x14ac:dyDescent="0.2">
      <c r="A496" s="118">
        <v>1234</v>
      </c>
      <c r="B496" s="118" t="s">
        <v>511</v>
      </c>
    </row>
    <row r="497" spans="1:2" x14ac:dyDescent="0.2">
      <c r="A497" s="118">
        <v>1235</v>
      </c>
      <c r="B497" s="118" t="s">
        <v>512</v>
      </c>
    </row>
    <row r="498" spans="1:2" x14ac:dyDescent="0.2">
      <c r="A498" s="118">
        <v>1236</v>
      </c>
      <c r="B498" s="118" t="s">
        <v>513</v>
      </c>
    </row>
    <row r="499" spans="1:2" x14ac:dyDescent="0.2">
      <c r="A499" s="118">
        <v>1237</v>
      </c>
      <c r="B499" s="118" t="s">
        <v>514</v>
      </c>
    </row>
    <row r="500" spans="1:2" x14ac:dyDescent="0.2">
      <c r="A500" s="118">
        <v>1238</v>
      </c>
      <c r="B500" s="118" t="s">
        <v>515</v>
      </c>
    </row>
    <row r="501" spans="1:2" x14ac:dyDescent="0.2">
      <c r="A501" s="118">
        <v>1239</v>
      </c>
      <c r="B501" s="118" t="s">
        <v>516</v>
      </c>
    </row>
    <row r="502" spans="1:2" x14ac:dyDescent="0.2">
      <c r="A502" s="118">
        <v>1240</v>
      </c>
      <c r="B502" s="118" t="s">
        <v>517</v>
      </c>
    </row>
    <row r="503" spans="1:2" x14ac:dyDescent="0.2">
      <c r="A503" s="118">
        <v>1241</v>
      </c>
      <c r="B503" s="118" t="s">
        <v>518</v>
      </c>
    </row>
    <row r="504" spans="1:2" x14ac:dyDescent="0.2">
      <c r="B504" s="118" t="s">
        <v>519</v>
      </c>
    </row>
    <row r="506" spans="1:2" x14ac:dyDescent="0.2">
      <c r="B506" s="118" t="s">
        <v>520</v>
      </c>
    </row>
    <row r="508" spans="1:2" x14ac:dyDescent="0.2">
      <c r="B508" s="118" t="s">
        <v>521</v>
      </c>
    </row>
    <row r="510" spans="1:2" x14ac:dyDescent="0.2">
      <c r="B510" s="118" t="s">
        <v>522</v>
      </c>
    </row>
    <row r="512" spans="1:2" x14ac:dyDescent="0.2">
      <c r="B512" s="118" t="s">
        <v>523</v>
      </c>
    </row>
    <row r="513" spans="1:2" x14ac:dyDescent="0.2">
      <c r="A513" s="118">
        <v>2101</v>
      </c>
      <c r="B513" s="118" t="s">
        <v>524</v>
      </c>
    </row>
    <row r="514" spans="1:2" x14ac:dyDescent="0.2">
      <c r="A514" s="118">
        <v>2102</v>
      </c>
      <c r="B514" s="118" t="s">
        <v>525</v>
      </c>
    </row>
    <row r="515" spans="1:2" x14ac:dyDescent="0.2">
      <c r="A515" s="118">
        <v>2103</v>
      </c>
      <c r="B515" s="118" t="s">
        <v>526</v>
      </c>
    </row>
    <row r="516" spans="1:2" x14ac:dyDescent="0.2">
      <c r="A516" s="118">
        <v>1207</v>
      </c>
      <c r="B516" s="118" t="s">
        <v>527</v>
      </c>
    </row>
    <row r="517" spans="1:2" x14ac:dyDescent="0.2">
      <c r="B517" s="118" t="s">
        <v>528</v>
      </c>
    </row>
    <row r="519" spans="1:2" x14ac:dyDescent="0.2">
      <c r="B519" s="118" t="s">
        <v>98</v>
      </c>
    </row>
    <row r="520" spans="1:2" x14ac:dyDescent="0.2">
      <c r="A520" s="118">
        <v>3101</v>
      </c>
      <c r="B520" s="118" t="s">
        <v>529</v>
      </c>
    </row>
    <row r="521" spans="1:2" x14ac:dyDescent="0.2">
      <c r="A521" s="118" t="s">
        <v>530</v>
      </c>
      <c r="B521" s="118" t="s">
        <v>531</v>
      </c>
    </row>
    <row r="522" spans="1:2" x14ac:dyDescent="0.2">
      <c r="A522" s="118">
        <v>3103</v>
      </c>
      <c r="B522" s="118" t="s">
        <v>532</v>
      </c>
    </row>
    <row r="523" spans="1:2" x14ac:dyDescent="0.2">
      <c r="A523" s="118">
        <v>3104</v>
      </c>
      <c r="B523" s="118" t="s">
        <v>533</v>
      </c>
    </row>
    <row r="524" spans="1:2" x14ac:dyDescent="0.2">
      <c r="B524" s="118" t="s">
        <v>534</v>
      </c>
    </row>
    <row r="526" spans="1:2" x14ac:dyDescent="0.2">
      <c r="B526" s="118" t="s">
        <v>535</v>
      </c>
    </row>
    <row r="534" spans="1:12" x14ac:dyDescent="0.2">
      <c r="B534" s="118" t="s">
        <v>536</v>
      </c>
    </row>
    <row r="535" spans="1:12" x14ac:dyDescent="0.2">
      <c r="B535" s="118" t="s">
        <v>537</v>
      </c>
    </row>
    <row r="536" spans="1:12" x14ac:dyDescent="0.2">
      <c r="A536" s="118">
        <v>5101</v>
      </c>
      <c r="B536" s="118" t="s">
        <v>538</v>
      </c>
    </row>
    <row r="537" spans="1:12" x14ac:dyDescent="0.2">
      <c r="A537" s="118">
        <v>5102</v>
      </c>
      <c r="B537" s="118" t="s">
        <v>539</v>
      </c>
    </row>
    <row r="538" spans="1:12" x14ac:dyDescent="0.2">
      <c r="A538" s="118">
        <v>5103</v>
      </c>
      <c r="B538" s="118" t="s">
        <v>540</v>
      </c>
    </row>
    <row r="539" spans="1:12" x14ac:dyDescent="0.2">
      <c r="A539" s="118">
        <v>5104</v>
      </c>
      <c r="B539" s="118" t="s">
        <v>541</v>
      </c>
    </row>
    <row r="540" spans="1:12" x14ac:dyDescent="0.2">
      <c r="A540" s="118">
        <v>5105</v>
      </c>
      <c r="B540" s="118" t="s">
        <v>542</v>
      </c>
      <c r="E540" s="118" t="s">
        <v>543</v>
      </c>
      <c r="F540" s="118" t="s">
        <v>544</v>
      </c>
    </row>
    <row r="541" spans="1:12" x14ac:dyDescent="0.2">
      <c r="B541" s="118" t="s">
        <v>545</v>
      </c>
    </row>
    <row r="542" spans="1:12" x14ac:dyDescent="0.2">
      <c r="E542" s="118" t="s">
        <v>546</v>
      </c>
      <c r="G542" s="118"/>
      <c r="H542" s="118"/>
      <c r="I542" s="118"/>
      <c r="J542" s="118"/>
      <c r="K542" s="118"/>
      <c r="L542" s="118"/>
    </row>
    <row r="543" spans="1:12" x14ac:dyDescent="0.2">
      <c r="B543" s="118" t="s">
        <v>535</v>
      </c>
      <c r="E543" s="118" t="s">
        <v>547</v>
      </c>
      <c r="F543" s="118" t="s">
        <v>548</v>
      </c>
      <c r="G543" s="118" t="s">
        <v>112</v>
      </c>
      <c r="H543" s="118"/>
      <c r="I543" s="118"/>
      <c r="J543" s="118"/>
      <c r="K543" s="118"/>
      <c r="L543" s="118"/>
    </row>
    <row r="544" spans="1:12" x14ac:dyDescent="0.2">
      <c r="A544" s="118">
        <v>6190</v>
      </c>
      <c r="B544" s="118" t="s">
        <v>549</v>
      </c>
      <c r="E544" s="118" t="s">
        <v>550</v>
      </c>
      <c r="F544" s="118" t="s">
        <v>551</v>
      </c>
      <c r="G544" s="129">
        <v>198471000</v>
      </c>
      <c r="H544" s="118"/>
      <c r="I544" s="118"/>
      <c r="J544" s="118"/>
      <c r="K544" s="118"/>
      <c r="L544" s="118"/>
    </row>
    <row r="545" spans="1:12" x14ac:dyDescent="0.2">
      <c r="A545" s="118">
        <v>7101</v>
      </c>
      <c r="B545" s="118" t="s">
        <v>552</v>
      </c>
      <c r="E545" s="118" t="s">
        <v>553</v>
      </c>
      <c r="F545" s="118" t="s">
        <v>554</v>
      </c>
      <c r="G545" s="129">
        <v>691191000</v>
      </c>
      <c r="H545" s="118"/>
      <c r="I545" s="118"/>
      <c r="J545" s="118"/>
      <c r="K545" s="118"/>
      <c r="L545" s="118"/>
    </row>
    <row r="546" spans="1:12" x14ac:dyDescent="0.2">
      <c r="A546" s="118">
        <v>7102</v>
      </c>
      <c r="B546" s="118" t="s">
        <v>554</v>
      </c>
      <c r="E546" s="118" t="s">
        <v>555</v>
      </c>
      <c r="F546" s="118" t="s">
        <v>556</v>
      </c>
      <c r="G546" s="129">
        <v>560000000</v>
      </c>
      <c r="H546" s="118"/>
      <c r="I546" s="118"/>
      <c r="J546" s="118"/>
      <c r="K546" s="118"/>
      <c r="L546" s="118"/>
    </row>
    <row r="547" spans="1:12" x14ac:dyDescent="0.2">
      <c r="A547" s="118">
        <v>7103</v>
      </c>
      <c r="B547" s="118" t="s">
        <v>557</v>
      </c>
      <c r="E547" s="118" t="s">
        <v>341</v>
      </c>
      <c r="G547" s="129">
        <v>1449662000</v>
      </c>
      <c r="H547" s="118"/>
      <c r="I547" s="118"/>
      <c r="J547" s="118"/>
      <c r="K547" s="118"/>
      <c r="L547" s="118"/>
    </row>
    <row r="548" spans="1:12" x14ac:dyDescent="0.2">
      <c r="A548" s="118">
        <v>7105</v>
      </c>
      <c r="B548" s="118" t="s">
        <v>558</v>
      </c>
      <c r="G548" s="118"/>
      <c r="H548" s="118"/>
      <c r="I548" s="118"/>
      <c r="J548" s="118"/>
      <c r="K548" s="118"/>
      <c r="L548" s="118"/>
    </row>
    <row r="549" spans="1:12" x14ac:dyDescent="0.2">
      <c r="A549" s="118" t="s">
        <v>559</v>
      </c>
      <c r="B549" s="118" t="s">
        <v>560</v>
      </c>
      <c r="G549" s="118"/>
      <c r="H549" s="118"/>
      <c r="I549" s="118"/>
      <c r="J549" s="118"/>
      <c r="K549" s="118"/>
      <c r="L549" s="118"/>
    </row>
    <row r="550" spans="1:12" x14ac:dyDescent="0.2">
      <c r="A550" s="118">
        <v>4101</v>
      </c>
      <c r="B550" s="118" t="s">
        <v>561</v>
      </c>
      <c r="G550" s="118"/>
      <c r="H550" s="118"/>
      <c r="I550" s="118"/>
      <c r="J550" s="118"/>
      <c r="K550" s="118"/>
    </row>
    <row r="551" spans="1:12" x14ac:dyDescent="0.2">
      <c r="A551" s="118">
        <v>4102</v>
      </c>
      <c r="B551" s="118" t="s">
        <v>551</v>
      </c>
      <c r="G551" s="118"/>
      <c r="H551" s="118"/>
      <c r="I551" s="118"/>
      <c r="J551" s="118"/>
      <c r="K551" s="118"/>
    </row>
    <row r="552" spans="1:12" x14ac:dyDescent="0.2">
      <c r="A552" s="118">
        <v>7104</v>
      </c>
      <c r="B552" s="118" t="s">
        <v>562</v>
      </c>
      <c r="E552" s="118">
        <v>6190</v>
      </c>
      <c r="F552" s="118" t="s">
        <v>549</v>
      </c>
      <c r="G552" s="118"/>
      <c r="H552" s="118"/>
      <c r="I552" s="118"/>
      <c r="J552" s="118"/>
      <c r="K552" s="118"/>
    </row>
    <row r="553" spans="1:12" x14ac:dyDescent="0.2">
      <c r="G553" s="118"/>
      <c r="H553" s="118"/>
      <c r="I553" s="118"/>
      <c r="J553" s="118"/>
      <c r="K553" s="118"/>
    </row>
    <row r="554" spans="1:12" x14ac:dyDescent="0.2">
      <c r="B554" s="118" t="s">
        <v>563</v>
      </c>
      <c r="G554" s="118"/>
      <c r="H554" s="118"/>
      <c r="I554" s="118"/>
      <c r="J554" s="118"/>
      <c r="K554" s="118"/>
    </row>
    <row r="555" spans="1:12" x14ac:dyDescent="0.2">
      <c r="A555" s="119" t="s">
        <v>564</v>
      </c>
      <c r="G555" s="118"/>
    </row>
    <row r="556" spans="1:12" x14ac:dyDescent="0.2">
      <c r="A556" s="133">
        <v>1110050100</v>
      </c>
      <c r="B556" s="134" t="s">
        <v>565</v>
      </c>
      <c r="G556" s="118"/>
    </row>
    <row r="557" spans="1:12" x14ac:dyDescent="0.2">
      <c r="A557" s="133">
        <v>1110050200</v>
      </c>
      <c r="B557" s="118" t="s">
        <v>566</v>
      </c>
      <c r="G557" s="118"/>
    </row>
    <row r="558" spans="1:12" x14ac:dyDescent="0.2">
      <c r="G558" s="118"/>
    </row>
    <row r="562" spans="1:2" x14ac:dyDescent="0.2">
      <c r="A562" s="118">
        <v>4170250000</v>
      </c>
      <c r="B562" s="118" t="s">
        <v>567</v>
      </c>
    </row>
    <row r="564" spans="1:2" x14ac:dyDescent="0.2">
      <c r="A564" s="118">
        <v>4218050000</v>
      </c>
      <c r="B564" s="118" t="s">
        <v>568</v>
      </c>
    </row>
    <row r="567" spans="1:2" x14ac:dyDescent="0.2">
      <c r="A567" s="118">
        <v>5210350000</v>
      </c>
      <c r="B567" s="118" t="s">
        <v>569</v>
      </c>
    </row>
    <row r="568" spans="1:2" x14ac:dyDescent="0.2">
      <c r="A568" s="118">
        <v>5140950000</v>
      </c>
    </row>
    <row r="570" spans="1:2" x14ac:dyDescent="0.2">
      <c r="A570" s="133">
        <v>5305950000</v>
      </c>
      <c r="B570" s="118" t="s">
        <v>570</v>
      </c>
    </row>
    <row r="571" spans="1:2" x14ac:dyDescent="0.2">
      <c r="A571" s="133">
        <v>5313050000</v>
      </c>
      <c r="B571" s="118" t="s">
        <v>568</v>
      </c>
    </row>
    <row r="572" spans="1:2" x14ac:dyDescent="0.2">
      <c r="A572" s="118">
        <v>5310950000</v>
      </c>
      <c r="B572" s="118" t="s">
        <v>571</v>
      </c>
    </row>
    <row r="576" spans="1:2" x14ac:dyDescent="0.2">
      <c r="A576" s="118">
        <v>1101</v>
      </c>
      <c r="B576" s="118" t="s">
        <v>572</v>
      </c>
    </row>
    <row r="577" spans="1:3" x14ac:dyDescent="0.2">
      <c r="A577" s="118">
        <v>1102</v>
      </c>
      <c r="B577" s="118" t="s">
        <v>573</v>
      </c>
    </row>
    <row r="578" spans="1:3" x14ac:dyDescent="0.2">
      <c r="A578" s="118">
        <v>1103</v>
      </c>
      <c r="B578" s="118" t="s">
        <v>574</v>
      </c>
    </row>
    <row r="579" spans="1:3" x14ac:dyDescent="0.2">
      <c r="A579" s="118">
        <v>1104</v>
      </c>
      <c r="B579" s="118" t="s">
        <v>575</v>
      </c>
    </row>
    <row r="580" spans="1:3" x14ac:dyDescent="0.2">
      <c r="A580" s="118">
        <v>1106</v>
      </c>
      <c r="B580" s="118" t="s">
        <v>576</v>
      </c>
    </row>
    <row r="581" spans="1:3" x14ac:dyDescent="0.2">
      <c r="A581" s="118">
        <v>9999</v>
      </c>
      <c r="B581" s="118" t="s">
        <v>577</v>
      </c>
      <c r="C581" s="118" t="s">
        <v>578</v>
      </c>
    </row>
    <row r="583" spans="1:3" x14ac:dyDescent="0.2">
      <c r="A583" s="118">
        <v>1218</v>
      </c>
      <c r="B583" s="118" t="s">
        <v>579</v>
      </c>
    </row>
    <row r="584" spans="1:3" x14ac:dyDescent="0.2">
      <c r="A584" s="118">
        <v>1223</v>
      </c>
      <c r="B584" s="118" t="s">
        <v>580</v>
      </c>
    </row>
    <row r="585" spans="1:3" x14ac:dyDescent="0.2">
      <c r="A585" s="118">
        <v>1231</v>
      </c>
      <c r="B585" s="118" t="s">
        <v>581</v>
      </c>
    </row>
    <row r="586" spans="1:3" x14ac:dyDescent="0.2">
      <c r="A586" s="118">
        <v>1235</v>
      </c>
      <c r="B586" s="118" t="s">
        <v>582</v>
      </c>
    </row>
    <row r="587" spans="1:3" x14ac:dyDescent="0.2">
      <c r="A587" s="118">
        <v>1201</v>
      </c>
      <c r="B587" s="118" t="s">
        <v>583</v>
      </c>
    </row>
    <row r="590" spans="1:3" x14ac:dyDescent="0.2">
      <c r="A590" s="118">
        <v>5103</v>
      </c>
      <c r="B590" s="118" t="s">
        <v>540</v>
      </c>
      <c r="C590" s="118" t="s">
        <v>584</v>
      </c>
    </row>
    <row r="591" spans="1:3" x14ac:dyDescent="0.2">
      <c r="A591" s="118">
        <v>5104</v>
      </c>
      <c r="B591" s="118" t="s">
        <v>541</v>
      </c>
      <c r="C591" s="118" t="s">
        <v>578</v>
      </c>
    </row>
    <row r="592" spans="1:3" x14ac:dyDescent="0.2">
      <c r="A592" s="118">
        <v>5105</v>
      </c>
      <c r="B592" s="118" t="s">
        <v>585</v>
      </c>
      <c r="C592" s="118" t="s">
        <v>578</v>
      </c>
    </row>
    <row r="593" spans="1:3" x14ac:dyDescent="0.2">
      <c r="A593" s="118">
        <v>5106</v>
      </c>
      <c r="B593" s="118" t="s">
        <v>586</v>
      </c>
      <c r="C593" s="118" t="s">
        <v>584</v>
      </c>
    </row>
    <row r="594" spans="1:3" x14ac:dyDescent="0.2">
      <c r="A594" s="118">
        <v>7101</v>
      </c>
      <c r="B594" s="118" t="s">
        <v>587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5D142-35C9-4CA1-9EDE-D0A6C78C403F}">
  <sheetPr>
    <tabColor theme="2" tint="-0.749992370372631"/>
  </sheetPr>
  <dimension ref="A1:AG49"/>
  <sheetViews>
    <sheetView showGridLines="0" tabSelected="1" zoomScaleNormal="100" workbookViewId="0">
      <selection activeCell="C24" sqref="C24"/>
    </sheetView>
  </sheetViews>
  <sheetFormatPr baseColWidth="10" defaultRowHeight="12.75" x14ac:dyDescent="0.2"/>
  <cols>
    <col min="1" max="1" width="3.140625" style="12" customWidth="1"/>
    <col min="2" max="2" width="26.28515625" style="12" customWidth="1"/>
    <col min="3" max="3" width="9.42578125" style="12" customWidth="1"/>
    <col min="4" max="4" width="6.42578125" style="12" customWidth="1"/>
    <col min="5" max="5" width="10.28515625" style="12" customWidth="1"/>
    <col min="6" max="7" width="7.140625" style="12" customWidth="1"/>
    <col min="8" max="8" width="11" style="12" customWidth="1"/>
    <col min="9" max="9" width="6.42578125" style="12" customWidth="1"/>
    <col min="10" max="10" width="9.5703125" style="12" customWidth="1"/>
    <col min="11" max="11" width="10.5703125" style="12" customWidth="1"/>
    <col min="12" max="12" width="5.42578125" style="12" customWidth="1"/>
    <col min="13" max="13" width="10.140625" style="12" bestFit="1" customWidth="1"/>
    <col min="14" max="14" width="5.42578125" style="12" customWidth="1"/>
    <col min="15" max="15" width="7.140625" style="12" customWidth="1"/>
    <col min="16" max="16" width="10.7109375" style="12" customWidth="1"/>
    <col min="17" max="17" width="5.140625" style="12" customWidth="1"/>
    <col min="18" max="18" width="7.140625" style="12" customWidth="1"/>
    <col min="19" max="19" width="10.85546875" style="13" customWidth="1"/>
    <col min="20" max="20" width="17.42578125" style="12" customWidth="1"/>
    <col min="21" max="28" width="11.42578125" style="12"/>
    <col min="29" max="29" width="6.5703125" style="12" customWidth="1"/>
    <col min="30" max="31" width="11.42578125" style="12"/>
    <col min="32" max="32" width="13.42578125" style="12" customWidth="1"/>
    <col min="33" max="16384" width="11.42578125" style="12"/>
  </cols>
  <sheetData>
    <row r="1" spans="1:33" s="9" customFormat="1" ht="12.75" customHeight="1" x14ac:dyDescent="0.2">
      <c r="B1" s="10"/>
      <c r="S1" s="11"/>
    </row>
    <row r="2" spans="1:33" ht="11.25" customHeight="1" x14ac:dyDescent="0.2">
      <c r="A2" s="9"/>
      <c r="X2" s="14"/>
      <c r="Y2" s="14"/>
      <c r="Z2" s="14"/>
      <c r="AA2" s="14"/>
      <c r="AB2" s="14"/>
    </row>
    <row r="3" spans="1:33" ht="18" x14ac:dyDescent="0.25">
      <c r="B3" s="15" t="s">
        <v>19</v>
      </c>
      <c r="S3" s="16"/>
      <c r="T3" s="17" t="str">
        <f>+B3</f>
        <v>MUSICAR S.A. COLOMBIA CONSOLIDADO</v>
      </c>
    </row>
    <row r="4" spans="1:33" x14ac:dyDescent="0.2">
      <c r="B4" s="2" t="s">
        <v>20</v>
      </c>
      <c r="S4" s="16"/>
      <c r="T4" s="18" t="s">
        <v>21</v>
      </c>
    </row>
    <row r="5" spans="1:33" x14ac:dyDescent="0.2">
      <c r="B5" s="3" t="s">
        <v>22</v>
      </c>
      <c r="S5" s="16"/>
      <c r="T5" s="18" t="s">
        <v>22</v>
      </c>
    </row>
    <row r="6" spans="1:33" ht="13.5" thickBot="1" x14ac:dyDescent="0.25">
      <c r="B6" s="19" t="str">
        <f>+'COLOMB$ '!B6</f>
        <v>ENERO de 2024</v>
      </c>
      <c r="K6" s="20" t="s">
        <v>23</v>
      </c>
      <c r="L6" s="20"/>
      <c r="M6" s="20"/>
      <c r="N6" s="20"/>
      <c r="O6" s="20"/>
      <c r="P6" s="20"/>
      <c r="Q6" s="20"/>
      <c r="R6" s="20"/>
      <c r="S6" s="16"/>
      <c r="T6" s="12" t="str">
        <f>+B6</f>
        <v>ENERO de 2024</v>
      </c>
      <c r="X6" s="20" t="s">
        <v>23</v>
      </c>
      <c r="Y6" s="20"/>
      <c r="Z6" s="20"/>
      <c r="AA6" s="20"/>
      <c r="AB6" s="20"/>
      <c r="AC6" s="20"/>
    </row>
    <row r="7" spans="1:33" ht="17.25" customHeight="1" x14ac:dyDescent="0.2">
      <c r="C7" s="21" t="str">
        <f>+'COLOMB$ '!D7:D7</f>
        <v>Ppto 2024</v>
      </c>
      <c r="E7" s="12" t="str">
        <f>+'COLOMB$ '!F7:F7</f>
        <v>Real 2024</v>
      </c>
      <c r="G7" s="9" t="s">
        <v>24</v>
      </c>
      <c r="H7" s="12" t="str">
        <f>+'COLOMB$ '!I7:I7</f>
        <v>Real 2023</v>
      </c>
      <c r="J7" s="9" t="s">
        <v>25</v>
      </c>
      <c r="K7" s="12" t="str">
        <f>+C7</f>
        <v>Ppto 2024</v>
      </c>
      <c r="M7" s="22" t="str">
        <f>+E7</f>
        <v>Real 2024</v>
      </c>
      <c r="N7" s="22"/>
      <c r="O7" s="9" t="s">
        <v>24</v>
      </c>
      <c r="P7" s="12" t="str">
        <f>+H7</f>
        <v>Real 2023</v>
      </c>
      <c r="R7" s="9" t="s">
        <v>25</v>
      </c>
      <c r="S7" s="23"/>
      <c r="T7" s="14"/>
      <c r="U7" s="14" t="str">
        <f>+C7</f>
        <v>Ppto 2024</v>
      </c>
      <c r="V7" s="14" t="str">
        <f>+M7</f>
        <v>Real 2024</v>
      </c>
      <c r="W7" s="14" t="str">
        <f>+H7</f>
        <v>Real 2023</v>
      </c>
      <c r="X7" s="14" t="str">
        <f>+U7</f>
        <v>Ppto 2024</v>
      </c>
      <c r="Y7" s="14" t="str">
        <f>+V7</f>
        <v>Real 2024</v>
      </c>
      <c r="Z7" s="14" t="s">
        <v>26</v>
      </c>
      <c r="AA7" s="14" t="s">
        <v>24</v>
      </c>
      <c r="AB7" s="14" t="str">
        <f>+W7</f>
        <v>Real 2023</v>
      </c>
      <c r="AC7" s="14" t="s">
        <v>25</v>
      </c>
    </row>
    <row r="8" spans="1:33" ht="15.75" customHeight="1" thickBot="1" x14ac:dyDescent="0.25">
      <c r="A8" s="24"/>
      <c r="B8" s="25" t="s">
        <v>27</v>
      </c>
      <c r="C8" s="26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S8" s="11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3" x14ac:dyDescent="0.2">
      <c r="S9" s="16"/>
      <c r="U9" s="14"/>
      <c r="V9" s="14"/>
      <c r="W9" s="14"/>
      <c r="X9" s="14"/>
      <c r="Y9" s="14"/>
      <c r="Z9" s="14"/>
      <c r="AB9" s="14"/>
    </row>
    <row r="10" spans="1:33" x14ac:dyDescent="0.2">
      <c r="A10" s="30"/>
      <c r="B10" s="18" t="str">
        <f>+'COLOMB$ '!B10</f>
        <v>Musical Experience  (Ambiental)</v>
      </c>
      <c r="C10" s="31">
        <v>436739</v>
      </c>
      <c r="D10" s="32">
        <f t="shared" ref="D10:D20" si="0">+C10/$C$20</f>
        <v>0.43392068514995108</v>
      </c>
      <c r="E10" s="31">
        <v>431111.65700000001</v>
      </c>
      <c r="F10" s="32">
        <f t="shared" ref="F10:F20" si="1">+E10/$E$20</f>
        <v>0.42750063777285002</v>
      </c>
      <c r="G10" s="32">
        <f t="shared" ref="G10:G20" si="2">IF(C10=0,"",(E10-C10)/ABS(C10)+1)</f>
        <v>0.98711508933253045</v>
      </c>
      <c r="H10" s="31">
        <v>474474.44099999999</v>
      </c>
      <c r="I10" s="32">
        <f t="shared" ref="I10:I19" si="3">+H10/$H$20</f>
        <v>0.43735656288260705</v>
      </c>
      <c r="J10" s="33">
        <f t="shared" ref="J10:J20" si="4">IF(H10=0,"",(E10-H10)/ABS(H10))</f>
        <v>-9.13911904477063E-2</v>
      </c>
      <c r="K10" s="31">
        <v>436739</v>
      </c>
      <c r="L10" s="32">
        <f t="shared" ref="L10:L20" si="5">+K10/$K$20</f>
        <v>0.43392068514995108</v>
      </c>
      <c r="M10" s="31">
        <v>431111.65700000001</v>
      </c>
      <c r="N10" s="32">
        <f t="shared" ref="N10:N20" si="6">+M10/$M$20</f>
        <v>0.42750063777285002</v>
      </c>
      <c r="O10" s="32">
        <f t="shared" ref="O10:O20" si="7">IF(K10=0,"",(M10-K10)/ABS(K10)+1)</f>
        <v>0.98711508933253045</v>
      </c>
      <c r="P10" s="31">
        <v>474474.44099999999</v>
      </c>
      <c r="Q10" s="32">
        <f t="shared" ref="Q10:Q20" si="8">+P10/$P$20</f>
        <v>0.43735656288260705</v>
      </c>
      <c r="R10" s="33">
        <f t="shared" ref="R10:R20" si="9">IF(P10=0,"",(M10-P10)/ABS(P10))</f>
        <v>-9.13911904477063E-2</v>
      </c>
      <c r="S10" s="23"/>
      <c r="T10" s="18" t="s">
        <v>31</v>
      </c>
      <c r="U10" s="34">
        <f>+'COLOMB$ '!U10</f>
        <v>45751</v>
      </c>
      <c r="V10" s="34">
        <f>+'COLOMB$ '!V10</f>
        <v>45751</v>
      </c>
      <c r="W10" s="34">
        <f>+'COLOMB$ '!W10</f>
        <v>32108</v>
      </c>
      <c r="X10" s="34">
        <f>+'COLOMB$ '!X10</f>
        <v>45751</v>
      </c>
      <c r="Y10" s="34">
        <f>+'COLOMB$ '!Y10</f>
        <v>45751</v>
      </c>
      <c r="Z10" s="35">
        <f>+Y10-X10</f>
        <v>0</v>
      </c>
      <c r="AA10" s="36">
        <f>IF(X10=0,"",(Y10-X10)/ABS(X10)+1)</f>
        <v>1</v>
      </c>
      <c r="AB10" s="34">
        <f>+'COLOMB$ '!AB10</f>
        <v>32108</v>
      </c>
      <c r="AC10" s="33">
        <f>IF(W10=0,"",(Y10-AB10)/ABS(AB10))</f>
        <v>0.42490967983057182</v>
      </c>
    </row>
    <row r="11" spans="1:33" x14ac:dyDescent="0.2">
      <c r="A11" s="37"/>
      <c r="B11" s="18" t="str">
        <f>+'COLOMB$ '!B11</f>
        <v>Instalaciones</v>
      </c>
      <c r="C11" s="31">
        <v>41514</v>
      </c>
      <c r="D11" s="32">
        <f t="shared" si="0"/>
        <v>4.1246106538035461E-2</v>
      </c>
      <c r="E11" s="31">
        <v>41282.345999999998</v>
      </c>
      <c r="F11" s="32">
        <f t="shared" si="1"/>
        <v>4.0936562389820658E-2</v>
      </c>
      <c r="G11" s="32">
        <f t="shared" si="2"/>
        <v>0.99441985836103475</v>
      </c>
      <c r="H11" s="31">
        <v>40752.587</v>
      </c>
      <c r="I11" s="32">
        <f t="shared" si="3"/>
        <v>3.7564534227238627E-2</v>
      </c>
      <c r="J11" s="33">
        <f t="shared" si="4"/>
        <v>1.2999395596652507E-2</v>
      </c>
      <c r="K11" s="31">
        <v>41514</v>
      </c>
      <c r="L11" s="32">
        <f t="shared" si="5"/>
        <v>4.1246106538035461E-2</v>
      </c>
      <c r="M11" s="31">
        <v>41282.345999999998</v>
      </c>
      <c r="N11" s="32">
        <f t="shared" si="6"/>
        <v>4.0936562389820658E-2</v>
      </c>
      <c r="O11" s="32">
        <f t="shared" si="7"/>
        <v>0.99441985836103475</v>
      </c>
      <c r="P11" s="31">
        <v>40752.587</v>
      </c>
      <c r="Q11" s="32">
        <f t="shared" si="8"/>
        <v>3.7564534227238627E-2</v>
      </c>
      <c r="R11" s="33">
        <f t="shared" si="9"/>
        <v>1.2999395596652507E-2</v>
      </c>
      <c r="S11" s="23"/>
      <c r="T11" s="18" t="s">
        <v>32</v>
      </c>
      <c r="U11" s="34">
        <f>+'COLOMB$ '!U11</f>
        <v>1186886</v>
      </c>
      <c r="V11" s="34">
        <f>+'COLOMB$ '!V11</f>
        <v>1186886.05165</v>
      </c>
      <c r="W11" s="34">
        <f>+'COLOMB$ '!W11</f>
        <v>1210177.83351</v>
      </c>
      <c r="X11" s="34">
        <f>+'COLOMB$ '!X11</f>
        <v>1186886</v>
      </c>
      <c r="Y11" s="34">
        <f>+'COLOMB$ '!Y11</f>
        <v>1186886.05165</v>
      </c>
      <c r="Z11" s="35">
        <f>+Y11-X11</f>
        <v>5.1650000037625432E-2</v>
      </c>
      <c r="AA11" s="36">
        <f>IF(X11=0,"",(Y11-X11)/ABS(X11)+1)</f>
        <v>1.0000000435172376</v>
      </c>
      <c r="AB11" s="34">
        <f>+'COLOMB$ '!AB11</f>
        <v>1210177.83351</v>
      </c>
      <c r="AC11" s="33">
        <f>IF(AB11=0,"",(Y11-AB11)/ABS(AB11))</f>
        <v>-1.924657782934637E-2</v>
      </c>
    </row>
    <row r="12" spans="1:33" x14ac:dyDescent="0.2">
      <c r="A12" s="37"/>
      <c r="B12" s="18" t="str">
        <f>+'COLOMB$ '!B12</f>
        <v>Voice Experience (Publihold)</v>
      </c>
      <c r="C12" s="31">
        <v>73998</v>
      </c>
      <c r="D12" s="32">
        <f t="shared" si="0"/>
        <v>7.3520484453474685E-2</v>
      </c>
      <c r="E12" s="31">
        <v>80713.008000000002</v>
      </c>
      <c r="F12" s="32">
        <f t="shared" si="1"/>
        <v>8.003695060503814E-2</v>
      </c>
      <c r="G12" s="32">
        <f t="shared" si="2"/>
        <v>1.090745803940647</v>
      </c>
      <c r="H12" s="31">
        <v>115201.624</v>
      </c>
      <c r="I12" s="32">
        <f t="shared" si="3"/>
        <v>0.10618946345127672</v>
      </c>
      <c r="J12" s="33">
        <f t="shared" si="4"/>
        <v>-0.29937612685043397</v>
      </c>
      <c r="K12" s="31">
        <v>73998</v>
      </c>
      <c r="L12" s="32">
        <f t="shared" si="5"/>
        <v>7.3520484453474685E-2</v>
      </c>
      <c r="M12" s="31">
        <v>80713.008000000002</v>
      </c>
      <c r="N12" s="32">
        <f t="shared" si="6"/>
        <v>8.003695060503814E-2</v>
      </c>
      <c r="O12" s="32">
        <f t="shared" si="7"/>
        <v>1.090745803940647</v>
      </c>
      <c r="P12" s="31">
        <v>115201.624</v>
      </c>
      <c r="Q12" s="32">
        <f t="shared" si="8"/>
        <v>0.10618946345127672</v>
      </c>
      <c r="R12" s="33">
        <f t="shared" si="9"/>
        <v>-0.29937612685043397</v>
      </c>
      <c r="S12" s="23"/>
      <c r="AC12" s="2"/>
    </row>
    <row r="13" spans="1:33" ht="14.25" x14ac:dyDescent="0.2">
      <c r="A13" s="38"/>
      <c r="B13" s="18" t="str">
        <f>+'COLOMB$ '!B13</f>
        <v>Service &amp; Equipment Experience</v>
      </c>
      <c r="C13" s="31">
        <v>93193</v>
      </c>
      <c r="D13" s="32">
        <f t="shared" si="0"/>
        <v>9.2591617444696697E-2</v>
      </c>
      <c r="E13" s="31">
        <v>99649.27</v>
      </c>
      <c r="F13" s="32">
        <f t="shared" si="1"/>
        <v>9.8814601245168679E-2</v>
      </c>
      <c r="G13" s="32">
        <f t="shared" si="2"/>
        <v>1.0692784865816103</v>
      </c>
      <c r="H13" s="31">
        <v>115155.386</v>
      </c>
      <c r="I13" s="32">
        <f t="shared" si="3"/>
        <v>0.10614684262493264</v>
      </c>
      <c r="J13" s="33">
        <f t="shared" si="4"/>
        <v>-0.13465384936489203</v>
      </c>
      <c r="K13" s="31">
        <v>93193</v>
      </c>
      <c r="L13" s="32">
        <f t="shared" si="5"/>
        <v>9.2591617444696697E-2</v>
      </c>
      <c r="M13" s="31">
        <v>99649.27</v>
      </c>
      <c r="N13" s="32">
        <f t="shared" si="6"/>
        <v>9.8814601245168679E-2</v>
      </c>
      <c r="O13" s="32">
        <f t="shared" si="7"/>
        <v>1.0692784865816103</v>
      </c>
      <c r="P13" s="31">
        <v>115155.386</v>
      </c>
      <c r="Q13" s="32">
        <f t="shared" si="8"/>
        <v>0.10614684262493264</v>
      </c>
      <c r="R13" s="33">
        <f t="shared" si="9"/>
        <v>-0.13465384936489203</v>
      </c>
      <c r="S13" s="23"/>
      <c r="T13" s="18" t="s">
        <v>33</v>
      </c>
      <c r="U13" s="34">
        <f>+'COLOMB$ '!U13</f>
        <v>131264</v>
      </c>
      <c r="V13" s="34">
        <f>+'COLOMB$ '!V13</f>
        <v>131264.67499999999</v>
      </c>
      <c r="W13" s="34">
        <f>+'COLOMB$ '!W13</f>
        <v>140219.54699999999</v>
      </c>
      <c r="X13" s="34">
        <f>+'COLOMB$ '!X13</f>
        <v>131264</v>
      </c>
      <c r="Y13" s="34">
        <f>+'COLOMB$ '!Y13</f>
        <v>131264.67499999999</v>
      </c>
      <c r="Z13" s="35">
        <f>+X13-Y13</f>
        <v>-0.67499999998835847</v>
      </c>
      <c r="AA13" s="36">
        <f>IF(X13=0,"",(Y13-X13)/ABS(X13)+1)</f>
        <v>1.0000051423086298</v>
      </c>
      <c r="AB13" s="34">
        <f>+'COLOMB$ '!AB13</f>
        <v>140219.54699999999</v>
      </c>
      <c r="AC13" s="33">
        <f>IF(AB13=0,"",(Y13-AB13)/ABS(AB13))</f>
        <v>-6.3863221580654536E-2</v>
      </c>
      <c r="AE13" s="39"/>
      <c r="AF13" s="39"/>
    </row>
    <row r="14" spans="1:33" x14ac:dyDescent="0.2">
      <c r="A14" s="37"/>
      <c r="B14" s="18" t="str">
        <f>+'COLOMB$ '!B14</f>
        <v>POP Satelital</v>
      </c>
      <c r="C14" s="31">
        <v>0</v>
      </c>
      <c r="D14" s="32">
        <f t="shared" si="0"/>
        <v>0</v>
      </c>
      <c r="E14" s="31">
        <v>0</v>
      </c>
      <c r="F14" s="32">
        <f t="shared" si="1"/>
        <v>0</v>
      </c>
      <c r="G14" s="32" t="e">
        <f t="shared" si="2"/>
        <v>#DIV/0!</v>
      </c>
      <c r="H14" s="31">
        <v>0</v>
      </c>
      <c r="I14" s="32">
        <f t="shared" si="3"/>
        <v>0</v>
      </c>
      <c r="J14" s="33" t="e">
        <f t="shared" si="4"/>
        <v>#DIV/0!</v>
      </c>
      <c r="K14" s="31">
        <v>0</v>
      </c>
      <c r="L14" s="32">
        <f t="shared" si="5"/>
        <v>0</v>
      </c>
      <c r="M14" s="34"/>
      <c r="N14" s="32">
        <f t="shared" si="6"/>
        <v>0</v>
      </c>
      <c r="O14" s="32" t="e">
        <f t="shared" si="7"/>
        <v>#DIV/0!</v>
      </c>
      <c r="P14" s="34"/>
      <c r="Q14" s="32">
        <f t="shared" si="8"/>
        <v>0</v>
      </c>
      <c r="R14" s="33" t="str">
        <f t="shared" si="9"/>
        <v/>
      </c>
      <c r="S14" s="23"/>
      <c r="T14" s="18" t="s">
        <v>34</v>
      </c>
      <c r="U14" s="34">
        <f>+'COLOMB$ '!U14</f>
        <v>11711</v>
      </c>
      <c r="V14" s="34">
        <f>+'COLOMB$ '!V14</f>
        <v>11710.743</v>
      </c>
      <c r="W14" s="34">
        <f>+'COLOMB$ '!W14</f>
        <v>10341.194</v>
      </c>
      <c r="X14" s="34">
        <f>+'COLOMB$ '!X14</f>
        <v>11711</v>
      </c>
      <c r="Y14" s="34">
        <f>+'COLOMB$ '!Y14</f>
        <v>11710.743</v>
      </c>
      <c r="Z14" s="35">
        <f>+X14-Y14</f>
        <v>0.2569999999996071</v>
      </c>
      <c r="AA14" s="36">
        <f>IF(X14=0,"",(Y14-X14)/ABS(X14)+1)</f>
        <v>0.99997805482025448</v>
      </c>
      <c r="AB14" s="34">
        <f>+'COLOMB$ '!AB14</f>
        <v>10341.194</v>
      </c>
      <c r="AC14" s="33">
        <f>IF(AB14=0,"",(Y14-AB14)/ABS(AB14))</f>
        <v>0.13243625445959151</v>
      </c>
      <c r="AE14" s="39"/>
    </row>
    <row r="15" spans="1:33" x14ac:dyDescent="0.2">
      <c r="A15" s="37"/>
      <c r="B15" s="18" t="str">
        <f>+'COLOMB$ '!B15</f>
        <v>Voice Experience (Audicóm)</v>
      </c>
      <c r="C15" s="31">
        <v>148579</v>
      </c>
      <c r="D15" s="32">
        <f t="shared" si="0"/>
        <v>0.14762020675711254</v>
      </c>
      <c r="E15" s="31">
        <v>149380.913</v>
      </c>
      <c r="F15" s="32">
        <f t="shared" si="1"/>
        <v>0.14812968877478214</v>
      </c>
      <c r="G15" s="32">
        <f t="shared" si="2"/>
        <v>1.0053972162957081</v>
      </c>
      <c r="H15" s="31">
        <v>154086.13500000001</v>
      </c>
      <c r="I15" s="32">
        <f t="shared" si="3"/>
        <v>0.1420320602505655</v>
      </c>
      <c r="J15" s="33">
        <f t="shared" si="4"/>
        <v>-3.0536310096946805E-2</v>
      </c>
      <c r="K15" s="31">
        <v>148579</v>
      </c>
      <c r="L15" s="32">
        <f t="shared" si="5"/>
        <v>0.14762020675711254</v>
      </c>
      <c r="M15" s="31">
        <v>149380.913</v>
      </c>
      <c r="N15" s="32">
        <f t="shared" si="6"/>
        <v>0.14812968877478214</v>
      </c>
      <c r="O15" s="32">
        <f t="shared" si="7"/>
        <v>1.0053972162957081</v>
      </c>
      <c r="P15" s="31">
        <v>154086.13500000001</v>
      </c>
      <c r="Q15" s="32">
        <f t="shared" si="8"/>
        <v>0.1420320602505655</v>
      </c>
      <c r="R15" s="33">
        <f t="shared" si="9"/>
        <v>-3.0536310096946805E-2</v>
      </c>
      <c r="S15" s="23"/>
      <c r="T15" s="18" t="s">
        <v>35</v>
      </c>
      <c r="U15" s="34">
        <f>+'COLOMB$ '!U15</f>
        <v>427141</v>
      </c>
      <c r="V15" s="34">
        <f>+'COLOMB$ '!V15</f>
        <v>427141.29399999999</v>
      </c>
      <c r="W15" s="34">
        <f>+'COLOMB$ '!W15</f>
        <v>371121.48499999999</v>
      </c>
      <c r="X15" s="34">
        <f>+'COLOMB$ '!X15</f>
        <v>427141</v>
      </c>
      <c r="Y15" s="34">
        <f>+'COLOMB$ '!Y15</f>
        <v>427141.29399999999</v>
      </c>
      <c r="Z15" s="35">
        <f>+X15-Y15</f>
        <v>-0.29399999999441206</v>
      </c>
      <c r="AA15" s="36">
        <f>IF(X15=0,"",(Y15-X15)/ABS(X15)+1)</f>
        <v>1.0000006882973069</v>
      </c>
      <c r="AB15" s="34">
        <f>+'COLOMB$ '!AB15</f>
        <v>371121.48499999999</v>
      </c>
      <c r="AC15" s="33">
        <f>IF(AB15=0,"",(Y15-AB15)/ABS(AB15))</f>
        <v>0.15094736161664155</v>
      </c>
      <c r="AE15" s="39"/>
      <c r="AF15" s="39"/>
      <c r="AG15" s="39"/>
    </row>
    <row r="16" spans="1:33" x14ac:dyDescent="0.2">
      <c r="A16" s="37"/>
      <c r="B16" s="18" t="str">
        <f>+'COLOMB$ '!B16</f>
        <v>Fact. Servicio Satelital</v>
      </c>
      <c r="C16" s="31">
        <v>0</v>
      </c>
      <c r="D16" s="32">
        <f t="shared" si="0"/>
        <v>0</v>
      </c>
      <c r="E16" s="34"/>
      <c r="F16" s="32">
        <f t="shared" si="1"/>
        <v>0</v>
      </c>
      <c r="G16" s="32" t="e">
        <f t="shared" si="2"/>
        <v>#DIV/0!</v>
      </c>
      <c r="H16" s="34"/>
      <c r="I16" s="32">
        <f t="shared" si="3"/>
        <v>0</v>
      </c>
      <c r="J16" s="33" t="str">
        <f t="shared" si="4"/>
        <v/>
      </c>
      <c r="K16" s="31">
        <v>0</v>
      </c>
      <c r="L16" s="32">
        <f t="shared" si="5"/>
        <v>0</v>
      </c>
      <c r="M16" s="34">
        <f>+'COLOMB$ '!M16+'PROY SAT$'!M16</f>
        <v>0</v>
      </c>
      <c r="N16" s="32">
        <f t="shared" si="6"/>
        <v>0</v>
      </c>
      <c r="O16" s="32" t="e">
        <f t="shared" si="7"/>
        <v>#DIV/0!</v>
      </c>
      <c r="P16" s="34">
        <f>+'COLOMB$ '!P16+'PROY SAT$'!P16</f>
        <v>0</v>
      </c>
      <c r="Q16" s="32">
        <f t="shared" si="8"/>
        <v>0</v>
      </c>
      <c r="R16" s="33" t="str">
        <f t="shared" si="9"/>
        <v/>
      </c>
      <c r="S16" s="23"/>
      <c r="T16" s="18" t="s">
        <v>36</v>
      </c>
      <c r="U16" s="34">
        <f>+'COLOMB$ '!U16</f>
        <v>258739</v>
      </c>
      <c r="V16" s="34">
        <f>+'COLOMB$ '!V16</f>
        <v>258738.29108000002</v>
      </c>
      <c r="W16" s="34">
        <f>+'COLOMB$ '!W16</f>
        <v>237755.67733999999</v>
      </c>
      <c r="X16" s="34">
        <f>+'COLOMB$ '!X16</f>
        <v>258739</v>
      </c>
      <c r="Y16" s="34">
        <f>+'COLOMB$ '!Y16</f>
        <v>258738.29108000002</v>
      </c>
      <c r="Z16" s="35">
        <f>+X16-Y16</f>
        <v>0.70891999997547828</v>
      </c>
      <c r="AA16" s="36">
        <f>IF(X16=0,"",(Y16-X16)/ABS(X16)+1)</f>
        <v>0.99999726009608148</v>
      </c>
      <c r="AB16" s="34">
        <f>+'COLOMB$ '!AB16</f>
        <v>237755.67733999999</v>
      </c>
      <c r="AC16" s="33">
        <f>IF(AB16=0,"",(Y16-AB16)/ABS(AB16))</f>
        <v>8.825283995214156E-2</v>
      </c>
      <c r="AE16" s="39"/>
      <c r="AF16" s="13"/>
    </row>
    <row r="17" spans="1:32" x14ac:dyDescent="0.2">
      <c r="A17" s="37"/>
      <c r="B17" s="18" t="str">
        <f>+'COLOMB$ '!B17</f>
        <v>Visual Experience</v>
      </c>
      <c r="C17" s="31">
        <v>9528</v>
      </c>
      <c r="D17" s="32">
        <f t="shared" si="0"/>
        <v>9.4665149851713131E-3</v>
      </c>
      <c r="E17" s="31">
        <v>10900.843000000001</v>
      </c>
      <c r="F17" s="32">
        <f t="shared" si="1"/>
        <v>1.0809536831340444E-2</v>
      </c>
      <c r="G17" s="32">
        <f t="shared" si="2"/>
        <v>1.1440851175482789</v>
      </c>
      <c r="H17" s="31">
        <v>15140.651</v>
      </c>
      <c r="I17" s="32">
        <f t="shared" si="3"/>
        <v>1.3956206086062089E-2</v>
      </c>
      <c r="J17" s="33">
        <f t="shared" si="4"/>
        <v>-0.28002811768133345</v>
      </c>
      <c r="K17" s="31">
        <v>9528</v>
      </c>
      <c r="L17" s="32">
        <f t="shared" si="5"/>
        <v>9.4665149851713131E-3</v>
      </c>
      <c r="M17" s="31">
        <v>10900.843000000001</v>
      </c>
      <c r="N17" s="32">
        <f t="shared" si="6"/>
        <v>1.0809536831340444E-2</v>
      </c>
      <c r="O17" s="32">
        <f t="shared" si="7"/>
        <v>1.1440851175482789</v>
      </c>
      <c r="P17" s="31">
        <v>15140.651</v>
      </c>
      <c r="Q17" s="32">
        <f t="shared" si="8"/>
        <v>1.3956206086062089E-2</v>
      </c>
      <c r="R17" s="33">
        <f t="shared" si="9"/>
        <v>-0.28002811768133345</v>
      </c>
      <c r="S17" s="23"/>
      <c r="T17" s="18" t="s">
        <v>37</v>
      </c>
      <c r="U17" s="34">
        <f>U13+U14+U15+U16</f>
        <v>828855</v>
      </c>
      <c r="V17" s="34">
        <f>V13+V14+V15+V16</f>
        <v>828855.00307999994</v>
      </c>
      <c r="W17" s="34">
        <f>W13+W14+W15+W16</f>
        <v>759437.90333999996</v>
      </c>
      <c r="X17" s="34">
        <f>X13+X14+X15+X16</f>
        <v>828855</v>
      </c>
      <c r="Y17" s="34">
        <f>Y13+Y14+Y15+Y16</f>
        <v>828855.00307999994</v>
      </c>
      <c r="Z17" s="35">
        <f>+Y17-X17</f>
        <v>3.0799999367445707E-3</v>
      </c>
      <c r="AA17" s="36">
        <f>IF(X17=0,"",(Y17-X17)/ABS(X17)+1)</f>
        <v>1.0000000037159695</v>
      </c>
      <c r="AB17" s="34">
        <f>+'COLOMB$ '!AB17</f>
        <v>759437.90333999996</v>
      </c>
      <c r="AC17" s="33">
        <f>IF(AB17=0,"",(Y17-AB17)/ABS(AB17))</f>
        <v>9.1405893009427489E-2</v>
      </c>
      <c r="AE17" s="39"/>
      <c r="AF17" s="39"/>
    </row>
    <row r="18" spans="1:32" x14ac:dyDescent="0.2">
      <c r="A18" s="37"/>
      <c r="B18" s="18" t="str">
        <f>+'COLOMB$ '!B18</f>
        <v>Olfa Experience</v>
      </c>
      <c r="C18" s="31">
        <v>143637</v>
      </c>
      <c r="D18" s="32">
        <f t="shared" si="0"/>
        <v>0.14271009791404826</v>
      </c>
      <c r="E18" s="31">
        <v>135464.867</v>
      </c>
      <c r="F18" s="32">
        <f t="shared" si="1"/>
        <v>0.1343302044795191</v>
      </c>
      <c r="G18" s="32">
        <f t="shared" si="2"/>
        <v>0.94310565522810974</v>
      </c>
      <c r="H18" s="31">
        <v>112856.621</v>
      </c>
      <c r="I18" s="32">
        <f t="shared" si="3"/>
        <v>0.10402790876380431</v>
      </c>
      <c r="J18" s="40">
        <f t="shared" si="4"/>
        <v>0.20032715670266257</v>
      </c>
      <c r="K18" s="31">
        <v>143637</v>
      </c>
      <c r="L18" s="32">
        <f t="shared" si="5"/>
        <v>0.14271009791404826</v>
      </c>
      <c r="M18" s="31">
        <v>135464.867</v>
      </c>
      <c r="N18" s="32">
        <f t="shared" si="6"/>
        <v>0.1343302044795191</v>
      </c>
      <c r="O18" s="32">
        <f t="shared" si="7"/>
        <v>0.94310565522810974</v>
      </c>
      <c r="P18" s="31">
        <v>112856.621</v>
      </c>
      <c r="Q18" s="32">
        <f t="shared" si="8"/>
        <v>0.10402790876380431</v>
      </c>
      <c r="R18" s="33">
        <f t="shared" si="9"/>
        <v>0.20032715670266257</v>
      </c>
      <c r="S18" s="23"/>
      <c r="AC18" s="2"/>
      <c r="AE18" s="39"/>
    </row>
    <row r="19" spans="1:32" x14ac:dyDescent="0.2">
      <c r="A19" s="30"/>
      <c r="B19" s="18" t="str">
        <f>+'COLOMB$ '!B19</f>
        <v>Locutor virtual</v>
      </c>
      <c r="C19" s="31">
        <v>59307</v>
      </c>
      <c r="D19" s="32">
        <f t="shared" si="0"/>
        <v>5.8924286757509971E-2</v>
      </c>
      <c r="E19" s="31">
        <v>59943.911999999997</v>
      </c>
      <c r="F19" s="32">
        <f t="shared" si="1"/>
        <v>5.9441817901480676E-2</v>
      </c>
      <c r="G19" s="32">
        <f t="shared" si="2"/>
        <v>1.0107392382012241</v>
      </c>
      <c r="H19" s="31">
        <v>57201.243999999999</v>
      </c>
      <c r="I19" s="32">
        <f t="shared" si="3"/>
        <v>5.2726421713513015E-2</v>
      </c>
      <c r="J19" s="33">
        <f t="shared" si="4"/>
        <v>4.7947698480123924E-2</v>
      </c>
      <c r="K19" s="31">
        <v>59307</v>
      </c>
      <c r="L19" s="32">
        <f t="shared" si="5"/>
        <v>5.8924286757509971E-2</v>
      </c>
      <c r="M19" s="31">
        <v>59943.911999999997</v>
      </c>
      <c r="N19" s="32">
        <f t="shared" si="6"/>
        <v>5.9441817901480676E-2</v>
      </c>
      <c r="O19" s="32">
        <f t="shared" si="7"/>
        <v>1.0107392382012241</v>
      </c>
      <c r="P19" s="31">
        <v>57201.243999999999</v>
      </c>
      <c r="Q19" s="32">
        <f t="shared" si="8"/>
        <v>5.2726421713513015E-2</v>
      </c>
      <c r="R19" s="33">
        <f t="shared" si="9"/>
        <v>4.7947698480123924E-2</v>
      </c>
      <c r="S19" s="23"/>
      <c r="T19" s="18" t="s">
        <v>38</v>
      </c>
      <c r="U19" s="34">
        <f>U11-U17</f>
        <v>358031</v>
      </c>
      <c r="V19" s="34">
        <f>V11-V17</f>
        <v>358031.0485700001</v>
      </c>
      <c r="W19" s="34">
        <f>W11-W17</f>
        <v>450739.93017000007</v>
      </c>
      <c r="X19" s="34">
        <f>X11-X17</f>
        <v>358031</v>
      </c>
      <c r="Y19" s="34">
        <f>Y11-Y17</f>
        <v>358031.0485700001</v>
      </c>
      <c r="Z19" s="35">
        <f>+Y19-X19</f>
        <v>4.8570000100880861E-2</v>
      </c>
      <c r="AA19" s="36">
        <f>IF(X19=0,"",(Y19-X19)/ABS(X19)+1)</f>
        <v>1.0000001356586443</v>
      </c>
      <c r="AB19" s="34">
        <f>AB11-AB17</f>
        <v>450739.93017000007</v>
      </c>
      <c r="AC19" s="33">
        <f>IF(AB19=0,"",(Y19-AB19)/ABS(AB19))</f>
        <v>-0.20568153694533806</v>
      </c>
      <c r="AE19" s="39"/>
    </row>
    <row r="20" spans="1:32" x14ac:dyDescent="0.2">
      <c r="B20" s="41" t="s">
        <v>39</v>
      </c>
      <c r="C20" s="42">
        <f>SUM(C10:C19)</f>
        <v>1006495</v>
      </c>
      <c r="D20" s="43">
        <f t="shared" si="0"/>
        <v>1</v>
      </c>
      <c r="E20" s="42">
        <f>SUM(E10:E19)</f>
        <v>1008446.8160000001</v>
      </c>
      <c r="F20" s="43">
        <f t="shared" si="1"/>
        <v>1</v>
      </c>
      <c r="G20" s="43">
        <f t="shared" si="2"/>
        <v>1.0019392207611564</v>
      </c>
      <c r="H20" s="42">
        <f>SUM(H10:H19)</f>
        <v>1084868.689</v>
      </c>
      <c r="I20" s="43">
        <f>+H22/$H$22</f>
        <v>1</v>
      </c>
      <c r="J20" s="44">
        <f t="shared" si="4"/>
        <v>-7.0443431334020104E-2</v>
      </c>
      <c r="K20" s="42">
        <f>SUM(K10:K19)</f>
        <v>1006495</v>
      </c>
      <c r="L20" s="43">
        <f t="shared" si="5"/>
        <v>1</v>
      </c>
      <c r="M20" s="42">
        <f>SUM(M10:M19)</f>
        <v>1008446.8160000001</v>
      </c>
      <c r="N20" s="43">
        <f t="shared" si="6"/>
        <v>1</v>
      </c>
      <c r="O20" s="43">
        <f t="shared" si="7"/>
        <v>1.0019392207611564</v>
      </c>
      <c r="P20" s="42">
        <f>SUM(P10:P19)</f>
        <v>1084868.689</v>
      </c>
      <c r="Q20" s="43">
        <f t="shared" si="8"/>
        <v>1</v>
      </c>
      <c r="R20" s="44">
        <f t="shared" si="9"/>
        <v>-7.0443431334020104E-2</v>
      </c>
      <c r="S20" s="23"/>
      <c r="T20" s="18"/>
      <c r="U20" s="34"/>
      <c r="V20" s="34"/>
      <c r="W20" s="34"/>
      <c r="X20" s="34"/>
      <c r="Y20" s="34"/>
      <c r="Z20" s="35"/>
      <c r="AA20" s="36"/>
      <c r="AB20" s="34"/>
      <c r="AC20" s="33" t="str">
        <f>IF(AB20=0,"",(Y20-AB20)/ABS(AB20))</f>
        <v/>
      </c>
      <c r="AE20" s="39"/>
    </row>
    <row r="21" spans="1:32" x14ac:dyDescent="0.2">
      <c r="J21" s="33"/>
      <c r="R21" s="33"/>
      <c r="S21" s="23"/>
      <c r="T21" s="18" t="s">
        <v>40</v>
      </c>
      <c r="U21" s="34">
        <f>+U10+U19</f>
        <v>403782</v>
      </c>
      <c r="V21" s="34">
        <f>+V10+V19</f>
        <v>403782.0485700001</v>
      </c>
      <c r="W21" s="34">
        <f>+'COLOMB$ '!W21</f>
        <v>482847.93017000007</v>
      </c>
      <c r="X21" s="34">
        <f>+X10+X19</f>
        <v>403782</v>
      </c>
      <c r="Y21" s="34">
        <f>+Y10+Y19</f>
        <v>403782.0485700001</v>
      </c>
      <c r="Z21" s="35">
        <f>+Y21-X21</f>
        <v>4.8570000100880861E-2</v>
      </c>
      <c r="AA21" s="36">
        <f>IF(X21=0,"",(Y21-X21)/ABS(X21)+1)</f>
        <v>1.0000001202876803</v>
      </c>
      <c r="AB21" s="34">
        <f>+'COLOMB$ '!AB21</f>
        <v>482847.93017000007</v>
      </c>
      <c r="AC21" s="33">
        <f>IF(AB21=0,"",(Y21-AB21)/ABS(AB21))</f>
        <v>-0.1637490328935709</v>
      </c>
    </row>
    <row r="22" spans="1:32" x14ac:dyDescent="0.2">
      <c r="B22" s="18" t="s">
        <v>41</v>
      </c>
      <c r="C22" s="31">
        <v>90988</v>
      </c>
      <c r="D22" s="32">
        <f>+C22/$C$20</f>
        <v>9.0400846501969709E-2</v>
      </c>
      <c r="E22" s="31">
        <v>107223.56031999999</v>
      </c>
      <c r="F22" s="32">
        <f>+E22/$E$20</f>
        <v>0.10632544881771928</v>
      </c>
      <c r="G22" s="32">
        <f>IF(C22=0,"",(E22-C22)/ABS(C22)+1)</f>
        <v>1.1784362808282409</v>
      </c>
      <c r="H22" s="31">
        <v>93581.774999999994</v>
      </c>
      <c r="I22" s="32">
        <f>+H22/$H$20</f>
        <v>8.626092350979446E-2</v>
      </c>
      <c r="J22" s="33">
        <f>IF(H22=0,"",(E22-H22)/ABS(H22))</f>
        <v>0.14577395352887884</v>
      </c>
      <c r="K22" s="31">
        <v>90988</v>
      </c>
      <c r="L22" s="32">
        <f>+K22/$K$20</f>
        <v>9.0400846501969709E-2</v>
      </c>
      <c r="M22" s="31">
        <v>107223.56031999999</v>
      </c>
      <c r="N22" s="32">
        <f>+M22/$M$20</f>
        <v>0.10632544881771928</v>
      </c>
      <c r="O22" s="32">
        <f>IF(K22=0,"",(M22-K22)/ABS(K22)+1)</f>
        <v>1.1784362808282409</v>
      </c>
      <c r="P22" s="31">
        <v>93581.774999999994</v>
      </c>
      <c r="Q22" s="32">
        <f>+P22/$P$20</f>
        <v>8.626092350979446E-2</v>
      </c>
      <c r="R22" s="33">
        <f>IF(P22=0,"",(M22-P22)/ABS(P22))</f>
        <v>0.14577395352887884</v>
      </c>
      <c r="S22" s="23"/>
      <c r="AC22" s="33"/>
      <c r="AE22" s="39"/>
    </row>
    <row r="23" spans="1:32" x14ac:dyDescent="0.2">
      <c r="J23" s="33"/>
      <c r="R23" s="33"/>
      <c r="S23" s="23"/>
      <c r="T23" s="18" t="s">
        <v>42</v>
      </c>
      <c r="U23" s="34">
        <f>+'COLOMB$ '!U23</f>
        <v>34738</v>
      </c>
      <c r="V23" s="34">
        <f>+'COLOMB$ '!V23</f>
        <v>34737.802750000003</v>
      </c>
      <c r="W23" s="34">
        <f>+'COLOMB$ '!W23</f>
        <v>0</v>
      </c>
      <c r="X23" s="34">
        <f>+'COLOMB$ '!X23</f>
        <v>34738</v>
      </c>
      <c r="Y23" s="34">
        <f>+'COLOMB$ '!Y23</f>
        <v>34737.802750000003</v>
      </c>
      <c r="Z23" s="35">
        <f>+Y23-X23</f>
        <v>-0.19724999999743886</v>
      </c>
      <c r="AA23" s="36">
        <f>IF(X23=0,"",(Y23-X23)/ABS(X23)+1)</f>
        <v>0.9999943217801831</v>
      </c>
      <c r="AB23" s="34">
        <f>+'COLOMB$ '!AB23</f>
        <v>0</v>
      </c>
      <c r="AC23" s="33" t="str">
        <f>IF(AB23=0,"",(Y23-AB23)/ABS(AB23))</f>
        <v/>
      </c>
    </row>
    <row r="24" spans="1:32" x14ac:dyDescent="0.2">
      <c r="B24" s="45" t="s">
        <v>43</v>
      </c>
      <c r="C24" s="34">
        <f>+C20-C22</f>
        <v>915507</v>
      </c>
      <c r="D24" s="32">
        <f>+C24/$C$20</f>
        <v>0.90959915349803033</v>
      </c>
      <c r="E24" s="34">
        <f>+E20-E22</f>
        <v>901223.25568000018</v>
      </c>
      <c r="F24" s="32">
        <f>+E24/$E$20</f>
        <v>0.89367455118228079</v>
      </c>
      <c r="G24" s="32">
        <f>IF(C24=0,"",(E24-C24)/ABS(C24)+1)</f>
        <v>0.98439799551505358</v>
      </c>
      <c r="H24" s="34">
        <f>+H20-H22</f>
        <v>991286.91399999999</v>
      </c>
      <c r="I24" s="32">
        <f>+H24/$H$20</f>
        <v>0.91373907649020547</v>
      </c>
      <c r="J24" s="33">
        <f>IF(H24=0,"",(E24-H24)/ABS(H24))</f>
        <v>-9.0855288260165423E-2</v>
      </c>
      <c r="K24" s="34">
        <f>+K20-K22</f>
        <v>915507</v>
      </c>
      <c r="L24" s="32">
        <f>+K24/$K$20</f>
        <v>0.90959915349803033</v>
      </c>
      <c r="M24" s="34">
        <f>+M20-M22</f>
        <v>901223.25568000018</v>
      </c>
      <c r="N24" s="32">
        <f>+M24/$M$20</f>
        <v>0.89367455118228079</v>
      </c>
      <c r="O24" s="32">
        <f>IF(K24=0,"",(M24-K24)/ABS(K24)+1)</f>
        <v>0.98439799551505358</v>
      </c>
      <c r="P24" s="34">
        <f>+P20-P22</f>
        <v>991286.91399999999</v>
      </c>
      <c r="Q24" s="32">
        <f>+P24/$P$20</f>
        <v>0.91373907649020547</v>
      </c>
      <c r="R24" s="33">
        <f>IF(P24=0,"",(M24-P24)/ABS(P24))</f>
        <v>-9.0855288260165423E-2</v>
      </c>
      <c r="S24" s="23"/>
      <c r="AC24" s="33"/>
    </row>
    <row r="25" spans="1:32" x14ac:dyDescent="0.2">
      <c r="J25" s="33"/>
      <c r="R25" s="33"/>
      <c r="T25" s="18" t="s">
        <v>44</v>
      </c>
      <c r="U25" s="34">
        <f>+'COLOMB$ '!U25</f>
        <v>318538</v>
      </c>
      <c r="V25" s="34">
        <f>+'COLOMB$ '!V25</f>
        <v>318537.77316000004</v>
      </c>
      <c r="W25" s="34">
        <f>+'COLOMB$ '!W25</f>
        <v>334837.94254000002</v>
      </c>
      <c r="X25" s="34">
        <f>+'COLOMB$ '!X25</f>
        <v>318538</v>
      </c>
      <c r="Y25" s="34">
        <f>+'COLOMB$ '!Y25</f>
        <v>318537.77316000004</v>
      </c>
      <c r="Z25" s="35">
        <f>+Y25-X25</f>
        <v>-0.22683999995933846</v>
      </c>
      <c r="AA25" s="36">
        <f>IF(X25=0,"",(Y25-X25)/ABS(X25)+1)</f>
        <v>0.99999928787146286</v>
      </c>
      <c r="AB25" s="34">
        <f>+'COLOMB$ '!AB25</f>
        <v>334837.94254000002</v>
      </c>
      <c r="AC25" s="33">
        <f>IF(AB25=0,"",(Y25-AB25)/ABS(AB25))</f>
        <v>-4.868077152890983E-2</v>
      </c>
    </row>
    <row r="26" spans="1:32" x14ac:dyDescent="0.2">
      <c r="B26" s="18" t="s">
        <v>45</v>
      </c>
      <c r="C26" s="31">
        <v>211801</v>
      </c>
      <c r="D26" s="32">
        <f>+C26/$C$20</f>
        <v>0.21043422967823983</v>
      </c>
      <c r="E26" s="31">
        <v>160774.85959000001</v>
      </c>
      <c r="F26" s="32">
        <f>+E26/$E$20</f>
        <v>0.15942819892844007</v>
      </c>
      <c r="G26" s="32">
        <f>IF(C26=0,"",(E26-C26)/ABS(C26)+1)</f>
        <v>0.75908451607877203</v>
      </c>
      <c r="H26" s="31">
        <v>172644.04802000002</v>
      </c>
      <c r="I26" s="32">
        <f>+H26/$H$20</f>
        <v>0.15913819780266514</v>
      </c>
      <c r="J26" s="33">
        <f>IF(H26=0,"",(E26-H26)/ABS(H26))</f>
        <v>-6.8749479441220118E-2</v>
      </c>
      <c r="K26" s="31">
        <v>211801</v>
      </c>
      <c r="L26" s="32">
        <f>+K26/$K$20</f>
        <v>0.21043422967823983</v>
      </c>
      <c r="M26" s="31">
        <v>160774.85959000001</v>
      </c>
      <c r="N26" s="32">
        <f>+M26/$M$20</f>
        <v>0.15942819892844007</v>
      </c>
      <c r="O26" s="32">
        <f>IF(K26=0,"",(M26-K26)/ABS(K26)+1)</f>
        <v>0.75908451607877203</v>
      </c>
      <c r="P26" s="31">
        <v>172644.04802000002</v>
      </c>
      <c r="Q26" s="32">
        <f>+P26/$P$20</f>
        <v>0.15913819780266514</v>
      </c>
      <c r="R26" s="33">
        <f>IF(P26=0,"",(M26-P26)/ABS(P26))</f>
        <v>-6.8749479441220118E-2</v>
      </c>
      <c r="S26" s="23"/>
      <c r="AC26" s="33"/>
    </row>
    <row r="27" spans="1:32" x14ac:dyDescent="0.2">
      <c r="B27" s="18" t="s">
        <v>46</v>
      </c>
      <c r="C27" s="31">
        <v>334713</v>
      </c>
      <c r="D27" s="32">
        <f>+C27/$C$20</f>
        <v>0.33255306782448002</v>
      </c>
      <c r="E27" s="31">
        <v>316855.28941000003</v>
      </c>
      <c r="F27" s="32">
        <f>+E27/$E$20</f>
        <v>0.31420128893539984</v>
      </c>
      <c r="G27" s="32">
        <f>IF(C27=0,"",(E27-C27)/ABS(C27)+1)</f>
        <v>0.94664769342690613</v>
      </c>
      <c r="H27" s="31">
        <v>281924.01820999995</v>
      </c>
      <c r="I27" s="32">
        <f>+H27/$H$20</f>
        <v>0.25986925520900528</v>
      </c>
      <c r="J27" s="33">
        <f>IF(H27=0,"",(E27-H27)/ABS(H27))</f>
        <v>0.12390314036309039</v>
      </c>
      <c r="K27" s="31">
        <v>334713</v>
      </c>
      <c r="L27" s="32">
        <f>+K27/$K$20</f>
        <v>0.33255306782448002</v>
      </c>
      <c r="M27" s="31">
        <v>316855.28941000003</v>
      </c>
      <c r="N27" s="32">
        <f>+M27/$M$20</f>
        <v>0.31420128893539984</v>
      </c>
      <c r="O27" s="32">
        <f>IF(K27=0,"",(M27-K27)/ABS(K27)+1)</f>
        <v>0.94664769342690613</v>
      </c>
      <c r="P27" s="31">
        <v>281924.01820999995</v>
      </c>
      <c r="Q27" s="32">
        <f>+P27/$P$20</f>
        <v>0.25986925520900528</v>
      </c>
      <c r="R27" s="33">
        <f>IF(P27=0,"",(M27-P27)/ABS(P27))</f>
        <v>0.12390314036309039</v>
      </c>
      <c r="S27" s="23"/>
      <c r="T27" s="18" t="s">
        <v>47</v>
      </c>
      <c r="U27" s="34">
        <f>+'COLOMB$ '!U27</f>
        <v>10044</v>
      </c>
      <c r="V27" s="34">
        <f>+'COLOMB$ '!V27</f>
        <v>10044.267750000001</v>
      </c>
      <c r="W27" s="34">
        <f>+'COLOMB$ '!W27</f>
        <v>128007</v>
      </c>
      <c r="X27" s="34">
        <f>+'COLOMB$ '!X27</f>
        <v>10044</v>
      </c>
      <c r="Y27" s="34">
        <f>+'COLOMB$ '!Y27</f>
        <v>10044</v>
      </c>
      <c r="Z27" s="35">
        <f>+Y27-X27</f>
        <v>0</v>
      </c>
      <c r="AA27" s="36">
        <f>IF(X27=0,"",(Y27-X27)/ABS(X27)+1)</f>
        <v>1</v>
      </c>
      <c r="AB27" s="34">
        <f>+'COLOMB$ '!AB27</f>
        <v>128007</v>
      </c>
      <c r="AC27" s="33">
        <f>IF(AB27=0,"",(Y27-AB27)/ABS(AB27))</f>
        <v>-0.92153554102510016</v>
      </c>
    </row>
    <row r="28" spans="1:32" x14ac:dyDescent="0.2">
      <c r="B28" s="18" t="s">
        <v>48</v>
      </c>
      <c r="C28" s="34">
        <f>SUM(C26:C27)</f>
        <v>546514</v>
      </c>
      <c r="D28" s="32">
        <f>+C28/$C$20</f>
        <v>0.54298729750271979</v>
      </c>
      <c r="E28" s="34">
        <f>SUM(E26:E27)</f>
        <v>477630.14900000003</v>
      </c>
      <c r="F28" s="32">
        <f>+E28/$E$20</f>
        <v>0.4736294878638399</v>
      </c>
      <c r="G28" s="32">
        <f>IF(C28=0,"",(E28-C28)/ABS(C28)+1)</f>
        <v>0.87395775588548519</v>
      </c>
      <c r="H28" s="34">
        <f>SUM(H26:H27)</f>
        <v>454568.06623</v>
      </c>
      <c r="I28" s="32">
        <f>+H28/$H$20</f>
        <v>0.41900745301167042</v>
      </c>
      <c r="J28" s="33">
        <f>IF(H28=0,"",(E28-H28)/ABS(H28))</f>
        <v>5.0734058292452082E-2</v>
      </c>
      <c r="K28" s="34">
        <f>SUM(K26:K27)</f>
        <v>546514</v>
      </c>
      <c r="L28" s="32">
        <f>+K28/$K$20</f>
        <v>0.54298729750271979</v>
      </c>
      <c r="M28" s="34">
        <f>SUM(M26:M27)</f>
        <v>477630.14900000003</v>
      </c>
      <c r="N28" s="32">
        <f>+M28/$M$20</f>
        <v>0.4736294878638399</v>
      </c>
      <c r="O28" s="32">
        <f>IF(K28=0,"",(M28-K28)/ABS(K28)+1)</f>
        <v>0.87395775588548519</v>
      </c>
      <c r="P28" s="34">
        <f>SUM(P26:P27)</f>
        <v>454568.06623</v>
      </c>
      <c r="Q28" s="32">
        <f>+P28/$P$20</f>
        <v>0.41900745301167042</v>
      </c>
      <c r="R28" s="33">
        <f>IF(P28=0,"",(M28-P28)/ABS(P28))</f>
        <v>5.0734058292452082E-2</v>
      </c>
      <c r="S28" s="23"/>
      <c r="T28" s="18" t="s">
        <v>49</v>
      </c>
      <c r="U28" s="34">
        <f>+'COLOMB$ '!U28</f>
        <v>0</v>
      </c>
      <c r="V28" s="34">
        <f>+'COLOMB$ '!V28</f>
        <v>0</v>
      </c>
      <c r="W28" s="34">
        <f>+'COLOMB$ '!W28</f>
        <v>0</v>
      </c>
      <c r="X28" s="34">
        <f>+'COLOMB$ '!X28</f>
        <v>0</v>
      </c>
      <c r="Y28" s="34">
        <f>+'COLOMB$ '!Y28</f>
        <v>0</v>
      </c>
      <c r="Z28" s="35">
        <f>+Y28-X28</f>
        <v>0</v>
      </c>
      <c r="AA28" s="36" t="str">
        <f>IF(X28=0,"",(Y28-X28)/ABS(X28)+1)</f>
        <v/>
      </c>
      <c r="AB28" s="34">
        <f>+'COLOMB$ '!AB28</f>
        <v>0</v>
      </c>
      <c r="AC28" s="33" t="str">
        <f>IF(AB28=0,"",(Y28-AB28)/ABS(AB28))</f>
        <v/>
      </c>
    </row>
    <row r="29" spans="1:32" x14ac:dyDescent="0.2">
      <c r="J29" s="33"/>
      <c r="R29" s="33"/>
      <c r="S29" s="23"/>
      <c r="AC29" s="2"/>
    </row>
    <row r="30" spans="1:32" x14ac:dyDescent="0.2">
      <c r="B30" s="18" t="s">
        <v>50</v>
      </c>
      <c r="C30" s="34">
        <v>57146</v>
      </c>
      <c r="D30" s="32">
        <f>+C30/$C$20</f>
        <v>5.6777231878946247E-2</v>
      </c>
      <c r="E30" s="34">
        <v>54220.086779999998</v>
      </c>
      <c r="F30" s="32">
        <f>+E30/$E$20</f>
        <v>5.3765935813118768E-2</v>
      </c>
      <c r="G30" s="32">
        <f>IF(C30=0,"",(E30-C30)/ABS(C30)+1)</f>
        <v>0.94879933468659217</v>
      </c>
      <c r="H30" s="34">
        <v>49055.994479999994</v>
      </c>
      <c r="I30" s="32">
        <f>+H30/$H$20</f>
        <v>4.5218370644670706E-2</v>
      </c>
      <c r="J30" s="33">
        <f>IF(H30=0,"",(E30-H30)/ABS(H30))</f>
        <v>0.10526934281406508</v>
      </c>
      <c r="K30" s="34">
        <v>57146</v>
      </c>
      <c r="L30" s="32">
        <f>+K30/$K$20</f>
        <v>5.6777231878946247E-2</v>
      </c>
      <c r="M30" s="34">
        <v>54220.086779999998</v>
      </c>
      <c r="N30" s="32">
        <f>+M30/$M$20</f>
        <v>5.3765935813118768E-2</v>
      </c>
      <c r="O30" s="32">
        <f>IF(K30=0,"",(M30-K30)/ABS(K30)+1)</f>
        <v>0.94879933468659217</v>
      </c>
      <c r="P30" s="34">
        <v>49055.994479999994</v>
      </c>
      <c r="Q30" s="32">
        <f>+P30/$P$20</f>
        <v>4.5218370644670706E-2</v>
      </c>
      <c r="R30" s="33">
        <f>IF(P30=0,"",(M30-P30)/ABS(P30))</f>
        <v>0.10526934281406508</v>
      </c>
      <c r="S30" s="23"/>
      <c r="T30" s="41" t="s">
        <v>51</v>
      </c>
      <c r="U30" s="42">
        <f>U21-U23-U25-U27-U28</f>
        <v>40462</v>
      </c>
      <c r="V30" s="42">
        <f>V21-V23-V25-V27-V28</f>
        <v>40462.204910000029</v>
      </c>
      <c r="W30" s="42">
        <f>W21-W23-W25-W27-W28</f>
        <v>20002.987630000047</v>
      </c>
      <c r="X30" s="42">
        <f>X21-X23-X25-X27-X28</f>
        <v>40462</v>
      </c>
      <c r="Y30" s="42">
        <f>Y21-Y23-Y25-Y27-Y28</f>
        <v>40462.472660000029</v>
      </c>
      <c r="Z30" s="46">
        <f>+Y30-X30</f>
        <v>0.47266000002855435</v>
      </c>
      <c r="AA30" s="47">
        <f>IF(U30=0,"",(V30-U30)/ABS(U30)+1)</f>
        <v>1.0000050642578229</v>
      </c>
      <c r="AB30" s="42">
        <f>AB21-AB23-AB25-AB27-AB28</f>
        <v>20002.987630000047</v>
      </c>
      <c r="AC30" s="33">
        <f>IF(AB30=0,"",(Y30-AB30)/ABS(AB30))</f>
        <v>1.0228214608959358</v>
      </c>
    </row>
    <row r="31" spans="1:32" x14ac:dyDescent="0.2">
      <c r="B31" s="18" t="s">
        <v>52</v>
      </c>
      <c r="C31" s="34">
        <v>203671</v>
      </c>
      <c r="D31" s="32">
        <f>+C31/$C$20</f>
        <v>0.20235669327716482</v>
      </c>
      <c r="E31" s="34">
        <v>202931.16737000001</v>
      </c>
      <c r="F31" s="32">
        <f>+E31/$E$20</f>
        <v>0.20123140273765314</v>
      </c>
      <c r="G31" s="32">
        <f>IF(C31=0,"",(E31-C31)/ABS(C31)+1)</f>
        <v>0.99636751118224987</v>
      </c>
      <c r="H31" s="34">
        <v>165752.39284000001</v>
      </c>
      <c r="I31" s="32">
        <f>+H31/$H$20</f>
        <v>0.15278567306867866</v>
      </c>
      <c r="J31" s="33">
        <f>IF(H31=0,"",(E31-H31)/ABS(H31))</f>
        <v>0.22430309386778197</v>
      </c>
      <c r="K31" s="34">
        <v>203671</v>
      </c>
      <c r="L31" s="32">
        <f>+K31/$K$20</f>
        <v>0.20235669327716482</v>
      </c>
      <c r="M31" s="34">
        <v>202931.16737000001</v>
      </c>
      <c r="N31" s="32">
        <f>+M31/$M$20</f>
        <v>0.20123140273765314</v>
      </c>
      <c r="O31" s="32">
        <f>IF(K31=0,"",(M31-K31)/ABS(K31)+1)</f>
        <v>0.99636751118224987</v>
      </c>
      <c r="P31" s="34">
        <v>165752.39284000001</v>
      </c>
      <c r="Q31" s="32">
        <f>+P31/$P$20</f>
        <v>0.15278567306867866</v>
      </c>
      <c r="R31" s="33">
        <f>IF(P31=0,"",(M31-P31)/ABS(P31))</f>
        <v>0.22430309386778197</v>
      </c>
      <c r="S31" s="23"/>
    </row>
    <row r="32" spans="1:32" x14ac:dyDescent="0.2">
      <c r="B32" s="18" t="s">
        <v>53</v>
      </c>
      <c r="C32" s="34">
        <f>SUM(C30:C31)</f>
        <v>260817</v>
      </c>
      <c r="D32" s="32">
        <f>+C32/$C$20</f>
        <v>0.25913392515611106</v>
      </c>
      <c r="E32" s="34">
        <f>SUM(E30:E31)</f>
        <v>257151.25414999999</v>
      </c>
      <c r="F32" s="32">
        <f>+E32/$E$20</f>
        <v>0.25499733855077189</v>
      </c>
      <c r="G32" s="32">
        <f>IF(C32=0,"",(E32-C32)/ABS(C32)+1)</f>
        <v>0.98594514218781748</v>
      </c>
      <c r="H32" s="34">
        <f>SUM(H30:H31)</f>
        <v>214808.38732000001</v>
      </c>
      <c r="I32" s="32">
        <f>+H32/$H$20</f>
        <v>0.19800404371334934</v>
      </c>
      <c r="J32" s="33">
        <f>IF(H32=0,"",(E32-H32)/ABS(H32))</f>
        <v>0.19711924361185126</v>
      </c>
      <c r="K32" s="34">
        <f>SUM(K30:K31)</f>
        <v>260817</v>
      </c>
      <c r="L32" s="32">
        <f>+K32/$K$20</f>
        <v>0.25913392515611106</v>
      </c>
      <c r="M32" s="34">
        <f>SUM(M30:M31)</f>
        <v>257151.25414999999</v>
      </c>
      <c r="N32" s="32">
        <f>+M32/$M$20</f>
        <v>0.25499733855077189</v>
      </c>
      <c r="O32" s="32">
        <f>IF(K32=0,"",(M32-K32)/ABS(K32)+1)</f>
        <v>0.98594514218781748</v>
      </c>
      <c r="P32" s="34">
        <f t="shared" ref="P32" si="10">SUM(P30:P31)</f>
        <v>214808.38732000001</v>
      </c>
      <c r="Q32" s="32">
        <f>+P32/$P$20</f>
        <v>0.19800404371334934</v>
      </c>
      <c r="R32" s="33">
        <f>IF(P32=0,"",(M32-P32)/ABS(P32))</f>
        <v>0.19711924361185126</v>
      </c>
      <c r="S32" s="23"/>
    </row>
    <row r="33" spans="2:20" x14ac:dyDescent="0.2">
      <c r="J33" s="33"/>
      <c r="R33" s="33"/>
      <c r="S33" s="23"/>
    </row>
    <row r="34" spans="2:20" x14ac:dyDescent="0.2">
      <c r="B34" s="18" t="s">
        <v>54</v>
      </c>
      <c r="C34" s="34">
        <f>C28+C32</f>
        <v>807331</v>
      </c>
      <c r="D34" s="32">
        <f>+C34/$C$20</f>
        <v>0.8021212226588309</v>
      </c>
      <c r="E34" s="34">
        <f>E28+E32</f>
        <v>734781.40315000003</v>
      </c>
      <c r="F34" s="32">
        <f>+E34/$E$20</f>
        <v>0.72862682641461174</v>
      </c>
      <c r="G34" s="32">
        <f>IF(C34=0,"",(E34-C34)/ABS(C34)+1)</f>
        <v>0.91013649067111269</v>
      </c>
      <c r="H34" s="34">
        <f>H28+H32</f>
        <v>669376.45354999998</v>
      </c>
      <c r="I34" s="32">
        <f>+H34/$H$20</f>
        <v>0.61701149672501976</v>
      </c>
      <c r="J34" s="33">
        <f>IF(H34=0,"",(E34-H34)/ABS(H34))</f>
        <v>9.7710263414747589E-2</v>
      </c>
      <c r="K34" s="34">
        <f>K28+K32</f>
        <v>807331</v>
      </c>
      <c r="L34" s="32">
        <f>+K34/$K$20</f>
        <v>0.8021212226588309</v>
      </c>
      <c r="M34" s="34">
        <f>M28+M32</f>
        <v>734781.40315000003</v>
      </c>
      <c r="N34" s="32">
        <f>+M34/$M$20</f>
        <v>0.72862682641461174</v>
      </c>
      <c r="O34" s="32">
        <f>IF(K34=0,"",(M34-K34)/ABS(K34)+1)</f>
        <v>0.91013649067111269</v>
      </c>
      <c r="P34" s="34">
        <f>P28+P32</f>
        <v>669376.45354999998</v>
      </c>
      <c r="Q34" s="32">
        <f>+P34/$P$20</f>
        <v>0.61701149672501976</v>
      </c>
      <c r="R34" s="33">
        <f>IF(P34=0,"",(M34-P34)/ABS(P34))</f>
        <v>9.7710263414747589E-2</v>
      </c>
      <c r="S34" s="23"/>
    </row>
    <row r="35" spans="2:20" x14ac:dyDescent="0.2">
      <c r="J35" s="33"/>
      <c r="R35" s="33"/>
      <c r="S35" s="23"/>
    </row>
    <row r="36" spans="2:20" x14ac:dyDescent="0.2">
      <c r="B36" s="41" t="s">
        <v>55</v>
      </c>
      <c r="C36" s="42">
        <f>C24-C34</f>
        <v>108176</v>
      </c>
      <c r="D36" s="43">
        <f>+C36/$C$20</f>
        <v>0.1074779308391994</v>
      </c>
      <c r="E36" s="42">
        <f>E24-E34</f>
        <v>166441.85253000015</v>
      </c>
      <c r="F36" s="43">
        <f>+E36/$E$20</f>
        <v>0.16504772476766899</v>
      </c>
      <c r="G36" s="43">
        <f>IF(C36=0,"",(E36-C36)/ABS(C36)+1)</f>
        <v>1.5386208819886127</v>
      </c>
      <c r="H36" s="42">
        <f>H24-H34</f>
        <v>321910.46045000001</v>
      </c>
      <c r="I36" s="43">
        <f>+H36/$H$20</f>
        <v>0.29672757976518577</v>
      </c>
      <c r="J36" s="44">
        <f>IF(H36=0,"",(E36-H36)/ABS(H36))</f>
        <v>-0.48295606083340575</v>
      </c>
      <c r="K36" s="42">
        <f>K24-K34</f>
        <v>108176</v>
      </c>
      <c r="L36" s="43">
        <f>+K36/$K$20</f>
        <v>0.1074779308391994</v>
      </c>
      <c r="M36" s="42">
        <f>+M24-M34</f>
        <v>166441.85253000015</v>
      </c>
      <c r="N36" s="43">
        <f>+M36/$M$20</f>
        <v>0.16504772476766899</v>
      </c>
      <c r="O36" s="43">
        <f>IF(K36=0,"",(M36-K36)/ABS(K36)+1)</f>
        <v>1.5386208819886127</v>
      </c>
      <c r="P36" s="42">
        <f>P24-P34</f>
        <v>321910.46045000001</v>
      </c>
      <c r="Q36" s="43">
        <f>+P36/$P$20</f>
        <v>0.29672757976518577</v>
      </c>
      <c r="R36" s="44">
        <f>IF(P36=0,"",(M36-P36)/ABS(P36))</f>
        <v>-0.48295606083340575</v>
      </c>
      <c r="S36" s="23"/>
    </row>
    <row r="37" spans="2:20" x14ac:dyDescent="0.2">
      <c r="J37" s="33"/>
      <c r="R37" s="33"/>
      <c r="S37" s="23"/>
    </row>
    <row r="38" spans="2:20" x14ac:dyDescent="0.2">
      <c r="B38" s="18" t="s">
        <v>56</v>
      </c>
      <c r="C38" s="31">
        <v>321</v>
      </c>
      <c r="D38" s="32">
        <f>+C38/$C$20</f>
        <v>3.1892855900923501E-4</v>
      </c>
      <c r="E38" s="31">
        <v>781.59272999999996</v>
      </c>
      <c r="F38" s="32">
        <f>+E38/$E$20</f>
        <v>7.7504605855188691E-4</v>
      </c>
      <c r="G38" s="32">
        <f>IF(C38=0,"",(E38-C38)/ABS(C38)+1)</f>
        <v>2.434868317757009</v>
      </c>
      <c r="H38" s="31">
        <v>143.05198999999999</v>
      </c>
      <c r="I38" s="32">
        <f>+H38/$H$20</f>
        <v>1.3186111042789989E-4</v>
      </c>
      <c r="J38" s="33">
        <f>IF(H38=0,"",(E38-H38)/ABS(H38))</f>
        <v>4.4636970097375084</v>
      </c>
      <c r="K38" s="31">
        <v>321</v>
      </c>
      <c r="L38" s="32">
        <f>+K38/$K$20</f>
        <v>3.1892855900923501E-4</v>
      </c>
      <c r="M38" s="31">
        <v>781.59272999999996</v>
      </c>
      <c r="N38" s="32">
        <f>+M38/$M$20</f>
        <v>7.7504605855188691E-4</v>
      </c>
      <c r="O38" s="32">
        <f>IF(K38=0,"",(M38-K38)/ABS(K38)+1)</f>
        <v>2.434868317757009</v>
      </c>
      <c r="P38" s="31">
        <v>143.05198999999999</v>
      </c>
      <c r="Q38" s="32">
        <f>+P38/$P$20</f>
        <v>1.3186111042789989E-4</v>
      </c>
      <c r="R38" s="33">
        <f>IF(P38=0,"",(M38-P38)/ABS(P38))</f>
        <v>4.4636970097375084</v>
      </c>
      <c r="S38" s="23"/>
    </row>
    <row r="39" spans="2:20" x14ac:dyDescent="0.2">
      <c r="B39" s="18" t="s">
        <v>57</v>
      </c>
      <c r="C39" s="31">
        <v>29397</v>
      </c>
      <c r="D39" s="32">
        <f>+C39/$C$20</f>
        <v>2.9207298595621437E-2</v>
      </c>
      <c r="E39" s="31">
        <v>32050.209019999998</v>
      </c>
      <c r="F39" s="32">
        <f>+E39/$E$20</f>
        <v>3.1781754388522952E-2</v>
      </c>
      <c r="G39" s="32">
        <f>IF(C39=0,"",(E39-C39)/ABS(C39)+1)</f>
        <v>1.0902544143960267</v>
      </c>
      <c r="H39" s="31">
        <v>23161.844379999999</v>
      </c>
      <c r="I39" s="32">
        <f>+H39/$H$20</f>
        <v>2.1349905859436226E-2</v>
      </c>
      <c r="J39" s="33">
        <f>IF(H39=0,"",(E39-H39)/ABS(H39))</f>
        <v>0.38375029614114003</v>
      </c>
      <c r="K39" s="31">
        <v>29397</v>
      </c>
      <c r="L39" s="32">
        <f>+K39/$K$20</f>
        <v>2.9207298595621437E-2</v>
      </c>
      <c r="M39" s="31">
        <v>32050.209019999998</v>
      </c>
      <c r="N39" s="32">
        <f>+M39/$M$20</f>
        <v>3.1781754388522952E-2</v>
      </c>
      <c r="O39" s="32">
        <f>IF(K39=0,"",(M39-K39)/ABS(K39)+1)</f>
        <v>1.0902544143960267</v>
      </c>
      <c r="P39" s="31">
        <v>23161.844379999999</v>
      </c>
      <c r="Q39" s="32">
        <f>+P39/$P$20</f>
        <v>2.1349905859436226E-2</v>
      </c>
      <c r="R39" s="33">
        <f>IF(P39=0,"",(M39-P39)/ABS(P39))</f>
        <v>0.38375029614114003</v>
      </c>
      <c r="S39" s="23"/>
    </row>
    <row r="40" spans="2:20" x14ac:dyDescent="0.2">
      <c r="J40" s="33"/>
      <c r="R40" s="33"/>
    </row>
    <row r="41" spans="2:20" x14ac:dyDescent="0.2">
      <c r="B41" s="18" t="s">
        <v>58</v>
      </c>
      <c r="C41" s="34">
        <f>C36+C38-C39</f>
        <v>79100</v>
      </c>
      <c r="D41" s="32">
        <f>+C41/$C$20</f>
        <v>7.8589560802587194E-2</v>
      </c>
      <c r="E41" s="34">
        <f>E36+E38-E39</f>
        <v>135173.23624000014</v>
      </c>
      <c r="F41" s="32">
        <f>+E41/$E$20</f>
        <v>0.13404101643769792</v>
      </c>
      <c r="G41" s="32">
        <f>IF(C41=0,"",(E41-C41)/ABS(C41)+1)</f>
        <v>1.7088904707964621</v>
      </c>
      <c r="H41" s="34">
        <f>H36+H38-H39</f>
        <v>298891.66806</v>
      </c>
      <c r="I41" s="32">
        <f>+H41/$H$20</f>
        <v>0.27550953501617742</v>
      </c>
      <c r="J41" s="33">
        <f>IF(H41=0,"",(E41-H41)/ABS(H41))</f>
        <v>-0.54775174190247</v>
      </c>
      <c r="K41" s="34">
        <f>K36+K38-K39</f>
        <v>79100</v>
      </c>
      <c r="L41" s="32">
        <f>+K41/$K$20</f>
        <v>7.8589560802587194E-2</v>
      </c>
      <c r="M41" s="34">
        <f>M36+M38-M39</f>
        <v>135173.23624000014</v>
      </c>
      <c r="N41" s="32">
        <f>+M41/$M$20</f>
        <v>0.13404101643769792</v>
      </c>
      <c r="O41" s="32">
        <f>IF(K41=0,"",(M41-K41)/ABS(K41)+1)</f>
        <v>1.7088904707964621</v>
      </c>
      <c r="P41" s="34">
        <f>P36+P38-P39</f>
        <v>298891.66806</v>
      </c>
      <c r="Q41" s="32">
        <f>+P41/$P$20</f>
        <v>0.27550953501617742</v>
      </c>
      <c r="R41" s="33">
        <f>IF(P41=0,"",(M41-P41)/ABS(P41))</f>
        <v>-0.54775174190247</v>
      </c>
    </row>
    <row r="42" spans="2:20" x14ac:dyDescent="0.2">
      <c r="B42" s="18" t="s">
        <v>44</v>
      </c>
      <c r="C42" s="31">
        <v>31256</v>
      </c>
      <c r="D42" s="32">
        <f>+C42/$C$20</f>
        <v>3.105430230651916E-2</v>
      </c>
      <c r="E42" s="31">
        <v>50148.722999999998</v>
      </c>
      <c r="F42" s="32">
        <f>+E42/$E$20</f>
        <v>4.9728674040456285E-2</v>
      </c>
      <c r="G42" s="32">
        <f>IF(C42=0,"",(E42-C42)/ABS(C42)+1)</f>
        <v>1.6044510813923725</v>
      </c>
      <c r="H42" s="31">
        <v>101986.266</v>
      </c>
      <c r="I42" s="32">
        <f>+H42/$H$20</f>
        <v>9.400793573829469E-2</v>
      </c>
      <c r="J42" s="33">
        <f>IF(H42=0,"",(E42-H42)/ABS(H42))</f>
        <v>-0.50827964424150995</v>
      </c>
      <c r="K42" s="31">
        <v>31256</v>
      </c>
      <c r="L42" s="32">
        <f>+K42/$K$20</f>
        <v>3.105430230651916E-2</v>
      </c>
      <c r="M42" s="31">
        <v>50148.722999999998</v>
      </c>
      <c r="N42" s="32">
        <f>+M42/$M$20</f>
        <v>4.9728674040456285E-2</v>
      </c>
      <c r="O42" s="32">
        <f>IF(K42=0,"",(M42-K42)/ABS(K42)+1)</f>
        <v>1.6044510813923725</v>
      </c>
      <c r="P42" s="31">
        <v>101986.266</v>
      </c>
      <c r="Q42" s="32">
        <f>+P42/$P$20</f>
        <v>9.400793573829469E-2</v>
      </c>
      <c r="R42" s="33">
        <f>IF(P42=0,"",(M42-P42)/ABS(P42))</f>
        <v>-0.50827964424150995</v>
      </c>
    </row>
    <row r="43" spans="2:20" x14ac:dyDescent="0.2">
      <c r="B43" s="41" t="s">
        <v>59</v>
      </c>
      <c r="C43" s="42">
        <f>C41-C42</f>
        <v>47844</v>
      </c>
      <c r="D43" s="43">
        <f>+C43/$C$20</f>
        <v>4.7535258496068038E-2</v>
      </c>
      <c r="E43" s="42">
        <f>E41-E42</f>
        <v>85024.513240000146</v>
      </c>
      <c r="F43" s="43">
        <f>+E43/$E$20</f>
        <v>8.4312342397241641E-2</v>
      </c>
      <c r="G43" s="43">
        <f>IF(C43=0,"",(E43-C43)/ABS(C43)+1)</f>
        <v>1.7771196647437537</v>
      </c>
      <c r="H43" s="42">
        <f>H41-H42</f>
        <v>196905.40205999999</v>
      </c>
      <c r="I43" s="43">
        <f>+H43/$H$20</f>
        <v>0.18150159927788273</v>
      </c>
      <c r="J43" s="44">
        <f>IF(H43=0,"",(E43-H43)/ABS(H43))</f>
        <v>-0.56819613707656469</v>
      </c>
      <c r="K43" s="42">
        <f>+K41-K42</f>
        <v>47844</v>
      </c>
      <c r="L43" s="43">
        <f>+K43/$K$20</f>
        <v>4.7535258496068038E-2</v>
      </c>
      <c r="M43" s="42">
        <f>+M41-M42</f>
        <v>85024.513240000146</v>
      </c>
      <c r="N43" s="43">
        <f>+M43/$M$20</f>
        <v>8.4312342397241641E-2</v>
      </c>
      <c r="O43" s="43">
        <f>IF(K43=0,"",(M43-K43)/ABS(K43)+1)</f>
        <v>1.7771196647437537</v>
      </c>
      <c r="P43" s="42">
        <f>+P41-P42</f>
        <v>196905.40205999999</v>
      </c>
      <c r="Q43" s="43">
        <f>+P43/$P$20</f>
        <v>0.18150159927788273</v>
      </c>
      <c r="R43" s="44">
        <f>IF(P43=0,"",(M43-P43)/ABS(P43))</f>
        <v>-0.56819613707656469</v>
      </c>
      <c r="T43" s="39"/>
    </row>
    <row r="44" spans="2:20" x14ac:dyDescent="0.2">
      <c r="J44" s="33"/>
      <c r="R44" s="33"/>
    </row>
    <row r="45" spans="2:20" x14ac:dyDescent="0.2">
      <c r="B45" s="18" t="s">
        <v>60</v>
      </c>
      <c r="C45" s="31">
        <v>158404</v>
      </c>
      <c r="D45" s="32">
        <f>+C45/$C$20</f>
        <v>0.15738180517538586</v>
      </c>
      <c r="E45" s="31">
        <v>214202.30909000017</v>
      </c>
      <c r="F45" s="32">
        <f>+E45/$E$20</f>
        <v>0.21240813664287492</v>
      </c>
      <c r="G45" s="32">
        <f>IF(C45=0,"",(E45-C45)/ABS(C45)+1)</f>
        <v>1.3522531570541159</v>
      </c>
      <c r="H45" s="31">
        <v>365653.59681000002</v>
      </c>
      <c r="I45" s="32">
        <f>+H45/$H$20</f>
        <v>0.33704871429836242</v>
      </c>
      <c r="J45" s="33">
        <f>IF(H45=0,"",(E45-H45)/ABS(H45))</f>
        <v>-0.41419334868103752</v>
      </c>
      <c r="K45" s="31">
        <v>158404</v>
      </c>
      <c r="L45" s="32">
        <f>+K45/$K$20</f>
        <v>0.15738180517538586</v>
      </c>
      <c r="M45" s="31">
        <v>214202.30909000017</v>
      </c>
      <c r="N45" s="32">
        <f>+M45/$M$20</f>
        <v>0.21240813664287492</v>
      </c>
      <c r="O45" s="32">
        <f>IF(K45=0,"",(M45-K45)/ABS(K45)+1)</f>
        <v>1.3522531570541159</v>
      </c>
      <c r="P45" s="31">
        <v>365653.59681000002</v>
      </c>
      <c r="Q45" s="32">
        <f>+P45/$P$20</f>
        <v>0.33704871429836242</v>
      </c>
      <c r="R45" s="33">
        <f>IF(P45=0,"",(M45-P45)/ABS(P45))</f>
        <v>-0.41419334868103752</v>
      </c>
      <c r="T45" s="39"/>
    </row>
    <row r="46" spans="2:20" x14ac:dyDescent="0.2">
      <c r="B46" s="18" t="s">
        <v>35</v>
      </c>
      <c r="C46" s="31">
        <v>424626</v>
      </c>
      <c r="D46" s="33">
        <f t="shared" ref="D46" si="11">+C46/$C$20</f>
        <v>0.42188585139518825</v>
      </c>
      <c r="E46" s="31">
        <v>396568.03</v>
      </c>
      <c r="F46" s="33">
        <f>+E46/$E$20</f>
        <v>0.39324635043520229</v>
      </c>
      <c r="G46" s="33">
        <f>IF(C46=0,"",(E46-C46)/ABS(C46)+1)</f>
        <v>0.93392309938628348</v>
      </c>
      <c r="H46" s="31">
        <v>338504.91380000004</v>
      </c>
      <c r="I46" s="33">
        <f t="shared" ref="I46" si="12">+H46/$H$20</f>
        <v>0.31202385803209409</v>
      </c>
      <c r="J46" s="33">
        <f>IF(H46=0,"",(E46-H46)/ABS(H46))</f>
        <v>0.17152813395880454</v>
      </c>
      <c r="K46" s="31">
        <v>424626</v>
      </c>
      <c r="L46" s="33">
        <f t="shared" ref="L46" si="13">+K46/$K$20</f>
        <v>0.42188585139518825</v>
      </c>
      <c r="M46" s="31">
        <v>396568.03</v>
      </c>
      <c r="N46" s="33">
        <f>+M46/$M$20</f>
        <v>0.39324635043520229</v>
      </c>
      <c r="O46" s="33">
        <f>IF(K46=0,"",(M46-K46)/ABS(K46)+1)</f>
        <v>0.93392309938628348</v>
      </c>
      <c r="P46" s="31">
        <v>338504.91380000004</v>
      </c>
      <c r="Q46" s="33">
        <f t="shared" ref="Q46" si="14">+P46/$P$20</f>
        <v>0.31202385803209409</v>
      </c>
      <c r="R46" s="33">
        <f>IF(P46=0,"",(M46-P46)/ABS(P46))</f>
        <v>0.17152813395880454</v>
      </c>
    </row>
    <row r="47" spans="2:20" x14ac:dyDescent="0.2"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 t="s">
        <v>61</v>
      </c>
      <c r="Q47" s="34"/>
      <c r="R47" s="34"/>
    </row>
    <row r="48" spans="2:20" x14ac:dyDescent="0.2">
      <c r="C48" s="12" t="s">
        <v>61</v>
      </c>
      <c r="E48" s="12" t="s">
        <v>61</v>
      </c>
      <c r="H48" s="12" t="s">
        <v>61</v>
      </c>
      <c r="K48" s="12" t="s">
        <v>61</v>
      </c>
      <c r="M48" s="12" t="s">
        <v>61</v>
      </c>
    </row>
    <row r="49" spans="8:16" x14ac:dyDescent="0.2">
      <c r="H49" s="39"/>
      <c r="P49" s="39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DCAA7-039C-426C-8B61-4C32E6A3B51B}">
  <sheetPr>
    <tabColor theme="2" tint="-0.499984740745262"/>
  </sheetPr>
  <dimension ref="A1:AI56"/>
  <sheetViews>
    <sheetView showGridLines="0" topLeftCell="D1" zoomScale="95" zoomScaleNormal="95" workbookViewId="0">
      <selection activeCell="Z32" sqref="Z32"/>
    </sheetView>
  </sheetViews>
  <sheetFormatPr baseColWidth="10" defaultRowHeight="12.75" x14ac:dyDescent="0.2"/>
  <cols>
    <col min="1" max="1" width="3.140625" style="30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2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0" customFormat="1" x14ac:dyDescent="0.2">
      <c r="A1" s="48"/>
      <c r="B1" s="49"/>
      <c r="S1" s="51"/>
    </row>
    <row r="2" spans="1:35" x14ac:dyDescent="0.2">
      <c r="X2" s="53"/>
      <c r="Y2" s="53"/>
      <c r="Z2" s="53"/>
      <c r="AA2" s="53"/>
      <c r="AB2" s="53"/>
    </row>
    <row r="3" spans="1:35" ht="18" x14ac:dyDescent="0.25">
      <c r="B3" s="15" t="s">
        <v>62</v>
      </c>
      <c r="T3" s="17" t="str">
        <f>+B3</f>
        <v>MUSICAR COLOMBIA</v>
      </c>
      <c r="Y3" s="54"/>
    </row>
    <row r="4" spans="1:35" x14ac:dyDescent="0.2">
      <c r="B4" s="2" t="s">
        <v>20</v>
      </c>
      <c r="T4" s="3" t="s">
        <v>21</v>
      </c>
      <c r="U4" s="53"/>
      <c r="V4" s="53"/>
      <c r="W4" s="53"/>
      <c r="X4" s="53"/>
      <c r="Y4" s="53"/>
      <c r="Z4" s="53"/>
      <c r="AA4" s="53"/>
      <c r="AB4" s="53"/>
      <c r="AC4" s="53"/>
    </row>
    <row r="5" spans="1:35" x14ac:dyDescent="0.2">
      <c r="B5" s="3" t="s">
        <v>22</v>
      </c>
      <c r="T5" s="3" t="s">
        <v>22</v>
      </c>
      <c r="U5" s="53"/>
      <c r="V5" s="53"/>
      <c r="W5" s="53"/>
      <c r="X5" s="53"/>
      <c r="Y5" s="53"/>
      <c r="Z5" s="53"/>
      <c r="AA5" s="53"/>
      <c r="AB5" s="53"/>
      <c r="AC5" s="53"/>
    </row>
    <row r="6" spans="1:35" ht="13.5" thickBot="1" x14ac:dyDescent="0.25">
      <c r="B6" s="19" t="str">
        <f>Paramet!E3&amp;" de "&amp;Paramet!F3</f>
        <v>ENERO de 2024</v>
      </c>
      <c r="C6" s="55"/>
      <c r="D6" s="55"/>
      <c r="E6" s="55"/>
      <c r="F6" s="55"/>
      <c r="G6" s="55"/>
      <c r="H6" s="55"/>
      <c r="I6" s="55"/>
      <c r="J6" s="56"/>
      <c r="K6" s="20" t="s">
        <v>23</v>
      </c>
      <c r="L6" s="20"/>
      <c r="M6" s="20"/>
      <c r="N6" s="20"/>
      <c r="O6" s="20"/>
      <c r="P6" s="20"/>
      <c r="Q6" s="20"/>
      <c r="R6" s="20"/>
      <c r="S6" s="57"/>
      <c r="T6" s="19" t="str">
        <f>+B6</f>
        <v>ENERO de 2024</v>
      </c>
      <c r="U6" s="58"/>
      <c r="V6" s="58"/>
      <c r="W6" s="58"/>
      <c r="X6" s="20" t="s">
        <v>23</v>
      </c>
      <c r="Y6" s="20"/>
      <c r="Z6" s="20"/>
      <c r="AA6" s="20"/>
      <c r="AB6" s="20"/>
      <c r="AC6" s="20"/>
    </row>
    <row r="7" spans="1:35" s="60" customFormat="1" ht="15.75" customHeight="1" x14ac:dyDescent="0.2">
      <c r="A7" s="59"/>
      <c r="D7" s="60" t="str">
        <f>"Ppto "&amp;Paramet!F3</f>
        <v>Ppto 2024</v>
      </c>
      <c r="F7" s="60" t="str">
        <f>"Real "&amp;Paramet!F3</f>
        <v>Real 2024</v>
      </c>
      <c r="G7" s="61" t="s">
        <v>24</v>
      </c>
      <c r="I7" s="60" t="str">
        <f>"Real "&amp;Paramet!F4</f>
        <v>Real 2023</v>
      </c>
      <c r="J7" s="61" t="s">
        <v>25</v>
      </c>
      <c r="K7" s="61"/>
      <c r="L7" s="60" t="str">
        <f>+D7</f>
        <v>Ppto 2024</v>
      </c>
      <c r="M7" s="61"/>
      <c r="N7" s="60" t="str">
        <f>+F7</f>
        <v>Real 2024</v>
      </c>
      <c r="O7" s="61" t="s">
        <v>24</v>
      </c>
      <c r="P7" s="61" t="str">
        <f>+I7</f>
        <v>Real 2023</v>
      </c>
      <c r="Q7" s="61"/>
      <c r="R7" s="61" t="s">
        <v>25</v>
      </c>
      <c r="S7" s="62"/>
      <c r="U7" s="60" t="str">
        <f>+D7</f>
        <v>Ppto 2024</v>
      </c>
      <c r="V7" s="60" t="str">
        <f>+N7</f>
        <v>Real 2024</v>
      </c>
      <c r="W7" s="60" t="str">
        <f>+I7</f>
        <v>Real 2023</v>
      </c>
      <c r="X7" s="60" t="str">
        <f>+U7</f>
        <v>Ppto 2024</v>
      </c>
      <c r="Y7" s="60" t="str">
        <f>+V7</f>
        <v>Real 2024</v>
      </c>
      <c r="Z7" s="60" t="s">
        <v>26</v>
      </c>
      <c r="AA7" s="60" t="s">
        <v>24</v>
      </c>
      <c r="AB7" s="60" t="str">
        <f>+W7</f>
        <v>Real 2023</v>
      </c>
      <c r="AC7" s="60" t="s">
        <v>25</v>
      </c>
    </row>
    <row r="8" spans="1:35" ht="13.5" thickBot="1" x14ac:dyDescent="0.25">
      <c r="A8" s="63" t="s">
        <v>63</v>
      </c>
      <c r="B8" s="64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57"/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  <c r="AD8" s="53"/>
      <c r="AE8" s="53"/>
      <c r="AF8" s="53"/>
    </row>
    <row r="9" spans="1:35" x14ac:dyDescent="0.2">
      <c r="A9" s="63"/>
      <c r="B9" s="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7"/>
      <c r="T9" s="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5" x14ac:dyDescent="0.2">
      <c r="A10" s="30" t="s">
        <v>64</v>
      </c>
      <c r="B10" s="3" t="s">
        <v>65</v>
      </c>
      <c r="C10" s="31">
        <v>436739</v>
      </c>
      <c r="D10" s="33">
        <f t="shared" ref="D10:D15" si="0">+C10/$C$20</f>
        <v>0.43538017846301691</v>
      </c>
      <c r="E10" s="31">
        <v>431111.65700000001</v>
      </c>
      <c r="F10" s="33">
        <f t="shared" ref="F10:F20" si="1">+E10/$E$20</f>
        <v>0.42849956862213417</v>
      </c>
      <c r="G10" s="33">
        <f t="shared" ref="G10:G20" si="2">IF(C10=0,"",(E10-C10)/ABS(C10)+1)</f>
        <v>0.98711508933253045</v>
      </c>
      <c r="H10" s="31">
        <v>474474.44099999999</v>
      </c>
      <c r="I10" s="33">
        <f t="shared" ref="I10:I18" si="3">+H10/$H$20</f>
        <v>0.43744693301931437</v>
      </c>
      <c r="J10" s="33">
        <f t="shared" ref="J10:J20" si="4">IF(H10=0,"",(E10-H10)/ABS(H10))</f>
        <v>-9.13911904477063E-2</v>
      </c>
      <c r="K10" s="31">
        <v>436739</v>
      </c>
      <c r="L10" s="33">
        <f t="shared" ref="L10:L46" si="5">+K10/$K$20</f>
        <v>0.43554299892495207</v>
      </c>
      <c r="M10" s="31">
        <v>412915.57199999999</v>
      </c>
      <c r="N10" s="33">
        <f t="shared" ref="N10:N20" si="6">+M10/$M$20</f>
        <v>0.42203316122184287</v>
      </c>
      <c r="O10" s="33">
        <f t="shared" ref="O10:O19" si="7">IF(K10=0,"",(M10-K10)/ABS(K10)+1)</f>
        <v>0.94545156718314594</v>
      </c>
      <c r="P10" s="31">
        <v>474474.44099999999</v>
      </c>
      <c r="Q10" s="33">
        <f t="shared" ref="Q10:Q46" si="8">+P10/$P$20</f>
        <v>0.43735656288260705</v>
      </c>
      <c r="R10" s="33">
        <f t="shared" ref="R10:R18" si="9">IF(P10=0,"",(M10-P10)/ABS(P10))</f>
        <v>-0.1297411697672457</v>
      </c>
      <c r="S10" s="66"/>
      <c r="T10" s="3" t="s">
        <v>31</v>
      </c>
      <c r="U10" s="31">
        <v>45751</v>
      </c>
      <c r="V10" s="31">
        <v>45751</v>
      </c>
      <c r="W10" s="31">
        <v>32108</v>
      </c>
      <c r="X10" s="31">
        <v>45751</v>
      </c>
      <c r="Y10" s="31">
        <v>45751</v>
      </c>
      <c r="Z10" s="62">
        <f>+Y10-X10</f>
        <v>0</v>
      </c>
      <c r="AA10" s="67">
        <f>IF(X10=0,"",(Y10-X10)/ABS(X10)+1)</f>
        <v>1</v>
      </c>
      <c r="AB10" s="31">
        <v>32108</v>
      </c>
      <c r="AC10" s="33">
        <f>IF(W10=0,"",(Y10-AB10)/ABS(AB10))</f>
        <v>0.42490967983057182</v>
      </c>
      <c r="AD10" s="52"/>
      <c r="AE10" s="52"/>
      <c r="AF10" s="52"/>
      <c r="AH10" s="52"/>
    </row>
    <row r="11" spans="1:35" x14ac:dyDescent="0.2">
      <c r="A11" s="37" t="s">
        <v>66</v>
      </c>
      <c r="B11" s="3" t="s">
        <v>67</v>
      </c>
      <c r="C11" s="31">
        <v>41514</v>
      </c>
      <c r="D11" s="33">
        <f t="shared" si="0"/>
        <v>4.138483792084903E-2</v>
      </c>
      <c r="E11" s="31">
        <v>41282.345999999998</v>
      </c>
      <c r="F11" s="33">
        <f t="shared" si="1"/>
        <v>4.1032217908015617E-2</v>
      </c>
      <c r="G11" s="33">
        <f t="shared" si="2"/>
        <v>0.99441985836103475</v>
      </c>
      <c r="H11" s="31">
        <v>40752.587</v>
      </c>
      <c r="I11" s="33">
        <f t="shared" si="3"/>
        <v>3.7572296113949757E-2</v>
      </c>
      <c r="J11" s="33">
        <f t="shared" si="4"/>
        <v>1.2999395596652507E-2</v>
      </c>
      <c r="K11" s="31">
        <v>41514</v>
      </c>
      <c r="L11" s="33">
        <f t="shared" si="5"/>
        <v>4.1400314735735667E-2</v>
      </c>
      <c r="M11" s="31">
        <v>41166.374000000003</v>
      </c>
      <c r="N11" s="33">
        <f t="shared" si="6"/>
        <v>4.2075368751800624E-2</v>
      </c>
      <c r="O11" s="33">
        <f t="shared" si="7"/>
        <v>0.99162629474394193</v>
      </c>
      <c r="P11" s="31">
        <v>40752.587</v>
      </c>
      <c r="Q11" s="33">
        <f t="shared" si="8"/>
        <v>3.7564534227238627E-2</v>
      </c>
      <c r="R11" s="33">
        <f t="shared" si="9"/>
        <v>1.0153637608331562E-2</v>
      </c>
      <c r="S11" s="66"/>
      <c r="T11" s="3" t="s">
        <v>32</v>
      </c>
      <c r="U11" s="31">
        <v>1186886</v>
      </c>
      <c r="V11" s="31">
        <v>1186886.05165</v>
      </c>
      <c r="W11" s="31">
        <v>1210177.83351</v>
      </c>
      <c r="X11" s="31">
        <v>1186886</v>
      </c>
      <c r="Y11" s="31">
        <v>1186886.05165</v>
      </c>
      <c r="Z11" s="62">
        <f>+Y11-X11</f>
        <v>5.1650000037625432E-2</v>
      </c>
      <c r="AA11" s="67">
        <f>IF(X11=0,"",(Y11-X11)/ABS(X11)+1)</f>
        <v>1.0000000435172376</v>
      </c>
      <c r="AB11" s="31">
        <v>1210177.83351</v>
      </c>
      <c r="AC11" s="33">
        <f>IF(AB11=0,"",(Y11-AB11)/ABS(AB11))</f>
        <v>-1.924657782934637E-2</v>
      </c>
      <c r="AD11" s="52"/>
      <c r="AE11" s="52"/>
      <c r="AF11" s="52"/>
      <c r="AG11" s="52"/>
      <c r="AH11" s="52"/>
      <c r="AI11" s="54"/>
    </row>
    <row r="12" spans="1:35" x14ac:dyDescent="0.2">
      <c r="A12" s="37" t="s">
        <v>68</v>
      </c>
      <c r="B12" s="3" t="s">
        <v>69</v>
      </c>
      <c r="C12" s="31">
        <v>73998</v>
      </c>
      <c r="D12" s="33">
        <f t="shared" si="0"/>
        <v>7.3767770787372608E-2</v>
      </c>
      <c r="E12" s="31">
        <v>80713.008000000002</v>
      </c>
      <c r="F12" s="33">
        <f t="shared" si="1"/>
        <v>8.0223971095717467E-2</v>
      </c>
      <c r="G12" s="33">
        <f t="shared" si="2"/>
        <v>1.090745803940647</v>
      </c>
      <c r="H12" s="31">
        <v>115201.624</v>
      </c>
      <c r="I12" s="33">
        <f t="shared" si="3"/>
        <v>0.1062114051737599</v>
      </c>
      <c r="J12" s="33">
        <f t="shared" si="4"/>
        <v>-0.29937612685043397</v>
      </c>
      <c r="K12" s="31">
        <v>73998</v>
      </c>
      <c r="L12" s="33">
        <f t="shared" si="5"/>
        <v>7.3795357947077325E-2</v>
      </c>
      <c r="M12" s="31">
        <v>80231.656000000003</v>
      </c>
      <c r="N12" s="33">
        <f t="shared" si="6"/>
        <v>8.2003251288724557E-2</v>
      </c>
      <c r="O12" s="33">
        <f t="shared" si="7"/>
        <v>1.0842408713749021</v>
      </c>
      <c r="P12" s="31">
        <v>115201.624</v>
      </c>
      <c r="Q12" s="33">
        <f t="shared" si="8"/>
        <v>0.10618946345127672</v>
      </c>
      <c r="R12" s="33">
        <f t="shared" si="9"/>
        <v>-0.30355447072516961</v>
      </c>
      <c r="S12" s="66"/>
      <c r="AD12" s="52"/>
      <c r="AE12" s="52"/>
      <c r="AF12" s="52"/>
      <c r="AG12" s="52"/>
      <c r="AH12" s="52"/>
      <c r="AI12" s="54"/>
    </row>
    <row r="13" spans="1:35" x14ac:dyDescent="0.2">
      <c r="A13" s="37" t="s">
        <v>70</v>
      </c>
      <c r="B13" s="3" t="s">
        <v>71</v>
      </c>
      <c r="C13" s="31">
        <v>93193</v>
      </c>
      <c r="D13" s="33">
        <f t="shared" si="0"/>
        <v>9.2903049582253788E-2</v>
      </c>
      <c r="E13" s="31">
        <v>97298.349000000002</v>
      </c>
      <c r="F13" s="33">
        <f t="shared" si="1"/>
        <v>9.670882217445087E-2</v>
      </c>
      <c r="G13" s="33">
        <f t="shared" si="2"/>
        <v>1.0440521176483213</v>
      </c>
      <c r="H13" s="31">
        <v>115155.386</v>
      </c>
      <c r="I13" s="33">
        <f t="shared" si="3"/>
        <v>0.10616877554075731</v>
      </c>
      <c r="J13" s="33">
        <f t="shared" si="4"/>
        <v>-0.15506905599708551</v>
      </c>
      <c r="K13" s="31">
        <v>92818</v>
      </c>
      <c r="L13" s="33">
        <f t="shared" si="5"/>
        <v>9.2563819750963852E-2</v>
      </c>
      <c r="M13" s="31">
        <v>97298.349000000002</v>
      </c>
      <c r="N13" s="33">
        <f t="shared" si="6"/>
        <v>9.9446793956552773E-2</v>
      </c>
      <c r="O13" s="33">
        <f t="shared" si="7"/>
        <v>1.048270260078864</v>
      </c>
      <c r="P13" s="31">
        <v>115155.386</v>
      </c>
      <c r="Q13" s="33">
        <f t="shared" si="8"/>
        <v>0.10614684262493264</v>
      </c>
      <c r="R13" s="33">
        <f t="shared" si="9"/>
        <v>-0.15506905599708551</v>
      </c>
      <c r="S13" s="66"/>
      <c r="T13" s="3" t="s">
        <v>33</v>
      </c>
      <c r="U13" s="31">
        <v>131264</v>
      </c>
      <c r="V13" s="31">
        <v>131264.67499999999</v>
      </c>
      <c r="W13" s="31">
        <v>140219.54699999999</v>
      </c>
      <c r="X13" s="31">
        <v>131264</v>
      </c>
      <c r="Y13" s="31">
        <v>131264.67499999999</v>
      </c>
      <c r="Z13" s="62">
        <f>+X13-Y13</f>
        <v>-0.67499999998835847</v>
      </c>
      <c r="AA13" s="67">
        <f>IF(X13=0,"",(Y13-X13)/ABS(X13)+1)</f>
        <v>1.0000051423086298</v>
      </c>
      <c r="AB13" s="31">
        <v>140219.54699999999</v>
      </c>
      <c r="AC13" s="33">
        <f>IF(AB13=0,"",(Y13-AB13)/ABS(AB13))</f>
        <v>-6.3863221580654536E-2</v>
      </c>
      <c r="AD13" s="52"/>
      <c r="AE13" s="52"/>
      <c r="AF13" s="52"/>
      <c r="AG13" s="52"/>
      <c r="AH13" s="52"/>
      <c r="AI13" s="54"/>
    </row>
    <row r="14" spans="1:35" x14ac:dyDescent="0.2">
      <c r="A14" s="37">
        <v>4170250500</v>
      </c>
      <c r="B14" s="3" t="s">
        <v>72</v>
      </c>
      <c r="C14" s="31">
        <v>0</v>
      </c>
      <c r="D14" s="33">
        <f t="shared" si="0"/>
        <v>0</v>
      </c>
      <c r="E14" s="31">
        <v>0</v>
      </c>
      <c r="F14" s="33">
        <f t="shared" si="1"/>
        <v>0</v>
      </c>
      <c r="G14" s="33" t="str">
        <f t="shared" si="2"/>
        <v/>
      </c>
      <c r="H14" s="31">
        <v>0</v>
      </c>
      <c r="I14" s="33">
        <f t="shared" si="3"/>
        <v>0</v>
      </c>
      <c r="J14" s="33" t="e">
        <f t="shared" si="4"/>
        <v>#DIV/0!</v>
      </c>
      <c r="K14" s="31">
        <v>0</v>
      </c>
      <c r="L14" s="33">
        <f t="shared" si="5"/>
        <v>0</v>
      </c>
      <c r="M14" s="31">
        <v>0</v>
      </c>
      <c r="N14" s="33">
        <f t="shared" si="6"/>
        <v>0</v>
      </c>
      <c r="O14" s="33" t="str">
        <f t="shared" si="7"/>
        <v/>
      </c>
      <c r="P14" s="31">
        <v>0</v>
      </c>
      <c r="Q14" s="33">
        <f t="shared" si="8"/>
        <v>0</v>
      </c>
      <c r="R14" s="33" t="str">
        <f t="shared" si="9"/>
        <v/>
      </c>
      <c r="S14" s="66"/>
      <c r="T14" s="3" t="s">
        <v>34</v>
      </c>
      <c r="U14" s="31">
        <v>11711</v>
      </c>
      <c r="V14" s="31">
        <v>11710.743</v>
      </c>
      <c r="W14" s="31">
        <v>10341.194</v>
      </c>
      <c r="X14" s="31">
        <v>11711</v>
      </c>
      <c r="Y14" s="31">
        <v>11710.743</v>
      </c>
      <c r="Z14" s="62">
        <f>+X14-Y14</f>
        <v>0.2569999999996071</v>
      </c>
      <c r="AA14" s="67">
        <f>IF(X14=0,"",(Y14-X14)/ABS(X14)+1)</f>
        <v>0.99997805482025448</v>
      </c>
      <c r="AB14" s="31">
        <v>10341.194</v>
      </c>
      <c r="AC14" s="33">
        <f>IF(AB14=0,"",(Y14-AB14)/ABS(AB14))</f>
        <v>0.13243625445959151</v>
      </c>
      <c r="AD14" s="52"/>
      <c r="AE14" s="52"/>
      <c r="AF14" s="52"/>
      <c r="AG14" s="52"/>
      <c r="AH14" s="52"/>
      <c r="AI14" s="54"/>
    </row>
    <row r="15" spans="1:35" x14ac:dyDescent="0.2">
      <c r="A15" s="37" t="s">
        <v>73</v>
      </c>
      <c r="B15" s="3" t="s">
        <v>74</v>
      </c>
      <c r="C15" s="31">
        <v>148579</v>
      </c>
      <c r="D15" s="33">
        <f t="shared" si="0"/>
        <v>0.14811672769287054</v>
      </c>
      <c r="E15" s="31">
        <v>149380.913</v>
      </c>
      <c r="F15" s="33">
        <f t="shared" si="1"/>
        <v>0.14847581999129417</v>
      </c>
      <c r="G15" s="33">
        <f t="shared" si="2"/>
        <v>1.0053972162957081</v>
      </c>
      <c r="H15" s="31">
        <v>154086.13500000001</v>
      </c>
      <c r="I15" s="33">
        <f t="shared" si="3"/>
        <v>0.14206140805917519</v>
      </c>
      <c r="J15" s="33">
        <f t="shared" si="4"/>
        <v>-3.0536310096946805E-2</v>
      </c>
      <c r="K15" s="31">
        <v>148579</v>
      </c>
      <c r="L15" s="33">
        <f t="shared" si="5"/>
        <v>0.1481721193602368</v>
      </c>
      <c r="M15" s="31">
        <v>147068.69899999999</v>
      </c>
      <c r="N15" s="33">
        <f t="shared" si="6"/>
        <v>0.15031612311233852</v>
      </c>
      <c r="O15" s="33">
        <f t="shared" si="7"/>
        <v>0.98983503052248289</v>
      </c>
      <c r="P15" s="31">
        <v>154086.13500000001</v>
      </c>
      <c r="Q15" s="33">
        <f t="shared" si="8"/>
        <v>0.1420320602505655</v>
      </c>
      <c r="R15" s="33">
        <f t="shared" si="9"/>
        <v>-4.5542293600913643E-2</v>
      </c>
      <c r="S15" s="66"/>
      <c r="T15" s="3" t="s">
        <v>35</v>
      </c>
      <c r="U15" s="31">
        <v>427141</v>
      </c>
      <c r="V15" s="31">
        <v>427141.29399999999</v>
      </c>
      <c r="W15" s="31">
        <v>371121.48499999999</v>
      </c>
      <c r="X15" s="31">
        <v>427141</v>
      </c>
      <c r="Y15" s="31">
        <v>427141.29399999999</v>
      </c>
      <c r="Z15" s="62">
        <f>+X15-Y15</f>
        <v>-0.29399999999441206</v>
      </c>
      <c r="AA15" s="67">
        <f>IF(X15=0,"",(Y15-X15)/ABS(X15)+1)</f>
        <v>1.0000006882973069</v>
      </c>
      <c r="AB15" s="31">
        <v>371121.48499999999</v>
      </c>
      <c r="AC15" s="33">
        <f>IF(AB15=0,"",(Y15-AB15)/ABS(AB15))</f>
        <v>0.15094736161664155</v>
      </c>
      <c r="AD15" s="52"/>
      <c r="AE15" s="52"/>
      <c r="AF15" s="52"/>
      <c r="AG15" s="52"/>
      <c r="AH15" s="52"/>
      <c r="AI15" s="54"/>
    </row>
    <row r="16" spans="1:35" x14ac:dyDescent="0.2">
      <c r="A16" s="37">
        <v>4155951000</v>
      </c>
      <c r="B16" s="3" t="s">
        <v>75</v>
      </c>
      <c r="C16" s="31">
        <v>0</v>
      </c>
      <c r="D16" s="33"/>
      <c r="E16" s="31">
        <v>0</v>
      </c>
      <c r="F16" s="33">
        <f t="shared" si="1"/>
        <v>0</v>
      </c>
      <c r="G16" s="33" t="str">
        <f t="shared" si="2"/>
        <v/>
      </c>
      <c r="H16" s="31">
        <v>0</v>
      </c>
      <c r="I16" s="33">
        <f t="shared" si="3"/>
        <v>0</v>
      </c>
      <c r="J16" s="33" t="e">
        <f t="shared" si="4"/>
        <v>#DIV/0!</v>
      </c>
      <c r="K16" s="31">
        <v>0</v>
      </c>
      <c r="L16" s="33">
        <f t="shared" si="5"/>
        <v>0</v>
      </c>
      <c r="M16" s="31">
        <v>0</v>
      </c>
      <c r="N16" s="33">
        <f t="shared" si="6"/>
        <v>0</v>
      </c>
      <c r="O16" s="33" t="str">
        <f t="shared" si="7"/>
        <v/>
      </c>
      <c r="P16" s="31">
        <v>0</v>
      </c>
      <c r="Q16" s="33">
        <f t="shared" si="8"/>
        <v>0</v>
      </c>
      <c r="R16" s="33" t="str">
        <f t="shared" si="9"/>
        <v/>
      </c>
      <c r="S16" s="66"/>
      <c r="T16" s="3" t="s">
        <v>36</v>
      </c>
      <c r="U16" s="31">
        <v>258739</v>
      </c>
      <c r="V16" s="31">
        <v>258738.29108000002</v>
      </c>
      <c r="W16" s="31">
        <v>237755.67733999999</v>
      </c>
      <c r="X16" s="31">
        <v>258739</v>
      </c>
      <c r="Y16" s="31">
        <v>258738.29108000002</v>
      </c>
      <c r="Z16" s="62">
        <f>+X16-Y16</f>
        <v>0.70891999997547828</v>
      </c>
      <c r="AA16" s="67">
        <f>IF(X16=0,"",(Y16-X16)/ABS(X16)+1)</f>
        <v>0.99999726009608148</v>
      </c>
      <c r="AB16" s="31">
        <v>237755.67733999999</v>
      </c>
      <c r="AC16" s="33">
        <f>IF(AB16=0,"",(Y16-AB16)/ABS(AB16))</f>
        <v>8.825283995214156E-2</v>
      </c>
      <c r="AD16" s="52"/>
      <c r="AE16" s="52"/>
      <c r="AF16" s="52"/>
      <c r="AG16" s="52"/>
      <c r="AH16" s="52"/>
      <c r="AI16" s="54"/>
    </row>
    <row r="17" spans="1:35" x14ac:dyDescent="0.2">
      <c r="A17" s="37">
        <v>4155951500</v>
      </c>
      <c r="B17" s="3" t="s">
        <v>76</v>
      </c>
      <c r="C17" s="31">
        <v>9528</v>
      </c>
      <c r="D17" s="33">
        <f>+C17/$C$20</f>
        <v>9.4983556320723025E-3</v>
      </c>
      <c r="E17" s="31">
        <v>10900.843000000001</v>
      </c>
      <c r="F17" s="33">
        <f t="shared" si="1"/>
        <v>1.0834795225956071E-2</v>
      </c>
      <c r="G17" s="33">
        <f t="shared" si="2"/>
        <v>1.1440851175482789</v>
      </c>
      <c r="H17" s="31">
        <v>15140.651</v>
      </c>
      <c r="I17" s="33">
        <f t="shared" si="3"/>
        <v>1.3959089829805638E-2</v>
      </c>
      <c r="J17" s="33">
        <f t="shared" si="4"/>
        <v>-0.28002811768133345</v>
      </c>
      <c r="K17" s="31">
        <v>9528</v>
      </c>
      <c r="L17" s="33">
        <f t="shared" si="5"/>
        <v>9.5019077612875039E-3</v>
      </c>
      <c r="M17" s="31">
        <v>10900.843000000001</v>
      </c>
      <c r="N17" s="33">
        <f t="shared" si="6"/>
        <v>1.1141544526862739E-2</v>
      </c>
      <c r="O17" s="33">
        <f t="shared" si="7"/>
        <v>1.1440851175482789</v>
      </c>
      <c r="P17" s="31">
        <v>15140.651</v>
      </c>
      <c r="Q17" s="33">
        <f t="shared" si="8"/>
        <v>1.3956206086062089E-2</v>
      </c>
      <c r="R17" s="33">
        <f t="shared" si="9"/>
        <v>-0.28002811768133345</v>
      </c>
      <c r="S17" s="66"/>
      <c r="T17" s="3" t="s">
        <v>37</v>
      </c>
      <c r="U17" s="31">
        <f t="shared" ref="U17:AB17" si="10">SUM(U13:U16)</f>
        <v>828855</v>
      </c>
      <c r="V17" s="31">
        <f>SUM(V13:V16)</f>
        <v>828855.00307999994</v>
      </c>
      <c r="W17" s="31">
        <f t="shared" si="10"/>
        <v>759437.90333999996</v>
      </c>
      <c r="X17" s="31">
        <f t="shared" si="10"/>
        <v>828855</v>
      </c>
      <c r="Y17" s="31">
        <f>SUM(Y13:Y16)</f>
        <v>828855.00307999994</v>
      </c>
      <c r="Z17" s="62">
        <f>+Y17-X17</f>
        <v>3.0799999367445707E-3</v>
      </c>
      <c r="AA17" s="67">
        <f>IF(X17=0,"",(Y17-X17)/ABS(X17)+1)</f>
        <v>1.0000000037159695</v>
      </c>
      <c r="AB17" s="31">
        <f t="shared" si="10"/>
        <v>759437.90333999996</v>
      </c>
      <c r="AC17" s="33">
        <f>IF(AB17=0,"",(Y17-AB17)/ABS(AB17))</f>
        <v>9.1405893009427489E-2</v>
      </c>
      <c r="AD17" s="52"/>
      <c r="AE17" s="52"/>
      <c r="AF17" s="52"/>
      <c r="AG17" s="52"/>
      <c r="AH17" s="52"/>
      <c r="AI17" s="54"/>
    </row>
    <row r="18" spans="1:35" x14ac:dyDescent="0.2">
      <c r="A18" s="37" t="s">
        <v>77</v>
      </c>
      <c r="B18" s="3" t="s">
        <v>78</v>
      </c>
      <c r="C18" s="31">
        <v>140263</v>
      </c>
      <c r="D18" s="40">
        <f t="shared" ref="D18:D46" si="11">+C18/$C$20</f>
        <v>0.13982660117772433</v>
      </c>
      <c r="E18" s="31">
        <v>135464.867</v>
      </c>
      <c r="F18" s="33">
        <f t="shared" si="1"/>
        <v>0.13464409076035441</v>
      </c>
      <c r="G18" s="33">
        <f t="shared" si="2"/>
        <v>0.96579188381825565</v>
      </c>
      <c r="H18" s="31">
        <v>112632.503</v>
      </c>
      <c r="I18" s="33">
        <f t="shared" si="3"/>
        <v>0.1038427757916653</v>
      </c>
      <c r="J18" s="40">
        <f t="shared" si="4"/>
        <v>0.20271558734693129</v>
      </c>
      <c r="K18" s="31">
        <v>140263</v>
      </c>
      <c r="L18" s="33">
        <f t="shared" si="5"/>
        <v>0.13987889256102742</v>
      </c>
      <c r="M18" s="31">
        <v>128870.63099999999</v>
      </c>
      <c r="N18" s="33">
        <f t="shared" si="6"/>
        <v>0.13171622355182966</v>
      </c>
      <c r="O18" s="33">
        <f t="shared" si="7"/>
        <v>0.91877851607337635</v>
      </c>
      <c r="P18" s="31">
        <v>112856.621</v>
      </c>
      <c r="Q18" s="33">
        <f t="shared" si="8"/>
        <v>0.10402790876380431</v>
      </c>
      <c r="R18" s="40">
        <f t="shared" si="9"/>
        <v>0.14189694727790933</v>
      </c>
      <c r="S18" s="66"/>
      <c r="AD18" s="52"/>
      <c r="AE18" s="52"/>
      <c r="AF18" s="52"/>
      <c r="AG18" s="52"/>
      <c r="AH18" s="52"/>
      <c r="AI18" s="54"/>
    </row>
    <row r="19" spans="1:35" x14ac:dyDescent="0.2">
      <c r="A19" s="30" t="s">
        <v>79</v>
      </c>
      <c r="B19" s="3" t="s">
        <v>80</v>
      </c>
      <c r="C19" s="31">
        <v>59307</v>
      </c>
      <c r="D19" s="33">
        <f t="shared" si="11"/>
        <v>5.9122478743840474E-2</v>
      </c>
      <c r="E19" s="31">
        <v>59943.911999999997</v>
      </c>
      <c r="F19" s="33">
        <f t="shared" si="1"/>
        <v>5.9580714222077204E-2</v>
      </c>
      <c r="G19" s="33">
        <f t="shared" si="2"/>
        <v>1.0107392382012241</v>
      </c>
      <c r="H19" s="31">
        <v>57201.243999999999</v>
      </c>
      <c r="I19" s="33"/>
      <c r="J19" s="33">
        <f t="shared" si="4"/>
        <v>4.7947698480123924E-2</v>
      </c>
      <c r="K19" s="31">
        <v>59307</v>
      </c>
      <c r="L19" s="33">
        <f t="shared" si="5"/>
        <v>5.9144588958719359E-2</v>
      </c>
      <c r="M19" s="31">
        <v>59943.911999999997</v>
      </c>
      <c r="N19" s="33">
        <f t="shared" si="6"/>
        <v>6.1267533590048183E-2</v>
      </c>
      <c r="O19" s="33">
        <f t="shared" si="7"/>
        <v>1.0107392382012241</v>
      </c>
      <c r="P19" s="31">
        <v>57201.243999999999</v>
      </c>
      <c r="Q19" s="33">
        <f t="shared" si="8"/>
        <v>5.2726421713513015E-2</v>
      </c>
      <c r="R19" s="33"/>
      <c r="S19" s="66"/>
      <c r="T19" s="3" t="s">
        <v>38</v>
      </c>
      <c r="U19" s="31">
        <f>U11-U17</f>
        <v>358031</v>
      </c>
      <c r="V19" s="31">
        <f>V11-V17</f>
        <v>358031.0485700001</v>
      </c>
      <c r="W19" s="31">
        <f>W11-W17</f>
        <v>450739.93017000007</v>
      </c>
      <c r="X19" s="31">
        <f>X11-X17</f>
        <v>358031</v>
      </c>
      <c r="Y19" s="31">
        <f>Y11-Y17</f>
        <v>358031.0485700001</v>
      </c>
      <c r="Z19" s="31">
        <f>+Y19-X19</f>
        <v>4.8570000100880861E-2</v>
      </c>
      <c r="AA19" s="67">
        <f>IF(X19=0,"",(Y19-X19)/ABS(X19)+1)</f>
        <v>1.0000001356586443</v>
      </c>
      <c r="AB19" s="31">
        <f>AB11-AB17</f>
        <v>450739.93017000007</v>
      </c>
      <c r="AC19" s="33">
        <f>IF(AB19=0,"",(Y19-AB19)/ABS(AB19))</f>
        <v>-0.20568153694533806</v>
      </c>
      <c r="AD19" s="52"/>
      <c r="AE19" s="52"/>
      <c r="AF19" s="52"/>
      <c r="AG19" s="52"/>
      <c r="AH19" s="52"/>
    </row>
    <row r="20" spans="1:35" x14ac:dyDescent="0.2">
      <c r="B20" s="19" t="s">
        <v>39</v>
      </c>
      <c r="C20" s="68">
        <f>SUM(C10:C19)</f>
        <v>1003121</v>
      </c>
      <c r="D20" s="44">
        <f t="shared" si="11"/>
        <v>1</v>
      </c>
      <c r="E20" s="68">
        <f>SUM(E10:E19)</f>
        <v>1006095.895</v>
      </c>
      <c r="F20" s="44">
        <f t="shared" si="1"/>
        <v>1</v>
      </c>
      <c r="G20" s="44">
        <f t="shared" si="2"/>
        <v>1.0029656392399322</v>
      </c>
      <c r="H20" s="68">
        <f>SUM(H10:H19)</f>
        <v>1084644.571</v>
      </c>
      <c r="I20" s="44">
        <f>+H22/$H$22</f>
        <v>1</v>
      </c>
      <c r="J20" s="44">
        <f t="shared" si="4"/>
        <v>-7.2418816357123481E-2</v>
      </c>
      <c r="K20" s="68">
        <f>SUM(K10:K19)</f>
        <v>1002746</v>
      </c>
      <c r="L20" s="44">
        <f t="shared" si="5"/>
        <v>1</v>
      </c>
      <c r="M20" s="68">
        <f>SUM(M10:M19)</f>
        <v>978396.03600000008</v>
      </c>
      <c r="N20" s="44">
        <f t="shared" si="6"/>
        <v>1</v>
      </c>
      <c r="O20" s="44">
        <f>IF(K20=0,"",(M20-K20)/ABS(K20)+1)</f>
        <v>0.97571671789266678</v>
      </c>
      <c r="P20" s="68">
        <f>SUM(P10:P19)</f>
        <v>1084868.689</v>
      </c>
      <c r="Q20" s="44">
        <f t="shared" si="8"/>
        <v>1</v>
      </c>
      <c r="R20" s="44">
        <f>IF(P20=0,"",(M20-P20)/ABS(P20))</f>
        <v>-9.814335511714628E-2</v>
      </c>
      <c r="S20" s="66"/>
      <c r="T20" s="3"/>
      <c r="U20" s="31"/>
      <c r="V20" s="31"/>
      <c r="W20" s="31"/>
      <c r="X20" s="31"/>
      <c r="Y20" s="31"/>
      <c r="Z20" s="62"/>
      <c r="AA20" s="67"/>
      <c r="AB20" s="31"/>
      <c r="AC20" s="33" t="str">
        <f>IF(AB20=0,"",(Y20-AB20)/ABS(AB20))</f>
        <v/>
      </c>
      <c r="AD20" s="52"/>
      <c r="AE20" s="52"/>
      <c r="AF20" s="52"/>
      <c r="AG20" s="52"/>
      <c r="AH20" s="52"/>
      <c r="AI20" s="54"/>
    </row>
    <row r="21" spans="1:35" x14ac:dyDescent="0.2">
      <c r="B21" s="3"/>
      <c r="C21" s="31"/>
      <c r="D21" s="33"/>
      <c r="E21" s="31"/>
      <c r="F21" s="33"/>
      <c r="G21" s="33"/>
      <c r="H21" s="31"/>
      <c r="I21" s="33"/>
      <c r="J21" s="33"/>
      <c r="K21" s="31"/>
      <c r="L21" s="33"/>
      <c r="M21" s="31"/>
      <c r="N21" s="33"/>
      <c r="O21" s="33"/>
      <c r="P21" s="31"/>
      <c r="Q21" s="33"/>
      <c r="R21" s="33"/>
      <c r="S21" s="66"/>
      <c r="T21" s="3" t="s">
        <v>40</v>
      </c>
      <c r="U21" s="31">
        <f>+U10+U19</f>
        <v>403782</v>
      </c>
      <c r="V21" s="31">
        <f>+V10+V19</f>
        <v>403782.0485700001</v>
      </c>
      <c r="W21" s="31">
        <f>+W10+W19</f>
        <v>482847.93017000007</v>
      </c>
      <c r="X21" s="31">
        <f>+X10+X19</f>
        <v>403782</v>
      </c>
      <c r="Y21" s="31">
        <f>+Y10+Y19</f>
        <v>403782.0485700001</v>
      </c>
      <c r="Z21" s="62">
        <f>+Y21-X21</f>
        <v>4.8570000100880861E-2</v>
      </c>
      <c r="AA21" s="67">
        <f>IF(X21=0,"",(Y21-X21)/ABS(X21)+1)</f>
        <v>1.0000001202876803</v>
      </c>
      <c r="AB21" s="31">
        <f>+AB10+AB19</f>
        <v>482847.93017000007</v>
      </c>
      <c r="AC21" s="33">
        <f>IF(AB21=0,"",(Y21-AB21)/ABS(AB21))</f>
        <v>-0.1637490328935709</v>
      </c>
      <c r="AD21" s="52"/>
      <c r="AE21" s="52"/>
      <c r="AF21" s="52"/>
      <c r="AG21" s="52"/>
      <c r="AH21" s="52"/>
      <c r="AI21" s="54"/>
    </row>
    <row r="22" spans="1:35" x14ac:dyDescent="0.2">
      <c r="A22" s="69"/>
      <c r="B22" s="3" t="s">
        <v>41</v>
      </c>
      <c r="C22" s="31">
        <v>88682</v>
      </c>
      <c r="D22" s="33">
        <f t="shared" si="11"/>
        <v>8.8406084609932406E-2</v>
      </c>
      <c r="E22" s="31">
        <v>105255.45973999999</v>
      </c>
      <c r="F22" s="33">
        <f>+E22/$E$20</f>
        <v>0.10461772109705307</v>
      </c>
      <c r="G22" s="33">
        <f>IF(C22=0,"",(E22-C22)/ABS(C22)+1)</f>
        <v>1.1868864001713988</v>
      </c>
      <c r="H22" s="31">
        <v>93581.774999999994</v>
      </c>
      <c r="I22" s="33">
        <f t="shared" ref="I22:I46" si="12">+H22/$H$20</f>
        <v>8.6278747436795117E-2</v>
      </c>
      <c r="J22" s="33">
        <f>IF(H22=0,"",(E22-H22)/ABS(H22))</f>
        <v>0.12474314298911297</v>
      </c>
      <c r="K22" s="31">
        <v>88682</v>
      </c>
      <c r="L22" s="33">
        <f t="shared" si="5"/>
        <v>8.8439146104796224E-2</v>
      </c>
      <c r="M22" s="31">
        <v>105255.45973999999</v>
      </c>
      <c r="N22" s="33">
        <f>+M22/$M$20</f>
        <v>0.10757960566798533</v>
      </c>
      <c r="O22" s="33">
        <f>IF(K22=0,"",(M22-K22)/ABS(K22)+1)</f>
        <v>1.1868864001713988</v>
      </c>
      <c r="P22" s="31">
        <v>93581.774999999994</v>
      </c>
      <c r="Q22" s="33">
        <f t="shared" si="8"/>
        <v>8.626092350979446E-2</v>
      </c>
      <c r="R22" s="33">
        <f>IF(P22=0,"",(M22-P22)/ABS(P22))</f>
        <v>0.12474314298911297</v>
      </c>
      <c r="S22" s="66"/>
      <c r="T22" s="3"/>
      <c r="U22" s="31"/>
      <c r="V22" s="31"/>
      <c r="W22" s="31"/>
      <c r="X22" s="31"/>
      <c r="Y22" s="31"/>
      <c r="Z22" s="62"/>
      <c r="AA22" s="67"/>
      <c r="AB22" s="31"/>
      <c r="AC22" s="33"/>
      <c r="AD22" s="52"/>
      <c r="AE22" s="52"/>
      <c r="AF22" s="52"/>
      <c r="AG22" s="52"/>
      <c r="AH22" s="52"/>
      <c r="AI22" s="54"/>
    </row>
    <row r="23" spans="1:35" x14ac:dyDescent="0.2">
      <c r="A23" s="69"/>
      <c r="B23" s="3"/>
      <c r="C23" s="31"/>
      <c r="D23" s="33"/>
      <c r="E23" s="31"/>
      <c r="F23" s="33"/>
      <c r="G23" s="33"/>
      <c r="H23" s="31"/>
      <c r="I23" s="33"/>
      <c r="J23" s="33"/>
      <c r="K23" s="31"/>
      <c r="L23" s="33"/>
      <c r="M23" s="31"/>
      <c r="N23" s="33"/>
      <c r="O23" s="33"/>
      <c r="P23" s="31"/>
      <c r="Q23" s="33"/>
      <c r="R23" s="33"/>
      <c r="S23" s="66"/>
      <c r="T23" s="3" t="s">
        <v>42</v>
      </c>
      <c r="U23" s="31">
        <v>34738</v>
      </c>
      <c r="V23" s="31">
        <v>34737.802750000003</v>
      </c>
      <c r="W23" s="31">
        <v>0</v>
      </c>
      <c r="X23" s="31">
        <v>34738</v>
      </c>
      <c r="Y23" s="31">
        <v>34737.802750000003</v>
      </c>
      <c r="Z23" s="62">
        <f>+Y23-X23</f>
        <v>-0.19724999999743886</v>
      </c>
      <c r="AA23" s="67">
        <f>IF(X23=0,"",(Y23-X23)/ABS(X23)+1)</f>
        <v>0.9999943217801831</v>
      </c>
      <c r="AB23" s="31">
        <v>0</v>
      </c>
      <c r="AC23" s="33" t="str">
        <f>IF(AB23=0,"",(Y23-AB23)/ABS(AB23))</f>
        <v/>
      </c>
      <c r="AD23" s="52"/>
      <c r="AE23" s="52"/>
      <c r="AF23" s="52"/>
      <c r="AG23" s="52"/>
      <c r="AH23" s="52"/>
      <c r="AI23" s="54"/>
    </row>
    <row r="24" spans="1:35" x14ac:dyDescent="0.2">
      <c r="B24" s="3" t="s">
        <v>43</v>
      </c>
      <c r="C24" s="31">
        <f>+C20-C22</f>
        <v>914439</v>
      </c>
      <c r="D24" s="33">
        <f t="shared" si="11"/>
        <v>0.91159391539006762</v>
      </c>
      <c r="E24" s="31">
        <f>+E20-E22</f>
        <v>900840.43526000006</v>
      </c>
      <c r="F24" s="33">
        <f>+E24/$E$20</f>
        <v>0.89538227890294697</v>
      </c>
      <c r="G24" s="33">
        <f>IF(C24=0,"",(E24-C24)/ABS(C24)+1)</f>
        <v>0.98512906302115288</v>
      </c>
      <c r="H24" s="31">
        <f>+H20-H22</f>
        <v>991062.79599999997</v>
      </c>
      <c r="I24" s="33">
        <f t="shared" si="12"/>
        <v>0.9137212525632048</v>
      </c>
      <c r="J24" s="33">
        <f>IF(H24=0,"",(E24-H24)/ABS(H24))</f>
        <v>-9.1035967755165259E-2</v>
      </c>
      <c r="K24" s="31">
        <f>+K20-K22</f>
        <v>914064</v>
      </c>
      <c r="L24" s="33">
        <f t="shared" si="5"/>
        <v>0.9115608538952038</v>
      </c>
      <c r="M24" s="31">
        <f>+M20-M22</f>
        <v>873140.57626000012</v>
      </c>
      <c r="N24" s="33">
        <f>+M24/$M$20</f>
        <v>0.8924203943320147</v>
      </c>
      <c r="O24" s="33">
        <f>IF(K24=0,"",(M24-K24)/ABS(K24)+1)</f>
        <v>0.95522914835285067</v>
      </c>
      <c r="P24" s="31">
        <f>+P20-P22</f>
        <v>991286.91399999999</v>
      </c>
      <c r="Q24" s="33">
        <f t="shared" si="8"/>
        <v>0.91373907649020547</v>
      </c>
      <c r="R24" s="33">
        <f>IF(P24=0,"",(M24-P24)/ABS(P24))</f>
        <v>-0.11918480519757964</v>
      </c>
      <c r="S24" s="66"/>
      <c r="T24" s="3"/>
      <c r="U24" s="31"/>
      <c r="V24" s="31"/>
      <c r="W24" s="31"/>
      <c r="X24" s="31"/>
      <c r="Y24" s="31"/>
      <c r="Z24" s="62"/>
      <c r="AA24" s="67"/>
      <c r="AB24" s="31"/>
      <c r="AC24" s="33"/>
      <c r="AD24" s="52"/>
      <c r="AE24" s="52"/>
      <c r="AF24" s="52"/>
      <c r="AG24" s="52"/>
      <c r="AH24" s="52"/>
      <c r="AI24" s="54"/>
    </row>
    <row r="25" spans="1:35" x14ac:dyDescent="0.2">
      <c r="B25" s="3"/>
      <c r="C25" s="31"/>
      <c r="D25" s="33"/>
      <c r="E25" s="31"/>
      <c r="F25" s="33"/>
      <c r="G25" s="33"/>
      <c r="H25" s="31"/>
      <c r="I25" s="33"/>
      <c r="J25" s="33"/>
      <c r="K25" s="31"/>
      <c r="L25" s="33"/>
      <c r="M25" s="31"/>
      <c r="N25" s="33"/>
      <c r="O25" s="33"/>
      <c r="P25" s="31"/>
      <c r="Q25" s="33"/>
      <c r="R25" s="33"/>
      <c r="S25" s="66"/>
      <c r="T25" s="3" t="s">
        <v>44</v>
      </c>
      <c r="U25" s="31">
        <v>318538</v>
      </c>
      <c r="V25" s="31">
        <v>318537.77316000004</v>
      </c>
      <c r="W25" s="31">
        <v>334837.94254000002</v>
      </c>
      <c r="X25" s="31">
        <v>318538</v>
      </c>
      <c r="Y25" s="31">
        <v>318537.77316000004</v>
      </c>
      <c r="Z25" s="62">
        <f>+Y25-X25</f>
        <v>-0.22683999995933846</v>
      </c>
      <c r="AA25" s="67">
        <f>IF(X25=0,"",(Y25-X25)/ABS(X25)+1)</f>
        <v>0.99999928787146286</v>
      </c>
      <c r="AB25" s="31">
        <v>334837.94254000002</v>
      </c>
      <c r="AC25" s="33">
        <f>IF(AB25=0,"",(Y25-AB25)/ABS(AB25))</f>
        <v>-4.868077152890983E-2</v>
      </c>
      <c r="AD25" s="52"/>
      <c r="AE25" s="52"/>
      <c r="AF25" s="52"/>
      <c r="AG25" s="52"/>
      <c r="AH25" s="52"/>
      <c r="AI25" s="54"/>
    </row>
    <row r="26" spans="1:35" x14ac:dyDescent="0.2">
      <c r="B26" s="3" t="s">
        <v>45</v>
      </c>
      <c r="C26" s="31">
        <v>211789</v>
      </c>
      <c r="D26" s="33">
        <f t="shared" si="11"/>
        <v>0.21113006307314872</v>
      </c>
      <c r="E26" s="31">
        <v>160485.37522999998</v>
      </c>
      <c r="F26" s="33">
        <f>+E26/$E$20</f>
        <v>0.1595130007264367</v>
      </c>
      <c r="G26" s="33">
        <f>IF(C26=0,"",(E26-C26)/ABS(C26)+1)</f>
        <v>0.7577606732644282</v>
      </c>
      <c r="H26" s="31">
        <v>172348.36705</v>
      </c>
      <c r="I26" s="33">
        <f t="shared" si="12"/>
        <v>0.15889847389463402</v>
      </c>
      <c r="J26" s="33">
        <f>IF(H26=0,"",(E26-H26)/ABS(H26))</f>
        <v>-6.8831472111125086E-2</v>
      </c>
      <c r="K26" s="31">
        <v>211789</v>
      </c>
      <c r="L26" s="33">
        <f t="shared" si="5"/>
        <v>0.2112090200309949</v>
      </c>
      <c r="M26" s="31">
        <v>160485.37522999998</v>
      </c>
      <c r="N26" s="33">
        <f>+M26/$M$20</f>
        <v>0.16402905298565618</v>
      </c>
      <c r="O26" s="33">
        <f>IF(K26=0,"",(M26-K26)/ABS(K26)+1)</f>
        <v>0.7577606732644282</v>
      </c>
      <c r="P26" s="31">
        <v>172348.36705</v>
      </c>
      <c r="Q26" s="33">
        <f t="shared" si="8"/>
        <v>0.15886564779454151</v>
      </c>
      <c r="R26" s="33">
        <f>IF(P26=0,"",(M26-P26)/ABS(P26))</f>
        <v>-6.8831472111125086E-2</v>
      </c>
      <c r="S26" s="66"/>
      <c r="T26" s="3"/>
      <c r="U26" s="31"/>
      <c r="V26" s="31"/>
      <c r="W26" s="31"/>
      <c r="X26" s="31"/>
      <c r="Y26" s="31"/>
      <c r="Z26" s="62"/>
      <c r="AA26" s="67"/>
      <c r="AB26" s="31"/>
      <c r="AC26" s="33"/>
      <c r="AD26" s="52"/>
      <c r="AE26" s="52"/>
      <c r="AF26" s="52"/>
      <c r="AG26" s="52"/>
      <c r="AH26" s="52"/>
      <c r="AI26" s="54"/>
    </row>
    <row r="27" spans="1:35" x14ac:dyDescent="0.2">
      <c r="B27" s="3" t="s">
        <v>46</v>
      </c>
      <c r="C27" s="31">
        <v>334713</v>
      </c>
      <c r="D27" s="33">
        <f t="shared" si="11"/>
        <v>0.33367161090237368</v>
      </c>
      <c r="E27" s="31">
        <v>316855.28941000003</v>
      </c>
      <c r="F27" s="33">
        <f>+E27/$E$20</f>
        <v>0.31493547581764064</v>
      </c>
      <c r="G27" s="33">
        <f>IF(C27=0,"",(E27-C27)/ABS(C27)+1)</f>
        <v>0.94664769342690613</v>
      </c>
      <c r="H27" s="31">
        <v>281924.01820999995</v>
      </c>
      <c r="I27" s="33">
        <f t="shared" si="12"/>
        <v>0.25992295148822531</v>
      </c>
      <c r="J27" s="33">
        <f>IF(H27=0,"",(E27-H27)/ABS(H27))</f>
        <v>0.12390314036309039</v>
      </c>
      <c r="K27" s="31">
        <v>334713</v>
      </c>
      <c r="L27" s="33">
        <f t="shared" si="5"/>
        <v>0.33379639509905801</v>
      </c>
      <c r="M27" s="31">
        <v>316855.28941000003</v>
      </c>
      <c r="N27" s="33">
        <f>+M27/$M$20</f>
        <v>0.32385177142111804</v>
      </c>
      <c r="O27" s="33">
        <f>IF(K27=0,"",(M27-K27)/ABS(K27)+1)</f>
        <v>0.94664769342690613</v>
      </c>
      <c r="P27" s="31">
        <v>281924.01820999995</v>
      </c>
      <c r="Q27" s="33">
        <f t="shared" si="8"/>
        <v>0.25986925520900528</v>
      </c>
      <c r="R27" s="33">
        <f>IF(P27=0,"",(M27-P27)/ABS(P27))</f>
        <v>0.12390314036309039</v>
      </c>
      <c r="S27" s="66"/>
      <c r="T27" s="3" t="s">
        <v>47</v>
      </c>
      <c r="U27" s="31">
        <v>10044</v>
      </c>
      <c r="V27" s="31">
        <v>10044.267750000001</v>
      </c>
      <c r="W27" s="31">
        <v>128007</v>
      </c>
      <c r="X27" s="31">
        <v>10044</v>
      </c>
      <c r="Y27" s="31">
        <v>10044</v>
      </c>
      <c r="Z27" s="62">
        <f>+Y27-X27</f>
        <v>0</v>
      </c>
      <c r="AA27" s="67">
        <f>IF(X27=0,"",(Y27-X27)/ABS(X27)+1)</f>
        <v>1</v>
      </c>
      <c r="AB27" s="31">
        <v>128007</v>
      </c>
      <c r="AC27" s="33">
        <f>IF(AB27=0,"",(Y27-AB27)/ABS(AB27))</f>
        <v>-0.92153554102510016</v>
      </c>
      <c r="AD27" s="52"/>
      <c r="AE27" s="52"/>
      <c r="AF27" s="52"/>
      <c r="AG27" s="52"/>
      <c r="AH27" s="52"/>
      <c r="AI27" s="54"/>
    </row>
    <row r="28" spans="1:35" x14ac:dyDescent="0.2">
      <c r="B28" s="3" t="s">
        <v>48</v>
      </c>
      <c r="C28" s="31">
        <f>SUM(C26:C27)</f>
        <v>546502</v>
      </c>
      <c r="D28" s="33">
        <f t="shared" si="11"/>
        <v>0.54480167397552237</v>
      </c>
      <c r="E28" s="31">
        <f>SUM(E26:E27)</f>
        <v>477340.66463999997</v>
      </c>
      <c r="F28" s="33">
        <f>+E28/$E$20</f>
        <v>0.47444847654407729</v>
      </c>
      <c r="G28" s="33">
        <f>IF(C28=0,"",(E28-C28)/ABS(C28)+1)</f>
        <v>0.87344724198630552</v>
      </c>
      <c r="H28" s="31">
        <f>SUM(H26:H27)</f>
        <v>454272.38525999995</v>
      </c>
      <c r="I28" s="33">
        <f t="shared" si="12"/>
        <v>0.41882142538285932</v>
      </c>
      <c r="J28" s="33">
        <f>IF(H28=0,"",(E28-H28)/ABS(H28))</f>
        <v>5.0780721277603164E-2</v>
      </c>
      <c r="K28" s="31">
        <f>SUM(K26:K27)</f>
        <v>546502</v>
      </c>
      <c r="L28" s="33">
        <f t="shared" si="5"/>
        <v>0.54500541513005285</v>
      </c>
      <c r="M28" s="31">
        <f>SUM(M26:M27)</f>
        <v>477340.66463999997</v>
      </c>
      <c r="N28" s="33">
        <f>+M28/$M$20</f>
        <v>0.48788082440677422</v>
      </c>
      <c r="O28" s="33">
        <f>IF(K28=0,"",(M28-K28)/ABS(K28)+1)</f>
        <v>0.87344724198630552</v>
      </c>
      <c r="P28" s="31">
        <f>SUM(P26:P27)</f>
        <v>454272.38525999995</v>
      </c>
      <c r="Q28" s="33">
        <f t="shared" si="8"/>
        <v>0.41873490300354677</v>
      </c>
      <c r="R28" s="33">
        <f>IF(P28=0,"",(M28-P28)/ABS(P28))</f>
        <v>5.0780721277603164E-2</v>
      </c>
      <c r="S28" s="66"/>
      <c r="T28" s="3" t="s">
        <v>49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0</v>
      </c>
      <c r="AC28" s="33" t="str">
        <f>IF(AB28=0,"",(Y28-AB28)/ABS(AB28))</f>
        <v/>
      </c>
      <c r="AD28" s="52"/>
      <c r="AE28" s="52"/>
      <c r="AF28" s="52"/>
      <c r="AG28" s="52"/>
      <c r="AH28" s="52"/>
      <c r="AI28" s="54"/>
    </row>
    <row r="29" spans="1:35" x14ac:dyDescent="0.2">
      <c r="B29" s="3"/>
      <c r="C29" s="31"/>
      <c r="D29" s="33"/>
      <c r="E29" s="31"/>
      <c r="F29" s="33"/>
      <c r="G29" s="33"/>
      <c r="H29" s="31"/>
      <c r="I29" s="33"/>
      <c r="J29" s="33"/>
      <c r="K29" s="31"/>
      <c r="L29" s="33"/>
      <c r="M29" s="31"/>
      <c r="N29" s="33"/>
      <c r="O29" s="33"/>
      <c r="P29" s="31"/>
      <c r="Q29" s="33"/>
      <c r="R29" s="33"/>
      <c r="S29" s="66"/>
      <c r="AD29" s="52"/>
      <c r="AE29" s="52"/>
      <c r="AF29" s="52"/>
      <c r="AG29" s="52"/>
      <c r="AH29" s="52"/>
      <c r="AI29" s="54"/>
    </row>
    <row r="30" spans="1:35" x14ac:dyDescent="0.2">
      <c r="B30" s="3" t="s">
        <v>50</v>
      </c>
      <c r="C30" s="31">
        <v>57146</v>
      </c>
      <c r="D30" s="33">
        <f t="shared" si="11"/>
        <v>5.696820224080644E-2</v>
      </c>
      <c r="E30" s="31">
        <v>54215.882340000004</v>
      </c>
      <c r="F30" s="33">
        <f>+E30/$E$20</f>
        <v>5.3887390465895899E-2</v>
      </c>
      <c r="G30" s="33">
        <f>IF(C30=0,"",(E30-C30)/ABS(C30)+1)</f>
        <v>0.94872576103314321</v>
      </c>
      <c r="H30" s="31">
        <v>48469.068479999994</v>
      </c>
      <c r="I30" s="33">
        <f t="shared" si="12"/>
        <v>4.4686591143228975E-2</v>
      </c>
      <c r="J30" s="33">
        <f>IF(H30=0,"",(E30-H30)/ABS(H30))</f>
        <v>0.11856662486450183</v>
      </c>
      <c r="K30" s="31">
        <v>57146</v>
      </c>
      <c r="L30" s="33">
        <f t="shared" si="5"/>
        <v>5.6989506814287966E-2</v>
      </c>
      <c r="M30" s="31">
        <v>54215.882340000004</v>
      </c>
      <c r="N30" s="33">
        <f>+M30/$M$20</f>
        <v>5.54130233005155E-2</v>
      </c>
      <c r="O30" s="33">
        <f>IF(K30=0,"",(M30-K30)/ABS(K30)+1)</f>
        <v>0.94872576103314321</v>
      </c>
      <c r="P30" s="31">
        <v>48469.068479999994</v>
      </c>
      <c r="Q30" s="33">
        <f t="shared" si="8"/>
        <v>4.4677359547243778E-2</v>
      </c>
      <c r="R30" s="33">
        <f>IF(P30=0,"",(M30-P30)/ABS(P30))</f>
        <v>0.11856662486450183</v>
      </c>
      <c r="S30" s="66"/>
      <c r="T30" s="19" t="s">
        <v>51</v>
      </c>
      <c r="U30" s="68">
        <f>U21-U23-U25-U27-U28</f>
        <v>40462</v>
      </c>
      <c r="V30" s="68">
        <f>V21-V23-V25-V27-V28</f>
        <v>40462.204910000029</v>
      </c>
      <c r="W30" s="68">
        <f>W21-W23-W25-W27-W28</f>
        <v>20002.987630000047</v>
      </c>
      <c r="X30" s="68">
        <f>X21-X23-X25-X27-X28</f>
        <v>40462</v>
      </c>
      <c r="Y30" s="68">
        <f>Y21-Y23-Y25-Y27-Y28</f>
        <v>40462.472660000029</v>
      </c>
      <c r="Z30" s="70">
        <f>+Y30-X30</f>
        <v>0.47266000002855435</v>
      </c>
      <c r="AA30" s="71">
        <f>IF(U30=0,"",(V30-U30)/ABS(U30)+1)</f>
        <v>1.0000050642578229</v>
      </c>
      <c r="AB30" s="68">
        <f>AB21-AB23-AB25-AB27-AB28</f>
        <v>20002.987630000047</v>
      </c>
      <c r="AC30" s="33">
        <f>IF(AB30=0,"",(Y30-AB30)/ABS(AB30))</f>
        <v>1.0228214608959358</v>
      </c>
      <c r="AD30" s="53"/>
      <c r="AE30" s="53"/>
    </row>
    <row r="31" spans="1:35" x14ac:dyDescent="0.2">
      <c r="B31" s="3" t="s">
        <v>52</v>
      </c>
      <c r="C31" s="31">
        <v>203671</v>
      </c>
      <c r="D31" s="33">
        <f t="shared" si="11"/>
        <v>0.20303732052264881</v>
      </c>
      <c r="E31" s="31">
        <v>202931.16737000001</v>
      </c>
      <c r="F31" s="33">
        <f>+E31/$E$20</f>
        <v>0.20170161550057811</v>
      </c>
      <c r="G31" s="33">
        <f>IF(C31=0,"",(E31-C31)/ABS(C31)+1)</f>
        <v>0.99636751118224987</v>
      </c>
      <c r="H31" s="31">
        <v>165752.39284000001</v>
      </c>
      <c r="I31" s="33">
        <f t="shared" si="12"/>
        <v>0.15281724287540827</v>
      </c>
      <c r="J31" s="33">
        <f>IF(H31=0,"",(E31-H31)/ABS(H31))</f>
        <v>0.22430309386778197</v>
      </c>
      <c r="K31" s="31">
        <v>203671</v>
      </c>
      <c r="L31" s="33">
        <f t="shared" si="5"/>
        <v>0.20311325101271907</v>
      </c>
      <c r="M31" s="31">
        <v>202931.16737000001</v>
      </c>
      <c r="N31" s="33">
        <f>+M31/$M$20</f>
        <v>0.20741209071088262</v>
      </c>
      <c r="O31" s="33">
        <f>IF(K31=0,"",(M31-K31)/ABS(K31)+1)</f>
        <v>0.99636751118224987</v>
      </c>
      <c r="P31" s="31">
        <v>165752.39284000001</v>
      </c>
      <c r="Q31" s="33">
        <f t="shared" si="8"/>
        <v>0.15278567306867866</v>
      </c>
      <c r="R31" s="33">
        <f>IF(P31=0,"",(M31-P31)/ABS(P31))</f>
        <v>0.22430309386778197</v>
      </c>
      <c r="S31" s="66"/>
      <c r="T31" s="53"/>
      <c r="U31" s="57"/>
      <c r="V31" s="57"/>
      <c r="W31" s="53"/>
      <c r="X31" s="57"/>
      <c r="Y31" s="57"/>
      <c r="Z31" s="57"/>
      <c r="AA31" s="57"/>
      <c r="AB31" s="72"/>
      <c r="AC31" s="53"/>
      <c r="AD31" s="53"/>
      <c r="AE31" s="53"/>
    </row>
    <row r="32" spans="1:35" x14ac:dyDescent="0.2">
      <c r="B32" s="3" t="s">
        <v>53</v>
      </c>
      <c r="C32" s="31">
        <f>SUM(C30:C31)</f>
        <v>260817</v>
      </c>
      <c r="D32" s="33">
        <f t="shared" si="11"/>
        <v>0.26000552276345523</v>
      </c>
      <c r="E32" s="31">
        <f>SUM(E30:E31)</f>
        <v>257147.04971000002</v>
      </c>
      <c r="F32" s="33">
        <f>+E32/$E$20</f>
        <v>0.25558900596647399</v>
      </c>
      <c r="G32" s="33">
        <f>IF(C32=0,"",(E32-C32)/ABS(C32)+1)</f>
        <v>0.98592902191958354</v>
      </c>
      <c r="H32" s="31">
        <f>SUM(H30:H31)</f>
        <v>214221.46132</v>
      </c>
      <c r="I32" s="33">
        <f t="shared" si="12"/>
        <v>0.19750383401863725</v>
      </c>
      <c r="J32" s="33">
        <f>IF(H32=0,"",(E32-H32)/ABS(H32))</f>
        <v>0.20037949571204997</v>
      </c>
      <c r="K32" s="31">
        <f>SUM(K30:K31)</f>
        <v>260817</v>
      </c>
      <c r="L32" s="33">
        <f t="shared" si="5"/>
        <v>0.26010275782700704</v>
      </c>
      <c r="M32" s="31">
        <f>SUM(M30:M31)</f>
        <v>257147.04971000002</v>
      </c>
      <c r="N32" s="33">
        <f>+M32/$M$20</f>
        <v>0.26282511401139813</v>
      </c>
      <c r="O32" s="33">
        <f>IF(K32=0,"",(M32-K32)/ABS(K32)+1)</f>
        <v>0.98592902191958354</v>
      </c>
      <c r="P32" s="31">
        <f>SUM(P30:P31)</f>
        <v>214221.46132</v>
      </c>
      <c r="Q32" s="33">
        <f t="shared" si="8"/>
        <v>0.19746303261592243</v>
      </c>
      <c r="R32" s="33">
        <f>IF(P32=0,"",(M32-P32)/ABS(P32))</f>
        <v>0.20037949571204997</v>
      </c>
      <c r="S32" s="66"/>
      <c r="T32" s="53" t="s">
        <v>81</v>
      </c>
      <c r="U32" s="72" t="s">
        <v>61</v>
      </c>
      <c r="V32" s="72" t="s">
        <v>61</v>
      </c>
      <c r="W32" s="72" t="s">
        <v>61</v>
      </c>
      <c r="X32" s="72" t="s">
        <v>61</v>
      </c>
      <c r="Y32" s="72" t="s">
        <v>61</v>
      </c>
      <c r="Z32" s="72"/>
      <c r="AA32" s="72"/>
      <c r="AB32" s="72" t="s">
        <v>61</v>
      </c>
      <c r="AC32" s="53"/>
    </row>
    <row r="33" spans="1:29" x14ac:dyDescent="0.2">
      <c r="B33" s="3"/>
      <c r="C33" s="31"/>
      <c r="D33" s="33"/>
      <c r="E33" s="31"/>
      <c r="F33" s="33"/>
      <c r="G33" s="33"/>
      <c r="H33" s="31"/>
      <c r="I33" s="33"/>
      <c r="J33" s="33"/>
      <c r="K33" s="31"/>
      <c r="L33" s="33"/>
      <c r="M33" s="31"/>
      <c r="N33" s="33"/>
      <c r="O33" s="33"/>
      <c r="P33" s="31"/>
      <c r="Q33" s="33"/>
      <c r="R33" s="33"/>
      <c r="S33" s="66"/>
      <c r="T33" s="53"/>
      <c r="U33" s="72"/>
      <c r="V33" s="72"/>
      <c r="W33" s="72"/>
      <c r="X33" s="72"/>
      <c r="Y33" s="72"/>
      <c r="Z33" s="72"/>
      <c r="AA33" s="72"/>
      <c r="AB33" s="72"/>
      <c r="AC33" s="53"/>
    </row>
    <row r="34" spans="1:29" x14ac:dyDescent="0.2">
      <c r="B34" s="3" t="s">
        <v>54</v>
      </c>
      <c r="C34" s="31">
        <f>C28+C32</f>
        <v>807319</v>
      </c>
      <c r="D34" s="33">
        <f t="shared" si="11"/>
        <v>0.8048071967389776</v>
      </c>
      <c r="E34" s="31">
        <f>E28+E32</f>
        <v>734487.71435000002</v>
      </c>
      <c r="F34" s="33">
        <f>+E34/$E$20</f>
        <v>0.73003748251055134</v>
      </c>
      <c r="G34" s="33">
        <f>IF(C34=0,"",(E34-C34)/ABS(C34)+1)</f>
        <v>0.90978623610988962</v>
      </c>
      <c r="H34" s="31">
        <f>H28+H32</f>
        <v>668493.8465799999</v>
      </c>
      <c r="I34" s="33">
        <f t="shared" si="12"/>
        <v>0.61632525940149652</v>
      </c>
      <c r="J34" s="33">
        <f>IF(H34=0,"",(E34-H34)/ABS(H34))</f>
        <v>9.8720232216980508E-2</v>
      </c>
      <c r="K34" s="31">
        <f>K28+K32</f>
        <v>807319</v>
      </c>
      <c r="L34" s="33">
        <f t="shared" si="5"/>
        <v>0.80510817295705994</v>
      </c>
      <c r="M34" s="31">
        <f>M28+M32</f>
        <v>734487.71435000002</v>
      </c>
      <c r="N34" s="33">
        <f>+M34/$M$20</f>
        <v>0.75070593841817235</v>
      </c>
      <c r="O34" s="33">
        <f>IF(K34=0,"",(M34-K34)/ABS(K34)+1)</f>
        <v>0.90978623610988962</v>
      </c>
      <c r="P34" s="31">
        <f>P28+P32</f>
        <v>668493.8465799999</v>
      </c>
      <c r="Q34" s="33">
        <f t="shared" si="8"/>
        <v>0.61619793561946912</v>
      </c>
      <c r="R34" s="33">
        <f>IF(P34=0,"",(M34-P34)/ABS(P34))</f>
        <v>9.8720232216980508E-2</v>
      </c>
      <c r="S34" s="66"/>
      <c r="T34" s="52"/>
      <c r="U34" s="54"/>
      <c r="V34" s="54"/>
      <c r="W34" s="54"/>
      <c r="X34" s="72"/>
      <c r="Y34" s="72"/>
      <c r="Z34" s="72"/>
      <c r="AA34" s="72"/>
    </row>
    <row r="35" spans="1:29" x14ac:dyDescent="0.2">
      <c r="B35" s="3"/>
      <c r="C35" s="31"/>
      <c r="D35" s="33"/>
      <c r="E35" s="31"/>
      <c r="F35" s="33"/>
      <c r="G35" s="33"/>
      <c r="H35" s="31"/>
      <c r="I35" s="33"/>
      <c r="J35" s="33"/>
      <c r="K35" s="31"/>
      <c r="L35" s="33"/>
      <c r="M35" s="31"/>
      <c r="N35" s="33"/>
      <c r="O35" s="33"/>
      <c r="P35" s="31"/>
      <c r="Q35" s="33"/>
      <c r="R35" s="33"/>
      <c r="S35" s="66"/>
      <c r="T35" s="52"/>
      <c r="U35" s="54"/>
      <c r="V35" s="54"/>
      <c r="W35" s="54"/>
      <c r="X35" s="72"/>
      <c r="Y35" s="72"/>
      <c r="Z35" s="72"/>
      <c r="AA35" s="72"/>
    </row>
    <row r="36" spans="1:29" x14ac:dyDescent="0.2">
      <c r="B36" s="19" t="s">
        <v>55</v>
      </c>
      <c r="C36" s="68">
        <f>C24-C34</f>
        <v>107120</v>
      </c>
      <c r="D36" s="44">
        <f t="shared" si="11"/>
        <v>0.10678671865108995</v>
      </c>
      <c r="E36" s="68">
        <f>E24-E34</f>
        <v>166352.72091000003</v>
      </c>
      <c r="F36" s="44">
        <f>+E36/$E$20</f>
        <v>0.1653447963923956</v>
      </c>
      <c r="G36" s="44">
        <f>IF(C36=0,"",(E36-C36)/ABS(C36)+1)</f>
        <v>1.5529566925877525</v>
      </c>
      <c r="H36" s="68">
        <f>H24-H34</f>
        <v>322568.94942000008</v>
      </c>
      <c r="I36" s="44">
        <f t="shared" si="12"/>
        <v>0.29739599316170834</v>
      </c>
      <c r="J36" s="44">
        <f>IF(H36=0,"",(E36-H36)/ABS(H36))</f>
        <v>-0.48428786710837163</v>
      </c>
      <c r="K36" s="68">
        <f>K24-K34</f>
        <v>106745</v>
      </c>
      <c r="L36" s="44">
        <f t="shared" si="5"/>
        <v>0.10645268093814386</v>
      </c>
      <c r="M36" s="68">
        <f>+M24-M34</f>
        <v>138652.86191000009</v>
      </c>
      <c r="N36" s="44">
        <f>+M36/$M$20</f>
        <v>0.14171445591384232</v>
      </c>
      <c r="O36" s="44">
        <f>IF(K36=0,"",(M36-K36)/ABS(K36)+1)</f>
        <v>1.2989166884631609</v>
      </c>
      <c r="P36" s="68">
        <f>P24-P34</f>
        <v>322793.06742000009</v>
      </c>
      <c r="Q36" s="44">
        <f t="shared" si="8"/>
        <v>0.29754114087073635</v>
      </c>
      <c r="R36" s="44">
        <f>IF(P36=0,"",(M36-P36)/ABS(P36))</f>
        <v>-0.57045898470430023</v>
      </c>
      <c r="S36" s="66"/>
      <c r="T36" s="52"/>
      <c r="W36" s="54"/>
      <c r="X36" s="72"/>
      <c r="Y36" s="72"/>
      <c r="Z36" s="72"/>
      <c r="AA36" s="72"/>
    </row>
    <row r="37" spans="1:29" x14ac:dyDescent="0.2">
      <c r="B37" s="3"/>
      <c r="C37" s="31"/>
      <c r="D37" s="33"/>
      <c r="E37" s="31"/>
      <c r="F37" s="33"/>
      <c r="G37" s="33"/>
      <c r="H37" s="31"/>
      <c r="I37" s="33"/>
      <c r="J37" s="33"/>
      <c r="K37" s="31"/>
      <c r="L37" s="33"/>
      <c r="M37" s="31"/>
      <c r="N37" s="33"/>
      <c r="O37" s="33"/>
      <c r="P37" s="31"/>
      <c r="Q37" s="33"/>
      <c r="R37" s="33"/>
      <c r="S37" s="66"/>
      <c r="W37" s="54"/>
      <c r="X37" s="72"/>
      <c r="Y37" s="72"/>
      <c r="Z37" s="72"/>
      <c r="AA37" s="72"/>
    </row>
    <row r="38" spans="1:29" x14ac:dyDescent="0.2">
      <c r="B38" s="3" t="s">
        <v>56</v>
      </c>
      <c r="C38" s="31">
        <v>321</v>
      </c>
      <c r="D38" s="33">
        <f t="shared" si="11"/>
        <v>3.2000127601754924E-4</v>
      </c>
      <c r="E38" s="31">
        <v>781.59272999999996</v>
      </c>
      <c r="F38" s="33">
        <f>+E38/$E$20</f>
        <v>7.7685709074481405E-4</v>
      </c>
      <c r="G38" s="33">
        <f>IF(C38=0,"",(E38-C38)/ABS(C38)+1)</f>
        <v>2.434868317757009</v>
      </c>
      <c r="H38" s="31">
        <v>143.05198999999999</v>
      </c>
      <c r="I38" s="33">
        <f t="shared" si="12"/>
        <v>1.3188835663291215E-4</v>
      </c>
      <c r="J38" s="33">
        <f>IF(H38=0,"",(E38-H38)/ABS(H38))</f>
        <v>4.4636970097375084</v>
      </c>
      <c r="K38" s="31">
        <v>321</v>
      </c>
      <c r="L38" s="33">
        <f t="shared" si="5"/>
        <v>3.201209478771294E-4</v>
      </c>
      <c r="M38" s="31">
        <v>781.59272999999996</v>
      </c>
      <c r="N38" s="33">
        <f>+M38/$M$20</f>
        <v>7.9885107997309992E-4</v>
      </c>
      <c r="O38" s="33">
        <f>IF(K38=0,"",(M38-K38)/ABS(K38)+1)</f>
        <v>2.434868317757009</v>
      </c>
      <c r="P38" s="31">
        <v>143.05198999999999</v>
      </c>
      <c r="Q38" s="33">
        <f t="shared" si="8"/>
        <v>1.3186111042789989E-4</v>
      </c>
      <c r="R38" s="33">
        <f>IF(P38=0,"",(M38-P38)/ABS(P38))</f>
        <v>4.4636970097375084</v>
      </c>
      <c r="S38" s="66"/>
      <c r="T38" s="52"/>
      <c r="X38" s="72"/>
      <c r="Y38" s="72"/>
      <c r="Z38" s="72"/>
      <c r="AA38" s="72"/>
    </row>
    <row r="39" spans="1:29" x14ac:dyDescent="0.2">
      <c r="B39" s="3" t="s">
        <v>57</v>
      </c>
      <c r="C39" s="31">
        <v>29397</v>
      </c>
      <c r="D39" s="33">
        <f t="shared" si="11"/>
        <v>2.93055374177193E-2</v>
      </c>
      <c r="E39" s="31">
        <v>30213.562020000001</v>
      </c>
      <c r="F39" s="33">
        <f>+E39/$E$20</f>
        <v>3.0030499249775789E-2</v>
      </c>
      <c r="G39" s="33">
        <f>IF(C39=0,"",(E39-C39)/ABS(C39)+1)</f>
        <v>1.0277770527604857</v>
      </c>
      <c r="H39" s="31">
        <v>20514.157380000001</v>
      </c>
      <c r="I39" s="33">
        <f t="shared" si="12"/>
        <v>1.8913253178492146E-2</v>
      </c>
      <c r="J39" s="33">
        <f>IF(H39=0,"",(E39-H39)/ABS(H39))</f>
        <v>0.47281516176025362</v>
      </c>
      <c r="K39" s="31">
        <v>29397</v>
      </c>
      <c r="L39" s="33">
        <f t="shared" si="5"/>
        <v>2.9316496899513933E-2</v>
      </c>
      <c r="M39" s="31">
        <v>30213.562020000001</v>
      </c>
      <c r="N39" s="33">
        <f>+M39/$M$20</f>
        <v>3.0880707717830531E-2</v>
      </c>
      <c r="O39" s="33">
        <f>IF(K39=0,"",(M39-K39)/ABS(K39)+1)</f>
        <v>1.0277770527604857</v>
      </c>
      <c r="P39" s="31">
        <v>20514.157380000001</v>
      </c>
      <c r="Q39" s="33">
        <f t="shared" si="8"/>
        <v>1.8909345977077968E-2</v>
      </c>
      <c r="R39" s="33">
        <f>IF(P39=0,"",(M39-P39)/ABS(P39))</f>
        <v>0.47281516176025362</v>
      </c>
      <c r="S39" s="66"/>
      <c r="T39" s="52"/>
      <c r="X39" s="72"/>
      <c r="Y39" s="72"/>
      <c r="Z39" s="72"/>
      <c r="AA39" s="72"/>
    </row>
    <row r="40" spans="1:29" x14ac:dyDescent="0.2">
      <c r="B40" s="3"/>
      <c r="C40" s="31"/>
      <c r="D40" s="33"/>
      <c r="E40" s="31"/>
      <c r="F40" s="33"/>
      <c r="G40" s="33"/>
      <c r="H40" s="31"/>
      <c r="I40" s="33"/>
      <c r="J40" s="33"/>
      <c r="K40" s="31"/>
      <c r="L40" s="33"/>
      <c r="M40" s="31"/>
      <c r="N40" s="33"/>
      <c r="O40" s="33"/>
      <c r="P40" s="31"/>
      <c r="Q40" s="33"/>
      <c r="R40" s="33"/>
      <c r="S40" s="66"/>
      <c r="T40" s="52"/>
      <c r="X40" s="72"/>
      <c r="Y40" s="72"/>
      <c r="Z40" s="72"/>
      <c r="AA40" s="72"/>
    </row>
    <row r="41" spans="1:29" x14ac:dyDescent="0.2">
      <c r="B41" s="3" t="s">
        <v>58</v>
      </c>
      <c r="C41" s="31">
        <f>C36+C38-C39</f>
        <v>78044</v>
      </c>
      <c r="D41" s="33">
        <f t="shared" si="11"/>
        <v>7.7801182509388195E-2</v>
      </c>
      <c r="E41" s="31">
        <f>E36+E38-E39</f>
        <v>136920.75162000002</v>
      </c>
      <c r="F41" s="33">
        <f>+E41/$E$20</f>
        <v>0.13609115423336463</v>
      </c>
      <c r="G41" s="33">
        <f>IF(C41=0,"",(E41-C41)/ABS(C41)+1)</f>
        <v>1.7544045874122292</v>
      </c>
      <c r="H41" s="31">
        <f>H36+H38-H39</f>
        <v>302197.84403000009</v>
      </c>
      <c r="I41" s="33">
        <f t="shared" si="12"/>
        <v>0.27861462833984912</v>
      </c>
      <c r="J41" s="33">
        <f>IF(H41=0,"",(E41-H41)/ABS(H41))</f>
        <v>-0.54691684826709919</v>
      </c>
      <c r="K41" s="31">
        <f>K36+K38-K39</f>
        <v>77669</v>
      </c>
      <c r="L41" s="33">
        <f t="shared" si="5"/>
        <v>7.7456304986507046E-2</v>
      </c>
      <c r="M41" s="31">
        <f>M36+M38-M39</f>
        <v>109220.8926200001</v>
      </c>
      <c r="N41" s="33">
        <f>+M41/$M$20</f>
        <v>0.1116325992759849</v>
      </c>
      <c r="O41" s="33">
        <f>IF(K41=0,"",(M41-K41)/ABS(K41)+1)</f>
        <v>1.4062353399683285</v>
      </c>
      <c r="P41" s="31">
        <f>P36+P38-P39</f>
        <v>302421.96203000011</v>
      </c>
      <c r="Q41" s="33">
        <f t="shared" si="8"/>
        <v>0.27876365600408631</v>
      </c>
      <c r="R41" s="33">
        <f>IF(P41=0,"",(M41-P41)/ABS(P41))</f>
        <v>-0.6388460286188955</v>
      </c>
      <c r="S41" s="66"/>
      <c r="T41" s="52"/>
      <c r="X41" s="72"/>
      <c r="Y41" s="72"/>
      <c r="Z41" s="72"/>
      <c r="AA41" s="72"/>
    </row>
    <row r="42" spans="1:29" x14ac:dyDescent="0.2">
      <c r="B42" s="3" t="s">
        <v>44</v>
      </c>
      <c r="C42" s="31">
        <v>30721</v>
      </c>
      <c r="D42" s="33">
        <f t="shared" si="11"/>
        <v>3.0625418070202897E-2</v>
      </c>
      <c r="E42" s="31">
        <v>50148.722999999998</v>
      </c>
      <c r="F42" s="33">
        <f>+E42/$E$20</f>
        <v>4.9844873882523892E-2</v>
      </c>
      <c r="G42" s="33">
        <f>IF(C42=0,"",(E42-C42)/ABS(C42)+1)</f>
        <v>1.6323922723869666</v>
      </c>
      <c r="H42" s="31">
        <v>101986.266</v>
      </c>
      <c r="I42" s="33">
        <f t="shared" si="12"/>
        <v>9.4027360415377959E-2</v>
      </c>
      <c r="J42" s="33">
        <f>IF(H42=0,"",(E42-H42)/ABS(H42))</f>
        <v>-0.50827964424150995</v>
      </c>
      <c r="K42" s="31">
        <v>30721</v>
      </c>
      <c r="L42" s="33">
        <f t="shared" si="5"/>
        <v>3.0636871151817111E-2</v>
      </c>
      <c r="M42" s="31">
        <v>50148.722999999998</v>
      </c>
      <c r="N42" s="33">
        <f>+M42/$M$20</f>
        <v>5.1256057010435389E-2</v>
      </c>
      <c r="O42" s="33">
        <f>IF(K42=0,"",(M42-K42)/ABS(K42)+1)</f>
        <v>1.6323922723869666</v>
      </c>
      <c r="P42" s="31">
        <v>101986.266</v>
      </c>
      <c r="Q42" s="33">
        <f t="shared" si="8"/>
        <v>9.400793573829469E-2</v>
      </c>
      <c r="R42" s="33">
        <f>IF(P42=0,"",(M42-P42)/ABS(P42))</f>
        <v>-0.50827964424150995</v>
      </c>
      <c r="S42" s="66"/>
      <c r="X42" s="72"/>
      <c r="Y42" s="72"/>
      <c r="Z42" s="72"/>
      <c r="AA42" s="72"/>
    </row>
    <row r="43" spans="1:29" x14ac:dyDescent="0.2">
      <c r="B43" s="19" t="s">
        <v>59</v>
      </c>
      <c r="C43" s="68">
        <f>+C41-C42</f>
        <v>47323</v>
      </c>
      <c r="D43" s="44">
        <f t="shared" si="11"/>
        <v>4.7175764439185301E-2</v>
      </c>
      <c r="E43" s="68">
        <f>E41-E42</f>
        <v>86772.028620000026</v>
      </c>
      <c r="F43" s="44">
        <f>+E43/$E$20</f>
        <v>8.624628035084074E-2</v>
      </c>
      <c r="G43" s="44">
        <f>IF(C43=0,"",(E43-C43)/ABS(C43)+1)</f>
        <v>1.8336121678676336</v>
      </c>
      <c r="H43" s="68">
        <f>+H41-H42</f>
        <v>200211.57803000009</v>
      </c>
      <c r="I43" s="44">
        <f t="shared" si="12"/>
        <v>0.18458726792447117</v>
      </c>
      <c r="J43" s="44">
        <f>IF(H43=0,"",(E43-H43)/ABS(H43))</f>
        <v>-0.56659834823839239</v>
      </c>
      <c r="K43" s="68">
        <f>+K41-K42</f>
        <v>46948</v>
      </c>
      <c r="L43" s="44">
        <f t="shared" si="5"/>
        <v>4.6819433834689943E-2</v>
      </c>
      <c r="M43" s="68">
        <f>+M41-M42</f>
        <v>59072.169620000102</v>
      </c>
      <c r="N43" s="44">
        <f>+M43/$M$20</f>
        <v>6.0376542265549504E-2</v>
      </c>
      <c r="O43" s="44">
        <f>IF(K43=0,"",(M43-K43)/ABS(K43)+1)</f>
        <v>1.2582467755814966</v>
      </c>
      <c r="P43" s="68">
        <f>P41-P42</f>
        <v>200435.69603000011</v>
      </c>
      <c r="Q43" s="44">
        <f t="shared" si="8"/>
        <v>0.18475572026579165</v>
      </c>
      <c r="R43" s="44">
        <f>IF(P43=0,"",(M43-P43)/ABS(P43))</f>
        <v>-0.70528119097529152</v>
      </c>
      <c r="S43" s="66"/>
      <c r="T43" s="73"/>
      <c r="W43" s="54"/>
      <c r="X43" s="72"/>
      <c r="Y43" s="72"/>
      <c r="Z43" s="72"/>
      <c r="AA43" s="72"/>
    </row>
    <row r="44" spans="1:29" x14ac:dyDescent="0.2">
      <c r="B44" s="3"/>
      <c r="C44" s="31"/>
      <c r="D44" s="33"/>
      <c r="E44" s="31"/>
      <c r="F44" s="33"/>
      <c r="G44" s="33"/>
      <c r="H44" s="31"/>
      <c r="I44" s="33"/>
      <c r="J44" s="33"/>
      <c r="K44" s="31"/>
      <c r="L44" s="33"/>
      <c r="M44" s="31"/>
      <c r="N44" s="33"/>
      <c r="O44" s="33"/>
      <c r="P44" s="31"/>
      <c r="Q44" s="33"/>
      <c r="R44" s="33"/>
      <c r="S44" s="66"/>
      <c r="W44" s="54"/>
      <c r="X44" s="72"/>
      <c r="Y44" s="72"/>
      <c r="Z44" s="72"/>
      <c r="AA44" s="72"/>
    </row>
    <row r="45" spans="1:29" x14ac:dyDescent="0.2">
      <c r="A45" s="37" t="s">
        <v>82</v>
      </c>
      <c r="B45" s="3" t="s">
        <v>83</v>
      </c>
      <c r="C45" s="31">
        <v>157348</v>
      </c>
      <c r="D45" s="33">
        <f t="shared" si="11"/>
        <v>0.15685844479379857</v>
      </c>
      <c r="E45" s="31">
        <v>213819.48867000002</v>
      </c>
      <c r="F45" s="33">
        <f>+E45/$E$20</f>
        <v>0.21252396489501632</v>
      </c>
      <c r="G45" s="33">
        <f>IF(C45=0,"",(E45-C45)/ABS(C45)+1)</f>
        <v>1.3588954970511224</v>
      </c>
      <c r="H45" s="31">
        <v>243072.1074200001</v>
      </c>
      <c r="I45" s="33">
        <f t="shared" si="12"/>
        <v>0.22410300472522265</v>
      </c>
      <c r="J45" s="33">
        <f>IF(H45=0,"",(E45-H45)/ABS(H45))</f>
        <v>-0.12034543601275891</v>
      </c>
      <c r="K45" s="31">
        <v>156973</v>
      </c>
      <c r="L45" s="33">
        <f t="shared" si="5"/>
        <v>0.15654313255799573</v>
      </c>
      <c r="M45" s="31">
        <v>186119.62967000008</v>
      </c>
      <c r="N45" s="33">
        <f>+M45/$M$20</f>
        <v>0.19022933742752823</v>
      </c>
      <c r="O45" s="33">
        <f>IF(K45=0,"",(M45-K45)/ABS(K45)+1)</f>
        <v>1.1856792548400048</v>
      </c>
      <c r="P45" s="31">
        <v>366536.2037800001</v>
      </c>
      <c r="Q45" s="33">
        <f t="shared" si="8"/>
        <v>0.33786227540391306</v>
      </c>
      <c r="R45" s="33">
        <f>IF(P45=0,"",(M45-P45)/ABS(P45))</f>
        <v>-0.49222033798955489</v>
      </c>
      <c r="S45" s="66"/>
      <c r="X45" s="72"/>
      <c r="Y45" s="72"/>
      <c r="Z45" s="72"/>
      <c r="AA45" s="72"/>
    </row>
    <row r="46" spans="1:29" x14ac:dyDescent="0.2">
      <c r="A46" s="74"/>
      <c r="B46" s="3" t="s">
        <v>35</v>
      </c>
      <c r="C46" s="31">
        <v>424626</v>
      </c>
      <c r="D46" s="33">
        <f t="shared" si="11"/>
        <v>0.42330486551472851</v>
      </c>
      <c r="E46" s="31">
        <v>396568.03</v>
      </c>
      <c r="F46" s="33">
        <f>+E46/$E$20</f>
        <v>0.39416524008379938</v>
      </c>
      <c r="G46" s="33">
        <f>IF(C46=0,"",(E46-C46)/ABS(C46)+1)</f>
        <v>0.93392309938628348</v>
      </c>
      <c r="H46" s="31">
        <v>338504.91380000004</v>
      </c>
      <c r="I46" s="33">
        <f t="shared" si="12"/>
        <v>0.3120883309155475</v>
      </c>
      <c r="J46" s="33">
        <f>IF(H46=0,"",(E46-H46)/ABS(H46))</f>
        <v>0.17152813395880454</v>
      </c>
      <c r="K46" s="31">
        <v>424626</v>
      </c>
      <c r="L46" s="33">
        <f t="shared" si="5"/>
        <v>0.42346317013480983</v>
      </c>
      <c r="M46" s="31">
        <v>396568.03</v>
      </c>
      <c r="N46" s="33">
        <f>+M46/$M$20</f>
        <v>0.40532464912807559</v>
      </c>
      <c r="O46" s="33">
        <f>IF(K46=0,"",(M46-K46)/ABS(K46)+1)</f>
        <v>0.93392309938628348</v>
      </c>
      <c r="P46" s="31">
        <v>338504.91380000004</v>
      </c>
      <c r="Q46" s="33">
        <f t="shared" si="8"/>
        <v>0.31202385803209409</v>
      </c>
      <c r="R46" s="33">
        <f>IF(P46=0,"",(M46-P46)/ABS(P46))</f>
        <v>0.17152813395880454</v>
      </c>
      <c r="S46" s="66"/>
      <c r="X46" s="72"/>
      <c r="Y46" s="72"/>
      <c r="Z46" s="72"/>
      <c r="AA46" s="72"/>
    </row>
    <row r="47" spans="1:29" x14ac:dyDescent="0.2">
      <c r="B47" s="3" t="s">
        <v>81</v>
      </c>
      <c r="C47" s="31"/>
      <c r="J47" s="31"/>
      <c r="K47" s="31"/>
      <c r="L47" s="31"/>
      <c r="M47" s="31"/>
      <c r="N47" s="31"/>
      <c r="O47" s="31"/>
      <c r="P47" s="31"/>
      <c r="Q47" s="31"/>
      <c r="S47" s="66"/>
      <c r="X47" s="72"/>
      <c r="Y47" s="72"/>
      <c r="Z47" s="72"/>
      <c r="AA47" s="72"/>
    </row>
    <row r="48" spans="1:2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S48" s="66"/>
      <c r="X48" s="72"/>
      <c r="Y48" s="72"/>
      <c r="Z48" s="72"/>
      <c r="AA48" s="72"/>
    </row>
    <row r="49" spans="1:27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X49" s="72"/>
      <c r="Y49" s="72"/>
      <c r="Z49" s="72"/>
      <c r="AA49" s="72"/>
    </row>
    <row r="50" spans="1:27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75"/>
    </row>
    <row r="51" spans="1:27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1:27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1:27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1:27" x14ac:dyDescent="0.2"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1:27" x14ac:dyDescent="0.2">
      <c r="A55" s="30" t="s">
        <v>84</v>
      </c>
    </row>
    <row r="56" spans="1:27" x14ac:dyDescent="0.2">
      <c r="C56" s="52"/>
    </row>
  </sheetData>
  <conditionalFormatting sqref="D9:D46 AC10:AC11 J10:J46 AC13:AC17 AC19:AC28 AC30 G10:G46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EA036-E6BA-4DF1-89A5-0E2F32A769DA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RowHeight="12.75" x14ac:dyDescent="0.2"/>
  <cols>
    <col min="1" max="1" width="4.140625" style="77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0" customFormat="1" ht="18.75" customHeight="1" x14ac:dyDescent="0.2">
      <c r="A1" s="76"/>
      <c r="B1" s="49"/>
      <c r="S1" s="2"/>
      <c r="T1" s="2"/>
      <c r="U1" s="2"/>
      <c r="V1" s="2"/>
    </row>
    <row r="2" spans="1:22" ht="15.75" customHeight="1" x14ac:dyDescent="0.2"/>
    <row r="3" spans="1:22" ht="18" x14ac:dyDescent="0.25">
      <c r="B3" s="15" t="s">
        <v>85</v>
      </c>
      <c r="T3" s="17"/>
    </row>
    <row r="4" spans="1:22" x14ac:dyDescent="0.2">
      <c r="B4" s="3" t="s">
        <v>86</v>
      </c>
    </row>
    <row r="5" spans="1:22" x14ac:dyDescent="0.2">
      <c r="A5" s="77" t="str">
        <f>+Paramet!A3</f>
        <v>202301</v>
      </c>
      <c r="B5" s="3" t="s">
        <v>22</v>
      </c>
    </row>
    <row r="6" spans="1:22" ht="13.5" thickBot="1" x14ac:dyDescent="0.25">
      <c r="A6" s="77" t="str">
        <f>+Paramet!A4</f>
        <v>202301</v>
      </c>
      <c r="B6" s="78" t="str">
        <f>+'COLOMB$ '!B6</f>
        <v>ENERO de 2024</v>
      </c>
      <c r="K6" s="20" t="s">
        <v>23</v>
      </c>
      <c r="L6" s="20"/>
      <c r="M6" s="20"/>
      <c r="N6" s="20"/>
      <c r="O6" s="20"/>
      <c r="P6" s="20"/>
      <c r="Q6" s="20"/>
      <c r="R6" s="20"/>
    </row>
    <row r="7" spans="1:22" x14ac:dyDescent="0.2">
      <c r="A7" s="77" t="str">
        <f>+Paramet!B3</f>
        <v>202401</v>
      </c>
      <c r="B7" s="3"/>
      <c r="C7" s="53" t="str">
        <f>+'COLOMB$ '!D7:D7</f>
        <v>Ppto 2024</v>
      </c>
      <c r="D7" s="53"/>
      <c r="E7" s="53" t="str">
        <f>+'COLOMB$ '!F7:F7</f>
        <v>Real 2024</v>
      </c>
      <c r="F7" s="53"/>
      <c r="G7" s="50" t="s">
        <v>24</v>
      </c>
      <c r="H7" s="53" t="str">
        <f>+'COLOMB$ '!I7:I7</f>
        <v>Real 2023</v>
      </c>
      <c r="I7" s="53"/>
      <c r="J7" s="50" t="s">
        <v>25</v>
      </c>
      <c r="K7" s="53" t="str">
        <f>+C7</f>
        <v>Ppto 2024</v>
      </c>
      <c r="L7" s="53"/>
      <c r="M7" s="53" t="str">
        <f>+E7</f>
        <v>Real 2024</v>
      </c>
      <c r="N7" s="53"/>
      <c r="O7" s="50" t="s">
        <v>24</v>
      </c>
      <c r="P7" s="2" t="str">
        <f>+H7</f>
        <v>Real 2023</v>
      </c>
      <c r="R7" s="50" t="s">
        <v>25</v>
      </c>
    </row>
    <row r="8" spans="1:22" ht="13.5" thickBot="1" x14ac:dyDescent="0.25">
      <c r="A8" s="77" t="str">
        <f>+Paramet!B4</f>
        <v>202401</v>
      </c>
      <c r="B8" s="28" t="s">
        <v>27</v>
      </c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</row>
    <row r="9" spans="1:22" ht="15.75" customHeight="1" x14ac:dyDescent="0.2">
      <c r="A9" s="79" t="s">
        <v>87</v>
      </c>
    </row>
    <row r="10" spans="1:22" x14ac:dyDescent="0.2">
      <c r="B10" s="3" t="str">
        <f>+'COLOMB$ '!B10</f>
        <v>Musical Experience  (Ambiental)</v>
      </c>
      <c r="C10" s="31">
        <v>0</v>
      </c>
      <c r="D10" s="67">
        <f t="shared" ref="D10:D18" si="0">+C10/$C$20</f>
        <v>0</v>
      </c>
      <c r="E10" s="31"/>
      <c r="F10" s="67">
        <f t="shared" ref="F10:F20" si="1">IF($E$20=0,0,E10/$E$20)</f>
        <v>0</v>
      </c>
      <c r="G10" s="67" t="str">
        <f t="shared" ref="G10:G17" si="2">IF(C10=0,"",(E10-C10)/ABS(C10)+1)</f>
        <v/>
      </c>
      <c r="H10" s="31"/>
      <c r="I10" s="67" t="e">
        <f t="shared" ref="I10:I16" si="3">+H10/$H$20</f>
        <v>#DIV/0!</v>
      </c>
      <c r="J10" s="67" t="str">
        <f t="shared" ref="J10:J46" si="4">IF(H10&lt;=0,"",(E10-H10)/ABS(H10))</f>
        <v/>
      </c>
      <c r="K10" s="31"/>
      <c r="L10" s="67">
        <f t="shared" ref="L10:L20" si="5">+K10/$K$20</f>
        <v>0</v>
      </c>
      <c r="M10" s="31">
        <v>0</v>
      </c>
      <c r="N10" s="67">
        <f t="shared" ref="N10:N20" si="6">IF($M$20=0,0,M10/$M$20)</f>
        <v>0</v>
      </c>
      <c r="O10" s="67" t="str">
        <f t="shared" ref="O10:O17" si="7">IF(K10=0,"",(M10-K10)/ABS(K10)+1)</f>
        <v/>
      </c>
      <c r="P10" s="31"/>
      <c r="Q10" s="67" t="e">
        <f t="shared" ref="Q10:Q17" si="8">+P10/$P$20</f>
        <v>#DIV/0!</v>
      </c>
      <c r="R10" s="33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1">
        <v>0</v>
      </c>
      <c r="D11" s="67">
        <f t="shared" si="0"/>
        <v>0</v>
      </c>
      <c r="E11" s="31"/>
      <c r="F11" s="67">
        <f t="shared" si="1"/>
        <v>0</v>
      </c>
      <c r="G11" s="67" t="str">
        <f t="shared" si="2"/>
        <v/>
      </c>
      <c r="H11" s="31"/>
      <c r="I11" s="67" t="e">
        <f t="shared" si="3"/>
        <v>#DIV/0!</v>
      </c>
      <c r="J11" s="67" t="str">
        <f t="shared" si="4"/>
        <v/>
      </c>
      <c r="K11" s="31"/>
      <c r="L11" s="67">
        <f t="shared" si="5"/>
        <v>0</v>
      </c>
      <c r="M11" s="31">
        <v>0</v>
      </c>
      <c r="N11" s="67">
        <f t="shared" si="6"/>
        <v>0</v>
      </c>
      <c r="O11" s="67" t="str">
        <f t="shared" si="7"/>
        <v/>
      </c>
      <c r="P11" s="31"/>
      <c r="Q11" s="67" t="e">
        <f t="shared" si="8"/>
        <v>#DIV/0!</v>
      </c>
      <c r="R11" s="33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1">
        <v>0</v>
      </c>
      <c r="D12" s="67">
        <f t="shared" si="0"/>
        <v>0</v>
      </c>
      <c r="E12" s="31"/>
      <c r="F12" s="67">
        <f t="shared" si="1"/>
        <v>0</v>
      </c>
      <c r="G12" s="67" t="str">
        <f t="shared" si="2"/>
        <v/>
      </c>
      <c r="H12" s="31"/>
      <c r="I12" s="67" t="e">
        <f t="shared" si="3"/>
        <v>#DIV/0!</v>
      </c>
      <c r="J12" s="67" t="str">
        <f t="shared" si="4"/>
        <v/>
      </c>
      <c r="K12" s="31"/>
      <c r="L12" s="67">
        <f t="shared" si="5"/>
        <v>0</v>
      </c>
      <c r="M12" s="31">
        <v>0</v>
      </c>
      <c r="N12" s="67">
        <f t="shared" si="6"/>
        <v>0</v>
      </c>
      <c r="O12" s="67" t="str">
        <f t="shared" si="7"/>
        <v/>
      </c>
      <c r="P12" s="31">
        <f>+H12+T13</f>
        <v>0</v>
      </c>
      <c r="Q12" s="67" t="e">
        <f t="shared" si="8"/>
        <v>#DIV/0!</v>
      </c>
      <c r="R12" s="33" t="str">
        <f t="shared" si="9"/>
        <v/>
      </c>
    </row>
    <row r="13" spans="1:22" x14ac:dyDescent="0.2">
      <c r="B13" s="3" t="str">
        <f>+'COLOMB$ '!B13</f>
        <v>Service &amp; Equipment Experience</v>
      </c>
      <c r="C13" s="31">
        <v>375</v>
      </c>
      <c r="D13" s="67">
        <f t="shared" si="0"/>
        <v>0.10002667377967459</v>
      </c>
      <c r="E13" s="31">
        <v>2350.9209999999998</v>
      </c>
      <c r="F13" s="67">
        <f t="shared" si="1"/>
        <v>1</v>
      </c>
      <c r="G13" s="67">
        <f t="shared" si="2"/>
        <v>6.2691226666666662</v>
      </c>
      <c r="H13" s="31">
        <v>0</v>
      </c>
      <c r="I13" s="67" t="e">
        <f t="shared" si="3"/>
        <v>#DIV/0!</v>
      </c>
      <c r="J13" s="67" t="str">
        <f t="shared" si="4"/>
        <v/>
      </c>
      <c r="K13" s="31">
        <v>375</v>
      </c>
      <c r="L13" s="67">
        <f t="shared" si="5"/>
        <v>0.10002667377967459</v>
      </c>
      <c r="M13" s="31">
        <v>2350.9209999999998</v>
      </c>
      <c r="N13" s="67">
        <f t="shared" si="6"/>
        <v>1</v>
      </c>
      <c r="O13" s="67">
        <f t="shared" si="7"/>
        <v>6.2691226666666662</v>
      </c>
      <c r="P13" s="31">
        <v>0</v>
      </c>
      <c r="Q13" s="67" t="e">
        <f t="shared" si="8"/>
        <v>#DIV/0!</v>
      </c>
      <c r="R13" s="33" t="str">
        <f t="shared" si="9"/>
        <v/>
      </c>
    </row>
    <row r="14" spans="1:22" x14ac:dyDescent="0.2">
      <c r="B14" s="3" t="str">
        <f>+'COLOMB$ '!B14</f>
        <v>POP Satelital</v>
      </c>
      <c r="C14" s="31">
        <v>0</v>
      </c>
      <c r="D14" s="67">
        <f t="shared" si="0"/>
        <v>0</v>
      </c>
      <c r="E14" s="31"/>
      <c r="F14" s="67">
        <f t="shared" si="1"/>
        <v>0</v>
      </c>
      <c r="G14" s="67" t="str">
        <f t="shared" si="2"/>
        <v/>
      </c>
      <c r="H14" s="31"/>
      <c r="I14" s="67" t="e">
        <f t="shared" si="3"/>
        <v>#DIV/0!</v>
      </c>
      <c r="J14" s="67" t="str">
        <f t="shared" si="4"/>
        <v/>
      </c>
      <c r="K14" s="31"/>
      <c r="L14" s="67">
        <f t="shared" si="5"/>
        <v>0</v>
      </c>
      <c r="M14" s="31">
        <v>0</v>
      </c>
      <c r="N14" s="67">
        <f t="shared" si="6"/>
        <v>0</v>
      </c>
      <c r="O14" s="67" t="str">
        <f t="shared" si="7"/>
        <v/>
      </c>
      <c r="P14" s="31">
        <f>+H14+T15</f>
        <v>0</v>
      </c>
      <c r="Q14" s="67" t="e">
        <f t="shared" si="8"/>
        <v>#DIV/0!</v>
      </c>
      <c r="R14" s="33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1">
        <v>0</v>
      </c>
      <c r="D15" s="67">
        <f t="shared" si="0"/>
        <v>0</v>
      </c>
      <c r="E15" s="31"/>
      <c r="F15" s="67">
        <f t="shared" si="1"/>
        <v>0</v>
      </c>
      <c r="G15" s="67" t="str">
        <f t="shared" si="2"/>
        <v/>
      </c>
      <c r="H15" s="31"/>
      <c r="I15" s="67" t="e">
        <f t="shared" si="3"/>
        <v>#DIV/0!</v>
      </c>
      <c r="J15" s="67" t="str">
        <f t="shared" si="4"/>
        <v/>
      </c>
      <c r="K15" s="31"/>
      <c r="L15" s="67">
        <f t="shared" si="5"/>
        <v>0</v>
      </c>
      <c r="M15" s="31">
        <v>0</v>
      </c>
      <c r="N15" s="67">
        <f t="shared" si="6"/>
        <v>0</v>
      </c>
      <c r="O15" s="67" t="str">
        <f t="shared" si="7"/>
        <v/>
      </c>
      <c r="P15" s="31"/>
      <c r="Q15" s="67" t="e">
        <f t="shared" si="8"/>
        <v>#DIV/0!</v>
      </c>
      <c r="R15" s="33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1">
        <v>0</v>
      </c>
      <c r="D16" s="67">
        <f t="shared" si="0"/>
        <v>0</v>
      </c>
      <c r="E16" s="31"/>
      <c r="F16" s="67">
        <f t="shared" si="1"/>
        <v>0</v>
      </c>
      <c r="G16" s="67" t="str">
        <f t="shared" si="2"/>
        <v/>
      </c>
      <c r="H16" s="31"/>
      <c r="I16" s="67" t="e">
        <f t="shared" si="3"/>
        <v>#DIV/0!</v>
      </c>
      <c r="J16" s="67" t="str">
        <f t="shared" si="4"/>
        <v/>
      </c>
      <c r="K16" s="31"/>
      <c r="L16" s="67">
        <f t="shared" si="5"/>
        <v>0</v>
      </c>
      <c r="M16" s="31">
        <v>0</v>
      </c>
      <c r="N16" s="67">
        <f t="shared" si="6"/>
        <v>0</v>
      </c>
      <c r="O16" s="67" t="str">
        <f t="shared" si="7"/>
        <v/>
      </c>
      <c r="P16" s="31"/>
      <c r="Q16" s="67" t="e">
        <f t="shared" si="8"/>
        <v>#DIV/0!</v>
      </c>
      <c r="R16" s="33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1">
        <v>0</v>
      </c>
      <c r="D17" s="67">
        <f t="shared" si="0"/>
        <v>0</v>
      </c>
      <c r="E17" s="31"/>
      <c r="F17" s="67">
        <f t="shared" si="1"/>
        <v>0</v>
      </c>
      <c r="G17" s="67" t="str">
        <f t="shared" si="2"/>
        <v/>
      </c>
      <c r="H17" s="31">
        <v>0</v>
      </c>
      <c r="I17" s="67"/>
      <c r="J17" s="67" t="str">
        <f t="shared" si="4"/>
        <v/>
      </c>
      <c r="K17" s="31"/>
      <c r="L17" s="67">
        <f t="shared" si="5"/>
        <v>0</v>
      </c>
      <c r="M17" s="31">
        <v>0</v>
      </c>
      <c r="N17" s="67">
        <f t="shared" si="6"/>
        <v>0</v>
      </c>
      <c r="O17" s="67" t="str">
        <f t="shared" si="7"/>
        <v/>
      </c>
      <c r="P17" s="31"/>
      <c r="Q17" s="67" t="e">
        <f t="shared" si="8"/>
        <v>#DIV/0!</v>
      </c>
      <c r="R17" s="33" t="str">
        <f t="shared" si="9"/>
        <v/>
      </c>
    </row>
    <row r="18" spans="2:21" x14ac:dyDescent="0.2">
      <c r="B18" s="3" t="str">
        <f>+'COLOMB$ '!B18</f>
        <v>Olfa Experience</v>
      </c>
      <c r="C18" s="31">
        <v>3374</v>
      </c>
      <c r="D18" s="67">
        <f t="shared" si="0"/>
        <v>0.89997332622032544</v>
      </c>
      <c r="E18" s="31"/>
      <c r="F18" s="67">
        <f t="shared" si="1"/>
        <v>0</v>
      </c>
      <c r="G18" s="67"/>
      <c r="H18" s="31"/>
      <c r="I18" s="67"/>
      <c r="J18" s="67" t="str">
        <f t="shared" si="4"/>
        <v/>
      </c>
      <c r="K18" s="31">
        <v>3374</v>
      </c>
      <c r="L18" s="67">
        <f t="shared" si="5"/>
        <v>0.89997332622032544</v>
      </c>
      <c r="M18" s="31">
        <v>1814.2360000000001</v>
      </c>
      <c r="N18" s="67">
        <f t="shared" si="6"/>
        <v>0.77171287338026251</v>
      </c>
      <c r="O18" s="67"/>
      <c r="P18" s="31"/>
      <c r="Q18" s="67"/>
      <c r="R18" s="33" t="str">
        <f t="shared" si="9"/>
        <v/>
      </c>
    </row>
    <row r="19" spans="2:21" x14ac:dyDescent="0.2">
      <c r="B19" s="3" t="str">
        <f>+'COLOMB$ '!B19</f>
        <v>Locutor virtual</v>
      </c>
      <c r="C19" s="31"/>
      <c r="D19" s="67"/>
      <c r="E19" s="31"/>
      <c r="F19" s="67">
        <f t="shared" si="1"/>
        <v>0</v>
      </c>
      <c r="G19" s="67"/>
      <c r="H19" s="31"/>
      <c r="I19" s="67"/>
      <c r="J19" s="67" t="str">
        <f t="shared" si="4"/>
        <v/>
      </c>
      <c r="K19" s="31"/>
      <c r="L19" s="67">
        <f t="shared" si="5"/>
        <v>0</v>
      </c>
      <c r="M19" s="31"/>
      <c r="N19" s="67">
        <f t="shared" si="6"/>
        <v>0</v>
      </c>
      <c r="O19" s="67"/>
      <c r="P19" s="31"/>
      <c r="Q19" s="67"/>
      <c r="R19" s="33" t="str">
        <f t="shared" si="9"/>
        <v/>
      </c>
    </row>
    <row r="20" spans="2:21" x14ac:dyDescent="0.2">
      <c r="B20" s="19" t="s">
        <v>39</v>
      </c>
      <c r="C20" s="68">
        <f>SUM(C10:C19)</f>
        <v>3749</v>
      </c>
      <c r="D20" s="71">
        <f>+C20/$C$20</f>
        <v>1</v>
      </c>
      <c r="E20" s="68">
        <f>SUM(E10:E17)</f>
        <v>2350.9209999999998</v>
      </c>
      <c r="F20" s="71">
        <f t="shared" si="1"/>
        <v>1</v>
      </c>
      <c r="G20" s="71">
        <f>IF(C20=0,"",(E20-C20)/ABS(C20)+1)</f>
        <v>0.62707948786343026</v>
      </c>
      <c r="H20" s="68">
        <f>SUM(H10:H19)</f>
        <v>0</v>
      </c>
      <c r="I20" s="71" t="e">
        <f>+H22/$H$22</f>
        <v>#DIV/0!</v>
      </c>
      <c r="J20" s="67" t="str">
        <f t="shared" si="4"/>
        <v/>
      </c>
      <c r="K20" s="68">
        <f>SUM(K10:K19)</f>
        <v>3749</v>
      </c>
      <c r="L20" s="71">
        <f t="shared" si="5"/>
        <v>1</v>
      </c>
      <c r="M20" s="68">
        <f>SUM(M10:M17)</f>
        <v>2350.9209999999998</v>
      </c>
      <c r="N20" s="67">
        <f t="shared" si="6"/>
        <v>1</v>
      </c>
      <c r="O20" s="71">
        <f>IF(K20=0,"",(M20-K20)/ABS(K20)+1)</f>
        <v>0.62707948786343026</v>
      </c>
      <c r="P20" s="68">
        <f>SUM(P10:P17)</f>
        <v>0</v>
      </c>
      <c r="Q20" s="71" t="e">
        <f>+P20/$P$20</f>
        <v>#DIV/0!</v>
      </c>
      <c r="R20" s="33" t="str">
        <f t="shared" si="9"/>
        <v/>
      </c>
    </row>
    <row r="21" spans="2:21" x14ac:dyDescent="0.2">
      <c r="J21" s="67" t="str">
        <f t="shared" si="4"/>
        <v/>
      </c>
      <c r="R21" s="33" t="str">
        <f t="shared" si="9"/>
        <v/>
      </c>
      <c r="S21" s="78"/>
      <c r="T21" s="80"/>
      <c r="U21" s="80"/>
    </row>
    <row r="22" spans="2:21" x14ac:dyDescent="0.2">
      <c r="B22" s="3" t="s">
        <v>41</v>
      </c>
      <c r="C22" s="31">
        <v>2306</v>
      </c>
      <c r="D22" s="67">
        <f>+C22/$C$20</f>
        <v>0.61509735929581222</v>
      </c>
      <c r="E22" s="31">
        <v>1968.10058</v>
      </c>
      <c r="F22" s="67">
        <f>IF($E$20=0,0,E22/$E$20)</f>
        <v>0.83716151244554804</v>
      </c>
      <c r="G22" s="67">
        <f>IF(C22=0,"",(E22-C22)/ABS(C22)+1)</f>
        <v>0.85346946227233311</v>
      </c>
      <c r="H22" s="31">
        <v>0</v>
      </c>
      <c r="I22" s="67" t="e">
        <f>+H22/$H$20</f>
        <v>#DIV/0!</v>
      </c>
      <c r="J22" s="67" t="str">
        <f t="shared" si="4"/>
        <v/>
      </c>
      <c r="K22" s="31">
        <v>2306</v>
      </c>
      <c r="L22" s="67">
        <f>+K22/$K$20</f>
        <v>0.61509735929581222</v>
      </c>
      <c r="M22" s="31">
        <v>1968.10058</v>
      </c>
      <c r="N22" s="67">
        <f>IF($M$20=0,0,M22/$M$20)</f>
        <v>0.83716151244554804</v>
      </c>
      <c r="O22" s="67">
        <f>IF(K22=0,"",(M22-K22)/ABS(K22)+1)</f>
        <v>0.85346946227233311</v>
      </c>
      <c r="P22" s="62">
        <v>0</v>
      </c>
      <c r="Q22" s="67"/>
      <c r="R22" s="33" t="str">
        <f t="shared" si="9"/>
        <v/>
      </c>
    </row>
    <row r="23" spans="2:21" x14ac:dyDescent="0.2">
      <c r="J23" s="67" t="str">
        <f t="shared" si="4"/>
        <v/>
      </c>
      <c r="R23" s="33" t="str">
        <f t="shared" si="9"/>
        <v/>
      </c>
      <c r="T23" s="52"/>
      <c r="U23" s="52"/>
    </row>
    <row r="24" spans="2:21" x14ac:dyDescent="0.2">
      <c r="B24" s="3" t="s">
        <v>43</v>
      </c>
      <c r="C24" s="31">
        <f>+C20-C22</f>
        <v>1443</v>
      </c>
      <c r="D24" s="67">
        <f>+C24/$C$20</f>
        <v>0.38490264070418778</v>
      </c>
      <c r="E24" s="31">
        <f>+E20-E22</f>
        <v>382.82041999999979</v>
      </c>
      <c r="F24" s="67">
        <f>IF($E$20=0,0,E24/$E$20)</f>
        <v>0.16283848755445199</v>
      </c>
      <c r="G24" s="67">
        <f>IF(C24=0,"",(E24-C24)/ABS(C24)+1)</f>
        <v>0.26529481635481622</v>
      </c>
      <c r="H24" s="31">
        <f>+H20-H22</f>
        <v>0</v>
      </c>
      <c r="I24" s="67" t="e">
        <f>+H24/$H$20</f>
        <v>#DIV/0!</v>
      </c>
      <c r="J24" s="67" t="str">
        <f t="shared" si="4"/>
        <v/>
      </c>
      <c r="K24" s="31">
        <f>+K20-K22</f>
        <v>1443</v>
      </c>
      <c r="L24" s="67">
        <f>+K24/$K$20</f>
        <v>0.38490264070418778</v>
      </c>
      <c r="M24" s="31">
        <f>+M20-M22</f>
        <v>382.82041999999979</v>
      </c>
      <c r="N24" s="67">
        <f>IF($M$20=0,0,M24/$M$20)</f>
        <v>0.16283848755445199</v>
      </c>
      <c r="O24" s="67">
        <f>IF(K24=0,"",(M24-K24)/ABS(K24)+1)</f>
        <v>0.26529481635481622</v>
      </c>
      <c r="P24" s="31">
        <f>+P20-P22</f>
        <v>0</v>
      </c>
      <c r="Q24" s="67" t="e">
        <f>+P24/$P$20</f>
        <v>#DIV/0!</v>
      </c>
      <c r="R24" s="33" t="str">
        <f t="shared" si="9"/>
        <v/>
      </c>
    </row>
    <row r="25" spans="2:21" x14ac:dyDescent="0.2">
      <c r="J25" s="67" t="str">
        <f t="shared" si="4"/>
        <v/>
      </c>
      <c r="R25" s="33" t="str">
        <f t="shared" si="9"/>
        <v/>
      </c>
      <c r="T25" s="52"/>
      <c r="U25" s="52"/>
    </row>
    <row r="26" spans="2:21" x14ac:dyDescent="0.2">
      <c r="B26" s="3" t="s">
        <v>45</v>
      </c>
      <c r="C26" s="31">
        <v>12</v>
      </c>
      <c r="D26" s="67">
        <f>+C26/$C$20</f>
        <v>3.2008535609495867E-3</v>
      </c>
      <c r="E26" s="31">
        <v>289.48435999999998</v>
      </c>
      <c r="F26" s="67">
        <f>IF($E$20=0,0,E26/$E$20)</f>
        <v>0.12313657498486763</v>
      </c>
      <c r="G26" s="67">
        <f>IF(C26=0,"",(E26-C26)/ABS(C26)+1)</f>
        <v>24.123696666666664</v>
      </c>
      <c r="H26" s="31">
        <v>295.68096999999995</v>
      </c>
      <c r="I26" s="67" t="e">
        <f>+H26/$H$20</f>
        <v>#DIV/0!</v>
      </c>
      <c r="J26" s="67">
        <f t="shared" si="4"/>
        <v>-2.0957080869965915E-2</v>
      </c>
      <c r="K26" s="31">
        <v>12</v>
      </c>
      <c r="L26" s="67">
        <f>+K26/$K$20</f>
        <v>3.2008535609495867E-3</v>
      </c>
      <c r="M26" s="31">
        <v>289.48435999999998</v>
      </c>
      <c r="N26" s="67">
        <f>IF($M$20=0,0,M26/$M$20)</f>
        <v>0.12313657498486763</v>
      </c>
      <c r="O26" s="67">
        <f>IF(K26=0,"",(M26-K26)/ABS(K26)+1)</f>
        <v>24.123696666666664</v>
      </c>
      <c r="P26" s="31">
        <v>295.68096999999995</v>
      </c>
      <c r="Q26" s="67" t="e">
        <f>+P26/$P$20</f>
        <v>#DIV/0!</v>
      </c>
      <c r="R26" s="33">
        <f t="shared" si="9"/>
        <v>-2.0957080869965915E-2</v>
      </c>
    </row>
    <row r="27" spans="2:21" x14ac:dyDescent="0.2">
      <c r="B27" s="3" t="s">
        <v>46</v>
      </c>
      <c r="C27" s="31">
        <v>0</v>
      </c>
      <c r="D27" s="67">
        <f>+C27/$C$20</f>
        <v>0</v>
      </c>
      <c r="E27" s="31">
        <v>0</v>
      </c>
      <c r="F27" s="67">
        <f>IF($E$20=0,0,E27/$E$20)</f>
        <v>0</v>
      </c>
      <c r="G27" s="67" t="str">
        <f>IF(C27=0,"",(E27-C27)/ABS(C27)+1)</f>
        <v/>
      </c>
      <c r="H27" s="31">
        <v>0</v>
      </c>
      <c r="I27" s="67" t="e">
        <f>+H27/$H$20</f>
        <v>#DIV/0!</v>
      </c>
      <c r="J27" s="67" t="str">
        <f t="shared" si="4"/>
        <v/>
      </c>
      <c r="K27" s="31">
        <v>0</v>
      </c>
      <c r="L27" s="67">
        <f>+K27/$K$20</f>
        <v>0</v>
      </c>
      <c r="M27" s="31">
        <v>0</v>
      </c>
      <c r="N27" s="67">
        <f>IF($M$20=0,0,M27/$M$20)</f>
        <v>0</v>
      </c>
      <c r="O27" s="67" t="str">
        <f>IF(K27=0,"",(M27-K27)/ABS(K27)+1)</f>
        <v/>
      </c>
      <c r="P27" s="31">
        <v>0</v>
      </c>
      <c r="Q27" s="67" t="e">
        <f>+P27/$P$20</f>
        <v>#DIV/0!</v>
      </c>
      <c r="R27" s="33" t="str">
        <f t="shared" si="9"/>
        <v/>
      </c>
      <c r="S27" s="52"/>
      <c r="T27" s="52"/>
      <c r="U27" s="52"/>
    </row>
    <row r="28" spans="2:21" x14ac:dyDescent="0.2">
      <c r="B28" s="3" t="s">
        <v>48</v>
      </c>
      <c r="C28" s="31">
        <f>SUM(C26:C27)</f>
        <v>12</v>
      </c>
      <c r="D28" s="67">
        <f>+C28/$C$20</f>
        <v>3.2008535609495867E-3</v>
      </c>
      <c r="E28" s="31">
        <f>SUM(E26:E27)</f>
        <v>289.48435999999998</v>
      </c>
      <c r="F28" s="67">
        <f>IF($E$20=0,0,E28/$E$20)</f>
        <v>0.12313657498486763</v>
      </c>
      <c r="G28" s="67">
        <f>IF(C28=0,"",(E28-C28)/ABS(C28)+1)</f>
        <v>24.123696666666664</v>
      </c>
      <c r="H28" s="31">
        <f>SUM(H26:H27)</f>
        <v>295.68096999999995</v>
      </c>
      <c r="I28" s="67" t="e">
        <f>+H28/$H$20</f>
        <v>#DIV/0!</v>
      </c>
      <c r="J28" s="67">
        <f t="shared" si="4"/>
        <v>-2.0957080869965915E-2</v>
      </c>
      <c r="K28" s="31">
        <f>SUM(K26:K27)</f>
        <v>12</v>
      </c>
      <c r="L28" s="67">
        <f>+K28/$K$20</f>
        <v>3.2008535609495867E-3</v>
      </c>
      <c r="M28" s="31">
        <f>SUM(M26:M27)</f>
        <v>289.48435999999998</v>
      </c>
      <c r="N28" s="67">
        <f>IF($M$20=0,0,M28/$M$20)</f>
        <v>0.12313657498486763</v>
      </c>
      <c r="O28" s="67">
        <f>IF(K28=0,"",(M28-K28)/ABS(K28)+1)</f>
        <v>24.123696666666664</v>
      </c>
      <c r="P28" s="31">
        <f>SUM(P26:P27)</f>
        <v>295.68096999999995</v>
      </c>
      <c r="Q28" s="67" t="e">
        <f>+P28/$P$20</f>
        <v>#DIV/0!</v>
      </c>
      <c r="R28" s="33">
        <f t="shared" si="9"/>
        <v>-2.0957080869965915E-2</v>
      </c>
      <c r="S28" s="52"/>
      <c r="T28" s="52"/>
      <c r="U28" s="52"/>
    </row>
    <row r="29" spans="2:21" x14ac:dyDescent="0.2">
      <c r="J29" s="67" t="str">
        <f t="shared" si="4"/>
        <v/>
      </c>
      <c r="R29" s="33" t="str">
        <f t="shared" si="9"/>
        <v/>
      </c>
      <c r="S29" s="52"/>
      <c r="T29" s="52"/>
      <c r="U29" s="52"/>
    </row>
    <row r="30" spans="2:21" x14ac:dyDescent="0.2">
      <c r="B30" s="3" t="s">
        <v>50</v>
      </c>
      <c r="C30" s="31">
        <v>0</v>
      </c>
      <c r="D30" s="67">
        <f>+C30/$C$20</f>
        <v>0</v>
      </c>
      <c r="E30" s="31">
        <v>4.20444</v>
      </c>
      <c r="F30" s="67">
        <f>IF($E$20=0,0,E30/$E$20)</f>
        <v>1.7884224948435104E-3</v>
      </c>
      <c r="G30" s="67" t="str">
        <f>IF(C30=0,"",(E30-C30)/ABS(C30)+1)</f>
        <v/>
      </c>
      <c r="H30" s="31">
        <v>586.92600000000004</v>
      </c>
      <c r="I30" s="67"/>
      <c r="J30" s="67">
        <f t="shared" si="4"/>
        <v>-0.99283650749838992</v>
      </c>
      <c r="K30" s="31">
        <v>0</v>
      </c>
      <c r="L30" s="67">
        <f>+K30/$K$20</f>
        <v>0</v>
      </c>
      <c r="M30" s="31">
        <v>4.20444</v>
      </c>
      <c r="N30" s="67">
        <f>IF($M$20=0,0,M30/$M$20)</f>
        <v>1.7884224948435104E-3</v>
      </c>
      <c r="O30" s="67" t="str">
        <f>IF(K30=0,"",(M30-K30)/ABS(K30)+1)</f>
        <v/>
      </c>
      <c r="P30" s="31">
        <v>586.92600000000004</v>
      </c>
      <c r="Q30" s="67" t="e">
        <f>+P30/$P$20</f>
        <v>#DIV/0!</v>
      </c>
      <c r="R30" s="33">
        <f t="shared" si="9"/>
        <v>-0.99283650749838992</v>
      </c>
    </row>
    <row r="31" spans="2:21" x14ac:dyDescent="0.2">
      <c r="B31" s="3" t="s">
        <v>52</v>
      </c>
      <c r="C31" s="31"/>
      <c r="D31" s="67"/>
      <c r="E31" s="31">
        <v>0</v>
      </c>
      <c r="F31" s="67">
        <f>IF($E$20=0,0,E31/$E$20)</f>
        <v>0</v>
      </c>
      <c r="G31" s="67" t="str">
        <f>IF(C31=0,"",(E31-C31)/ABS(C31)+1)</f>
        <v/>
      </c>
      <c r="H31" s="31">
        <v>0</v>
      </c>
      <c r="I31" s="67"/>
      <c r="J31" s="67" t="str">
        <f>IF(H31&lt;=0,"",(E31-H31)/ABS(H31))</f>
        <v/>
      </c>
      <c r="K31" s="31">
        <v>0</v>
      </c>
      <c r="L31" s="67">
        <f>+K31/$K$20</f>
        <v>0</v>
      </c>
      <c r="M31" s="31">
        <v>0</v>
      </c>
      <c r="N31" s="67">
        <f>IF($M$20=0,0,M31/$M$20)</f>
        <v>0</v>
      </c>
      <c r="O31" s="67" t="str">
        <f>IF(K31=0,"",(M31-K31)/ABS(K31)+1)</f>
        <v/>
      </c>
      <c r="P31" s="31">
        <v>0</v>
      </c>
      <c r="Q31" s="67" t="e">
        <f>+P39/$P$20</f>
        <v>#DIV/0!</v>
      </c>
      <c r="R31" s="33" t="str">
        <f>IF(P31&lt;=0,"",(M31-P31)/ABS(P31))</f>
        <v/>
      </c>
      <c r="S31" s="52"/>
      <c r="T31" s="52"/>
      <c r="U31" s="52"/>
    </row>
    <row r="32" spans="2:21" x14ac:dyDescent="0.2">
      <c r="B32" s="3" t="s">
        <v>53</v>
      </c>
      <c r="C32" s="31">
        <f>SUM(C30:C31)</f>
        <v>0</v>
      </c>
      <c r="D32" s="67">
        <f>+C32/$C$20</f>
        <v>0</v>
      </c>
      <c r="E32" s="31">
        <f>SUM(E30:E31)</f>
        <v>4.20444</v>
      </c>
      <c r="F32" s="67">
        <f>IF($E$20=0,0,E32/$E$20)</f>
        <v>1.7884224948435104E-3</v>
      </c>
      <c r="G32" s="67" t="str">
        <f>IF(C32=0,"",(E32-C32)/ABS(C32)+1)</f>
        <v/>
      </c>
      <c r="H32" s="31">
        <f>SUM(H30:H31)</f>
        <v>586.92600000000004</v>
      </c>
      <c r="I32" s="67" t="e">
        <f>+H32/$H$20</f>
        <v>#DIV/0!</v>
      </c>
      <c r="J32" s="67">
        <f>IF(H32&lt;=0,"",(E32-H32)/ABS(H32))</f>
        <v>-0.99283650749838992</v>
      </c>
      <c r="K32" s="31">
        <f>SUM(K30:K31)</f>
        <v>0</v>
      </c>
      <c r="L32" s="67">
        <f>+K32/$K$20</f>
        <v>0</v>
      </c>
      <c r="M32" s="31">
        <f>SUM(M30:M31)</f>
        <v>4.20444</v>
      </c>
      <c r="N32" s="67">
        <f>IF($M$20=0,0,M32/$M$20)</f>
        <v>1.7884224948435104E-3</v>
      </c>
      <c r="O32" s="67" t="str">
        <f>IF(K32=0,"",(M32-K32)/ABS(K32)+1)</f>
        <v/>
      </c>
      <c r="P32" s="31">
        <f>+P30+P31</f>
        <v>586.92600000000004</v>
      </c>
      <c r="Q32" s="67" t="e">
        <f>+P32/$P$20</f>
        <v>#DIV/0!</v>
      </c>
      <c r="R32" s="33">
        <f>IF(P32&lt;=0,"",(M32-P32)/ABS(P32))</f>
        <v>-0.99283650749838992</v>
      </c>
    </row>
    <row r="33" spans="1:21" x14ac:dyDescent="0.2">
      <c r="S33" s="52"/>
      <c r="T33" s="52"/>
      <c r="U33" s="52"/>
    </row>
    <row r="34" spans="1:21" x14ac:dyDescent="0.2">
      <c r="B34" s="3" t="s">
        <v>54</v>
      </c>
      <c r="C34" s="31">
        <f>C28+C32</f>
        <v>12</v>
      </c>
      <c r="D34" s="67">
        <f>+C34/$C$20</f>
        <v>3.2008535609495867E-3</v>
      </c>
      <c r="E34" s="31">
        <f>E28+E32</f>
        <v>293.68879999999996</v>
      </c>
      <c r="F34" s="67">
        <f>IF($E$20=0,0,E34/$E$20)</f>
        <v>0.12492499747971113</v>
      </c>
      <c r="G34" s="67">
        <f>IF(C34=0,"",(E34-C34)/ABS(C34)+1)</f>
        <v>24.474066666666662</v>
      </c>
      <c r="H34" s="31">
        <f>+H32+H28</f>
        <v>882.60697000000005</v>
      </c>
      <c r="I34" s="67" t="e">
        <f>+H34/$H$20</f>
        <v>#DIV/0!</v>
      </c>
      <c r="J34" s="67">
        <f>IF(H34&lt;=0,"",(E34-H34)/ABS(H34))</f>
        <v>-0.66724849227057448</v>
      </c>
      <c r="K34" s="31">
        <f>K28+K32</f>
        <v>12</v>
      </c>
      <c r="L34" s="67">
        <f>+K34/$K$20</f>
        <v>3.2008535609495867E-3</v>
      </c>
      <c r="M34" s="31">
        <f>M28+M32</f>
        <v>293.68879999999996</v>
      </c>
      <c r="N34" s="67">
        <f>IF($M$20=0,0,M34/$M$20)</f>
        <v>0.12492499747971113</v>
      </c>
      <c r="O34" s="67">
        <f>IF(K34=0,"",(M34-K34)/ABS(K34)+1)</f>
        <v>24.474066666666662</v>
      </c>
      <c r="P34" s="31">
        <f>P28+P32</f>
        <v>882.60697000000005</v>
      </c>
      <c r="Q34" s="67" t="e">
        <f>+P34/$P$20</f>
        <v>#DIV/0!</v>
      </c>
      <c r="R34" s="33">
        <f>IF(P34&lt;=0,"",(M34-P34)/ABS(P34))</f>
        <v>-0.66724849227057448</v>
      </c>
      <c r="S34" s="52"/>
      <c r="T34" s="52"/>
      <c r="U34" s="52"/>
    </row>
    <row r="35" spans="1:21" x14ac:dyDescent="0.2">
      <c r="J35" s="67" t="str">
        <f t="shared" si="4"/>
        <v/>
      </c>
      <c r="R35" s="33" t="str">
        <f t="shared" si="9"/>
        <v/>
      </c>
      <c r="S35" s="52"/>
      <c r="T35" s="52"/>
      <c r="U35" s="52"/>
    </row>
    <row r="36" spans="1:21" x14ac:dyDescent="0.2">
      <c r="B36" s="19" t="s">
        <v>55</v>
      </c>
      <c r="C36" s="68">
        <f>C24-C34</f>
        <v>1431</v>
      </c>
      <c r="D36" s="71">
        <f>+C36/$C$20</f>
        <v>0.38170178714323821</v>
      </c>
      <c r="E36" s="68">
        <f>E24-E34</f>
        <v>89.131619999999828</v>
      </c>
      <c r="F36" s="71">
        <f>IF($E$20=0,0,E36/$E$20)</f>
        <v>3.7913490074740853E-2</v>
      </c>
      <c r="G36" s="71">
        <f>IF(C36=0,"",(E36-C36)/ABS(C36)+1)</f>
        <v>6.2286247379454873E-2</v>
      </c>
      <c r="H36" s="68">
        <f>+H24-H34</f>
        <v>-882.60697000000005</v>
      </c>
      <c r="I36" s="71" t="e">
        <f>+H36/$H$20</f>
        <v>#DIV/0!</v>
      </c>
      <c r="J36" s="71" t="str">
        <f t="shared" si="4"/>
        <v/>
      </c>
      <c r="K36" s="68">
        <f>K24-K34</f>
        <v>1431</v>
      </c>
      <c r="L36" s="71">
        <f>+K36/$K$20</f>
        <v>0.38170178714323821</v>
      </c>
      <c r="M36" s="68">
        <f>M24-M34</f>
        <v>89.131619999999828</v>
      </c>
      <c r="N36" s="71">
        <f>IF($M$20=0,0,M36/$M$20)</f>
        <v>3.7913490074740853E-2</v>
      </c>
      <c r="O36" s="71">
        <f>IF(K36=0,"",(M36-K36)/ABS(K36)+1)</f>
        <v>6.2286247379454873E-2</v>
      </c>
      <c r="P36" s="68">
        <f>P24-P34</f>
        <v>-882.60697000000005</v>
      </c>
      <c r="Q36" s="71" t="e">
        <f>+P36/$P$20</f>
        <v>#DIV/0!</v>
      </c>
      <c r="R36" s="44" t="str">
        <f t="shared" si="9"/>
        <v/>
      </c>
    </row>
    <row r="37" spans="1:21" x14ac:dyDescent="0.2">
      <c r="A37" s="79"/>
      <c r="J37" s="67" t="str">
        <f t="shared" si="4"/>
        <v/>
      </c>
      <c r="R37" s="33" t="str">
        <f t="shared" si="9"/>
        <v/>
      </c>
      <c r="S37" s="52"/>
      <c r="T37" s="52"/>
      <c r="U37" s="52"/>
    </row>
    <row r="38" spans="1:21" x14ac:dyDescent="0.2">
      <c r="B38" s="3" t="s">
        <v>56</v>
      </c>
      <c r="C38" s="31"/>
      <c r="D38" s="67">
        <f>+C38/$C$20</f>
        <v>0</v>
      </c>
      <c r="E38" s="31">
        <v>0</v>
      </c>
      <c r="F38" s="67">
        <f>IF($E$20=0,0,E38/$E$20)</f>
        <v>0</v>
      </c>
      <c r="G38" s="67" t="str">
        <f>IF(C38=0,"",(E38-C38)/ABS(C38)+1)</f>
        <v/>
      </c>
      <c r="H38" s="31">
        <v>0</v>
      </c>
      <c r="I38" s="67" t="e">
        <f>+H38/$H$20</f>
        <v>#DIV/0!</v>
      </c>
      <c r="J38" s="67" t="str">
        <f t="shared" si="4"/>
        <v/>
      </c>
      <c r="K38" s="31"/>
      <c r="L38" s="67">
        <f>+K38/$K$20</f>
        <v>0</v>
      </c>
      <c r="M38" s="31">
        <v>0</v>
      </c>
      <c r="N38" s="67">
        <f>IF($M$20=0,0,M38/$M$20)</f>
        <v>0</v>
      </c>
      <c r="O38" s="67" t="str">
        <f>IF(K38=0,"",(M38-K38)/ABS(K38)+1)</f>
        <v/>
      </c>
      <c r="P38" s="31">
        <v>0</v>
      </c>
      <c r="Q38" s="67" t="e">
        <f>+P38/$P$20</f>
        <v>#DIV/0!</v>
      </c>
      <c r="R38" s="33" t="str">
        <f t="shared" si="9"/>
        <v/>
      </c>
    </row>
    <row r="39" spans="1:21" x14ac:dyDescent="0.2">
      <c r="B39" s="3" t="s">
        <v>57</v>
      </c>
      <c r="C39" s="31"/>
      <c r="D39" s="67"/>
      <c r="E39" s="31">
        <v>1836.6469999999999</v>
      </c>
      <c r="F39" s="67">
        <f>IF($E$20=0,0,E39/$E$20)</f>
        <v>0.78124573305525791</v>
      </c>
      <c r="G39" s="67" t="str">
        <f>IF(C39=0,"",(E39-C39)/ABS(C39)+1)</f>
        <v/>
      </c>
      <c r="H39" s="31">
        <v>2647.6869999999999</v>
      </c>
      <c r="I39" s="67"/>
      <c r="J39" s="67">
        <f t="shared" si="4"/>
        <v>-0.30632019570289087</v>
      </c>
      <c r="K39" s="31">
        <v>0</v>
      </c>
      <c r="L39" s="67">
        <f>+K39/$K$20</f>
        <v>0</v>
      </c>
      <c r="M39" s="31">
        <v>1836.6469999999999</v>
      </c>
      <c r="N39" s="67">
        <f>IF($M$20=0,0,M39/$M$20)</f>
        <v>0.78124573305525791</v>
      </c>
      <c r="O39" s="67" t="str">
        <f>IF(K39=0,"",(M39-K39)/ABS(K39)+1)</f>
        <v/>
      </c>
      <c r="P39" s="31">
        <v>2647.6869999999999</v>
      </c>
      <c r="Q39" s="67" t="e">
        <f>+P39/$P$20</f>
        <v>#DIV/0!</v>
      </c>
      <c r="R39" s="33">
        <f t="shared" si="9"/>
        <v>-0.30632019570289087</v>
      </c>
      <c r="S39" s="52"/>
      <c r="T39" s="52"/>
      <c r="U39" s="52"/>
    </row>
    <row r="40" spans="1:21" x14ac:dyDescent="0.2">
      <c r="J40" s="67" t="str">
        <f t="shared" si="4"/>
        <v/>
      </c>
      <c r="R40" s="33" t="str">
        <f t="shared" si="9"/>
        <v/>
      </c>
      <c r="S40" s="52"/>
      <c r="T40" s="52"/>
      <c r="U40" s="52"/>
    </row>
    <row r="41" spans="1:21" x14ac:dyDescent="0.2">
      <c r="B41" s="3" t="s">
        <v>58</v>
      </c>
      <c r="C41" s="31">
        <f>+C36-C39</f>
        <v>1431</v>
      </c>
      <c r="D41" s="67">
        <f>+C41/$C$20</f>
        <v>0.38170178714323821</v>
      </c>
      <c r="E41" s="31">
        <f>+E36-E39</f>
        <v>-1747.5153800000001</v>
      </c>
      <c r="F41" s="67">
        <f>IF($E$20=0,0,E41/$E$20)</f>
        <v>-0.74333224298051703</v>
      </c>
      <c r="G41" s="67">
        <f>IF(C41=0,"",(E41-C41)/ABS(C41)+1)</f>
        <v>-1.2211847519217329</v>
      </c>
      <c r="H41" s="31">
        <f>+H36+H38-H39</f>
        <v>-3530.2939699999997</v>
      </c>
      <c r="I41" s="67" t="e">
        <f>+H41/$H$20</f>
        <v>#DIV/0!</v>
      </c>
      <c r="J41" s="67" t="str">
        <f t="shared" si="4"/>
        <v/>
      </c>
      <c r="K41" s="31">
        <f>K36+K38-K39</f>
        <v>1431</v>
      </c>
      <c r="L41" s="67">
        <f>+K41/$K$20</f>
        <v>0.38170178714323821</v>
      </c>
      <c r="M41" s="31">
        <f>M36+M38-M39</f>
        <v>-1747.5153800000001</v>
      </c>
      <c r="N41" s="67">
        <f>IF($M$20=0,0,M41/$M$20)</f>
        <v>-0.74333224298051703</v>
      </c>
      <c r="O41" s="67">
        <f>IF(K41=0,"",(M41-K41)/ABS(K41)+1)</f>
        <v>-1.2211847519217329</v>
      </c>
      <c r="P41" s="31">
        <f>+P36-P39</f>
        <v>-3530.2939699999997</v>
      </c>
      <c r="Q41" s="67" t="e">
        <f>+P41/$P$20</f>
        <v>#DIV/0!</v>
      </c>
      <c r="R41" s="33" t="str">
        <f t="shared" si="9"/>
        <v/>
      </c>
    </row>
    <row r="42" spans="1:21" x14ac:dyDescent="0.2">
      <c r="B42" s="3" t="s">
        <v>44</v>
      </c>
      <c r="C42" s="31">
        <v>535</v>
      </c>
      <c r="D42" s="67">
        <f>+C42/$C$20</f>
        <v>0.14270472125900241</v>
      </c>
      <c r="E42" s="31"/>
      <c r="F42" s="67">
        <f>IF($E$20=0,0,E42/$E$20)</f>
        <v>0</v>
      </c>
      <c r="G42" s="67">
        <f>IF(C42=0,"",(E42-C42)/ABS(C42)+1)</f>
        <v>0</v>
      </c>
      <c r="H42" s="31"/>
      <c r="I42" s="67" t="e">
        <f>+I41*33%</f>
        <v>#DIV/0!</v>
      </c>
      <c r="J42" s="67" t="str">
        <f t="shared" si="4"/>
        <v/>
      </c>
      <c r="K42" s="31">
        <v>535</v>
      </c>
      <c r="L42" s="67">
        <f>+K42/$K$20</f>
        <v>0.14270472125900241</v>
      </c>
      <c r="M42" s="31">
        <f>+U43+E42</f>
        <v>0</v>
      </c>
      <c r="N42" s="67">
        <f>IF($M$20=0,0,M42/$M$20)</f>
        <v>0</v>
      </c>
      <c r="O42" s="67">
        <f>IF(K42=0,"",(M42-K42)/ABS(K42)+1)</f>
        <v>0</v>
      </c>
      <c r="P42" s="31">
        <v>0</v>
      </c>
      <c r="Q42" s="67" t="e">
        <f>+P42/$P$20</f>
        <v>#DIV/0!</v>
      </c>
      <c r="R42" s="33" t="str">
        <f t="shared" si="9"/>
        <v/>
      </c>
      <c r="S42" s="52"/>
      <c r="T42" s="52"/>
      <c r="U42" s="52"/>
    </row>
    <row r="43" spans="1:21" x14ac:dyDescent="0.2">
      <c r="B43" s="19" t="s">
        <v>59</v>
      </c>
      <c r="C43" s="68">
        <f>+C41</f>
        <v>1431</v>
      </c>
      <c r="D43" s="71">
        <f>+C43/$C$20</f>
        <v>0.38170178714323821</v>
      </c>
      <c r="E43" s="68">
        <f>E41-E42</f>
        <v>-1747.5153800000001</v>
      </c>
      <c r="F43" s="71">
        <f>IF($E$20=0,0,E43/$E$20)</f>
        <v>-0.74333224298051703</v>
      </c>
      <c r="G43" s="71">
        <f>IF(C43=0,"",(E43-C43)/ABS(C43)+1)</f>
        <v>-1.2211847519217329</v>
      </c>
      <c r="H43" s="68">
        <f>+H41-H42</f>
        <v>-3530.2939699999997</v>
      </c>
      <c r="I43" s="71" t="e">
        <f>+H43/$H$20</f>
        <v>#DIV/0!</v>
      </c>
      <c r="J43" s="67" t="str">
        <f t="shared" si="4"/>
        <v/>
      </c>
      <c r="K43" s="68">
        <f>K41-K42</f>
        <v>896</v>
      </c>
      <c r="L43" s="71">
        <f>+K43/$K$20</f>
        <v>0.2389970658842358</v>
      </c>
      <c r="M43" s="68">
        <f>+M41-M42</f>
        <v>-1747.5153800000001</v>
      </c>
      <c r="N43" s="71">
        <f>IF($M$20=0,0,M43/$M$20)</f>
        <v>-0.74333224298051703</v>
      </c>
      <c r="O43" s="71">
        <f>IF(K43=0,"",(M43-K43)/ABS(K43)+1)</f>
        <v>-1.9503519866071426</v>
      </c>
      <c r="P43" s="68">
        <f>P41-P42</f>
        <v>-3530.2939699999997</v>
      </c>
      <c r="Q43" s="71" t="e">
        <f>+P43/$P$20</f>
        <v>#DIV/0!</v>
      </c>
      <c r="R43" s="33" t="str">
        <f t="shared" si="9"/>
        <v/>
      </c>
      <c r="S43" s="52"/>
      <c r="T43" s="52"/>
      <c r="U43" s="52"/>
    </row>
    <row r="44" spans="1:21" x14ac:dyDescent="0.2">
      <c r="J44" s="67" t="str">
        <f t="shared" si="4"/>
        <v/>
      </c>
      <c r="R44" s="33" t="str">
        <f t="shared" si="9"/>
        <v/>
      </c>
      <c r="S44" s="52"/>
      <c r="T44" s="52"/>
      <c r="U44" s="52"/>
    </row>
    <row r="45" spans="1:21" x14ac:dyDescent="0.2">
      <c r="B45" s="3" t="s">
        <v>60</v>
      </c>
      <c r="C45" s="31">
        <v>1431</v>
      </c>
      <c r="D45" s="67">
        <f>+C45/$C$20</f>
        <v>0.38170178714323821</v>
      </c>
      <c r="E45" s="31">
        <v>382.82041999999984</v>
      </c>
      <c r="F45" s="67">
        <f>IF($E$20=0,0,E45/$E$20)</f>
        <v>0.16283848755445202</v>
      </c>
      <c r="G45" s="67">
        <f>IF(C45=0,"",(E45-C45)/ABS(C45)+1)</f>
        <v>0.2675195108315862</v>
      </c>
      <c r="H45" s="31">
        <v>-2647.6869999999999</v>
      </c>
      <c r="I45" s="67" t="e">
        <f>+H45/$H$20</f>
        <v>#DIV/0!</v>
      </c>
      <c r="J45" s="67" t="str">
        <f t="shared" si="4"/>
        <v/>
      </c>
      <c r="K45" s="31">
        <v>1431</v>
      </c>
      <c r="L45" s="67">
        <f>+K45/$K$20</f>
        <v>0.38170178714323821</v>
      </c>
      <c r="M45" s="31">
        <v>382.82041999999984</v>
      </c>
      <c r="N45" s="67">
        <f>IF($M$20=0,0,M45/$M$20)</f>
        <v>0.16283848755445202</v>
      </c>
      <c r="O45" s="67">
        <f>IF(K45=0,"",(M45-K45)/ABS(K45)+1)</f>
        <v>0.2675195108315862</v>
      </c>
      <c r="P45" s="31">
        <v>0</v>
      </c>
      <c r="Q45" s="67" t="e">
        <f>+P45/$P$20</f>
        <v>#DIV/0!</v>
      </c>
      <c r="R45" s="33" t="str">
        <f t="shared" si="9"/>
        <v/>
      </c>
    </row>
    <row r="46" spans="1:21" x14ac:dyDescent="0.2">
      <c r="B46" s="3" t="s">
        <v>35</v>
      </c>
      <c r="C46" s="31">
        <v>0</v>
      </c>
      <c r="D46" s="67">
        <f>+C46/$C$20</f>
        <v>0</v>
      </c>
      <c r="E46" s="31">
        <v>0</v>
      </c>
      <c r="F46" s="67">
        <f>IF($E$20=0,0,E46/$E$20)</f>
        <v>0</v>
      </c>
      <c r="G46" s="67" t="str">
        <f>IF(C46=0,"",(E46-C46)/ABS(C46)+1)</f>
        <v/>
      </c>
      <c r="H46" s="31">
        <v>0</v>
      </c>
      <c r="I46" s="67" t="e">
        <f>+H46/$H$20</f>
        <v>#DIV/0!</v>
      </c>
      <c r="J46" s="67" t="str">
        <f t="shared" si="4"/>
        <v/>
      </c>
      <c r="K46" s="31">
        <v>0</v>
      </c>
      <c r="L46" s="67">
        <f>+K46/$K$20</f>
        <v>0</v>
      </c>
      <c r="M46" s="31">
        <v>0</v>
      </c>
      <c r="N46" s="67">
        <f>IF($M$20=0,0,M46/$M$20)</f>
        <v>0</v>
      </c>
      <c r="O46" s="67" t="str">
        <f>IF(K46=0,"",(M46-K46)/ABS(K46)+1)</f>
        <v/>
      </c>
      <c r="P46" s="31">
        <v>0</v>
      </c>
      <c r="Q46" s="31" t="e">
        <f>+P46/$P$20</f>
        <v>#DIV/0!</v>
      </c>
      <c r="R46" s="33" t="str">
        <f>IF(P46=0,"",(M46-P46)/ABS(P46))</f>
        <v/>
      </c>
      <c r="S46" s="52"/>
      <c r="T46" s="52"/>
      <c r="U46" s="52"/>
    </row>
    <row r="48" spans="1:21" x14ac:dyDescent="0.2">
      <c r="M48" s="54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1EBF-9632-412E-8ADB-F85E8B9F5022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RowHeight="12.75" x14ac:dyDescent="0.2"/>
  <cols>
    <col min="1" max="1" width="4.5703125" style="12" customWidth="1"/>
    <col min="2" max="2" width="29.28515625" style="12" customWidth="1"/>
    <col min="3" max="3" width="14.42578125" style="12" customWidth="1"/>
    <col min="4" max="4" width="8" style="12" customWidth="1"/>
    <col min="5" max="5" width="10.28515625" style="12" bestFit="1" customWidth="1"/>
    <col min="6" max="6" width="6.28515625" style="12" bestFit="1" customWidth="1"/>
    <col min="7" max="7" width="6.5703125" style="12" bestFit="1" customWidth="1"/>
    <col min="8" max="8" width="11.28515625" style="12" customWidth="1"/>
    <col min="9" max="9" width="6.42578125" style="12" customWidth="1"/>
    <col min="10" max="10" width="8.140625" style="12" customWidth="1"/>
    <col min="11" max="11" width="13.28515625" style="12" customWidth="1"/>
    <col min="12" max="12" width="6.7109375" style="12" customWidth="1"/>
    <col min="13" max="15" width="10.140625" style="12" customWidth="1"/>
    <col min="16" max="16" width="11.5703125" style="12" customWidth="1"/>
    <col min="17" max="17" width="8.5703125" style="12" customWidth="1"/>
    <col min="18" max="18" width="9.42578125" style="12" customWidth="1"/>
    <col min="19" max="19" width="8.42578125" style="12" customWidth="1"/>
    <col min="20" max="21" width="11.42578125" style="12" hidden="1" customWidth="1"/>
    <col min="22" max="22" width="25.5703125" style="12" customWidth="1"/>
    <col min="23" max="24" width="11.42578125" style="12"/>
    <col min="25" max="25" width="12.5703125" style="12" customWidth="1"/>
    <col min="26" max="27" width="11.42578125" style="12"/>
    <col min="28" max="28" width="12.42578125" style="12" customWidth="1"/>
    <col min="29" max="29" width="8.42578125" style="12" customWidth="1"/>
    <col min="30" max="30" width="10.28515625" style="12" bestFit="1" customWidth="1"/>
    <col min="31" max="31" width="9.140625" style="12" customWidth="1"/>
    <col min="32" max="32" width="11.42578125" style="12"/>
    <col min="33" max="33" width="27" style="12" customWidth="1"/>
    <col min="34" max="34" width="11.5703125" style="12" customWidth="1"/>
    <col min="35" max="16384" width="11.42578125" style="12"/>
  </cols>
  <sheetData>
    <row r="3" spans="1:36" s="9" customFormat="1" ht="18" x14ac:dyDescent="0.25">
      <c r="B3" s="15" t="s">
        <v>88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81"/>
      <c r="V3" s="12" t="str">
        <f>+B3</f>
        <v>MUSICAR  COLOMBIA</v>
      </c>
    </row>
    <row r="4" spans="1:36" ht="17.25" customHeight="1" x14ac:dyDescent="0.2">
      <c r="A4" s="9"/>
      <c r="B4" s="18" t="s">
        <v>89</v>
      </c>
      <c r="V4" s="18" t="str">
        <f>+'COLOMB$ '!T4</f>
        <v xml:space="preserve">Flujo de Caja </v>
      </c>
      <c r="Z4" s="14"/>
      <c r="AA4" s="14"/>
    </row>
    <row r="5" spans="1:36" x14ac:dyDescent="0.2">
      <c r="B5" s="18" t="s">
        <v>90</v>
      </c>
      <c r="V5" s="18" t="s">
        <v>90</v>
      </c>
      <c r="AI5" s="82">
        <f>+Paramet!G3-Paramet!G4</f>
        <v>-706.59999999999991</v>
      </c>
      <c r="AJ5" s="83">
        <f>+AI5/Paramet!G4</f>
        <v>-0.15254090928716374</v>
      </c>
    </row>
    <row r="6" spans="1:36" ht="13.5" thickBot="1" x14ac:dyDescent="0.25">
      <c r="B6" s="41" t="str">
        <f>+'COLOMB$ '!B6</f>
        <v>ENERO de 2024</v>
      </c>
      <c r="C6" s="84"/>
      <c r="K6" s="85" t="s">
        <v>23</v>
      </c>
      <c r="L6" s="85"/>
      <c r="M6" s="85"/>
      <c r="N6" s="85"/>
      <c r="O6" s="85"/>
      <c r="P6" s="85"/>
      <c r="Q6" s="85"/>
      <c r="R6" s="85"/>
      <c r="V6" s="41" t="str">
        <f>+B6</f>
        <v>ENERO de 2024</v>
      </c>
      <c r="Z6" s="20" t="s">
        <v>23</v>
      </c>
      <c r="AA6" s="20"/>
      <c r="AB6" s="20"/>
      <c r="AC6" s="20"/>
      <c r="AD6" s="20"/>
      <c r="AE6" s="20"/>
    </row>
    <row r="7" spans="1:36" ht="15.75" customHeight="1" x14ac:dyDescent="0.2">
      <c r="C7" s="21" t="str">
        <f>+'COLOMB$ '!D7:D7</f>
        <v>Ppto 2024</v>
      </c>
      <c r="D7" s="21"/>
      <c r="E7" s="21" t="str">
        <f>+'COLOMB$ '!F7:F7</f>
        <v>Real 2024</v>
      </c>
      <c r="F7" s="21"/>
      <c r="G7" s="21" t="s">
        <v>24</v>
      </c>
      <c r="H7" s="21" t="str">
        <f>+'COLOMB$ '!I7:I7</f>
        <v>Real 2023</v>
      </c>
      <c r="I7" s="21"/>
      <c r="J7" s="21" t="s">
        <v>25</v>
      </c>
      <c r="K7" s="21" t="str">
        <f>+C7</f>
        <v>Ppto 2024</v>
      </c>
      <c r="L7" s="21"/>
      <c r="M7" s="21" t="str">
        <f>+E7</f>
        <v>Real 2024</v>
      </c>
      <c r="N7" s="21"/>
      <c r="O7" s="21" t="s">
        <v>24</v>
      </c>
      <c r="P7" s="21" t="str">
        <f>+H7</f>
        <v>Real 2023</v>
      </c>
      <c r="Q7" s="21"/>
      <c r="R7" s="21" t="s">
        <v>25</v>
      </c>
      <c r="T7" s="9"/>
      <c r="W7" s="14" t="str">
        <f>+C7</f>
        <v>Ppto 2024</v>
      </c>
      <c r="X7" s="14" t="str">
        <f>+M7</f>
        <v>Real 2024</v>
      </c>
      <c r="Y7" s="14" t="str">
        <f>+H7</f>
        <v>Real 2023</v>
      </c>
      <c r="Z7" s="14" t="str">
        <f>+W7</f>
        <v>Ppto 2024</v>
      </c>
      <c r="AA7" s="14" t="str">
        <f>+X7</f>
        <v>Real 2024</v>
      </c>
      <c r="AB7" s="14" t="s">
        <v>26</v>
      </c>
      <c r="AC7" s="14" t="s">
        <v>24</v>
      </c>
      <c r="AD7" s="14" t="str">
        <f>+Y7</f>
        <v>Real 2023</v>
      </c>
      <c r="AE7" s="14" t="s">
        <v>25</v>
      </c>
      <c r="AI7" s="12" t="s">
        <v>91</v>
      </c>
    </row>
    <row r="8" spans="1:36" ht="13.5" thickBot="1" x14ac:dyDescent="0.25">
      <c r="B8" s="86" t="s">
        <v>27</v>
      </c>
      <c r="C8" s="87" t="s">
        <v>28</v>
      </c>
      <c r="D8" s="87" t="s">
        <v>29</v>
      </c>
      <c r="E8" s="87" t="s">
        <v>28</v>
      </c>
      <c r="F8" s="87" t="s">
        <v>29</v>
      </c>
      <c r="G8" s="87" t="s">
        <v>30</v>
      </c>
      <c r="H8" s="87" t="s">
        <v>28</v>
      </c>
      <c r="I8" s="87" t="s">
        <v>29</v>
      </c>
      <c r="J8" s="87" t="s">
        <v>30</v>
      </c>
      <c r="K8" s="87" t="s">
        <v>28</v>
      </c>
      <c r="L8" s="87" t="s">
        <v>29</v>
      </c>
      <c r="M8" s="87" t="s">
        <v>28</v>
      </c>
      <c r="N8" s="87" t="s">
        <v>29</v>
      </c>
      <c r="O8" s="87" t="s">
        <v>30</v>
      </c>
      <c r="P8" s="87" t="s">
        <v>28</v>
      </c>
      <c r="Q8" s="87" t="s">
        <v>29</v>
      </c>
      <c r="R8" s="87" t="s">
        <v>30</v>
      </c>
      <c r="T8" s="16" t="s">
        <v>92</v>
      </c>
      <c r="U8" s="16"/>
      <c r="V8" s="28"/>
      <c r="W8" s="29"/>
      <c r="X8" s="29"/>
      <c r="Y8" s="29"/>
      <c r="Z8" s="29"/>
      <c r="AA8" s="29"/>
      <c r="AB8" s="29"/>
      <c r="AC8" s="29" t="s">
        <v>30</v>
      </c>
      <c r="AD8" s="29"/>
      <c r="AE8" s="29" t="s">
        <v>30</v>
      </c>
    </row>
    <row r="9" spans="1:36" x14ac:dyDescent="0.2">
      <c r="T9" s="36"/>
      <c r="U9" s="16" t="s">
        <v>93</v>
      </c>
      <c r="AH9" s="82"/>
    </row>
    <row r="10" spans="1:36" x14ac:dyDescent="0.2">
      <c r="B10" s="18" t="str">
        <f>+'COLOMB$ '!B10</f>
        <v>Musical Experience  (Ambiental)</v>
      </c>
      <c r="C10" s="34">
        <f>+'COL. CONS.$'!C10/Paramet!$G$5*1000</f>
        <v>101567.20930232557</v>
      </c>
      <c r="D10" s="32">
        <f t="shared" ref="D10:D15" si="0">+C10/$C$20</f>
        <v>0.46109008982377309</v>
      </c>
      <c r="E10" s="34">
        <f>+'COL. CONS.$'!E10/Paramet!$G$3*1000</f>
        <v>109820.57698186264</v>
      </c>
      <c r="F10" s="32">
        <f t="shared" ref="F10:F18" si="1">+E10/$E$20</f>
        <v>0.45451801484415905</v>
      </c>
      <c r="G10" s="32">
        <f t="shared" ref="G10:G18" si="2">IF(C10=0,"",(E10-C10)/ABS(C10)+1)</f>
        <v>1.0812601600086307</v>
      </c>
      <c r="H10" s="34">
        <f>+'COL. CONS.$'!H10/Paramet!$G$4*1000</f>
        <v>102429.61033634127</v>
      </c>
      <c r="I10" s="32">
        <f t="shared" ref="I10:I18" si="3">+H10/$H$20</f>
        <v>0.4373565628826071</v>
      </c>
      <c r="J10" s="33">
        <f t="shared" ref="J10:J18" si="4">IF(H10=0,"",(E10-H10)/ABS(H10))</f>
        <v>7.2156543613239865E-2</v>
      </c>
      <c r="K10" s="34">
        <f>+'COL. CONS.$'!K10/Paramet!$G$5*1000</f>
        <v>101567.20930232557</v>
      </c>
      <c r="L10" s="32">
        <f t="shared" ref="L10:L18" si="5">+K10/$K$20</f>
        <v>0.46109008982377309</v>
      </c>
      <c r="M10" s="34">
        <f>+'COL. CONS.$'!M10/Paramet!$G$3*1000</f>
        <v>109820.57698186264</v>
      </c>
      <c r="N10" s="32">
        <f t="shared" ref="N10:N18" si="6">+M10/$M$20</f>
        <v>0.45451801484415905</v>
      </c>
      <c r="O10" s="32">
        <f t="shared" ref="O10:O18" si="7">IF(K10=0,"",(M10-K10)/ABS(K10)+1)</f>
        <v>1.0812601600086307</v>
      </c>
      <c r="P10" s="34">
        <f>+'COL. CONS.$'!P10/Paramet!$G$4*1000</f>
        <v>102429.61033634127</v>
      </c>
      <c r="Q10" s="32">
        <f t="shared" ref="Q10:Q18" si="8">+P10/$P$20</f>
        <v>0.51865853414956975</v>
      </c>
      <c r="R10" s="33">
        <f t="shared" ref="R10:R18" si="9">IF(P10=0,"",(M10-P10)/ABS(P10))</f>
        <v>7.2156543613239865E-2</v>
      </c>
      <c r="T10" s="36"/>
      <c r="U10" s="35" t="s">
        <v>94</v>
      </c>
      <c r="V10" s="18" t="s">
        <v>31</v>
      </c>
      <c r="W10" s="34">
        <f>+'COL. CONS.$'!U10/Paramet!G5*1000</f>
        <v>10639.767441860466</v>
      </c>
      <c r="X10" s="34">
        <f>'COLOMB$ '!V10/Paramet!$G$3*1000</f>
        <v>11654.524149174647</v>
      </c>
      <c r="Y10" s="34">
        <f>'COLOMB$ '!W10/Paramet!$G$4*1000</f>
        <v>6931.4796425024824</v>
      </c>
      <c r="Z10" s="34">
        <f>'COLOMB$ '!X10/Paramet!$G$5*1000</f>
        <v>10639.767441860466</v>
      </c>
      <c r="AA10" s="34">
        <f>+'COL. CONS.$'!Y10/Paramet!G3*1000</f>
        <v>11654.524149174647</v>
      </c>
      <c r="AB10" s="35">
        <f>+AA10-Z10</f>
        <v>1014.7567073141818</v>
      </c>
      <c r="AC10" s="36">
        <f>IF(Z10=0,"",(AA10-Z10)/ABS(Z10)+1)</f>
        <v>1.0953739555736701</v>
      </c>
      <c r="AD10" s="34">
        <f>'COLOMB$ '!AB10/Paramet!$G$4*1000</f>
        <v>6931.4796425024824</v>
      </c>
      <c r="AE10" s="33">
        <f>IF(Y10=0,"",(AA10-AD10)/ABS(AD10))</f>
        <v>0.68139051836946563</v>
      </c>
      <c r="AF10" s="82"/>
    </row>
    <row r="11" spans="1:36" x14ac:dyDescent="0.2">
      <c r="B11" s="18" t="str">
        <f>+'COLOMB$ '!B11</f>
        <v>Instalaciones</v>
      </c>
      <c r="C11" s="34">
        <f>+'COL. CONS.$'!C11/Paramet!$G$5*1000</f>
        <v>9654.4186046511622</v>
      </c>
      <c r="D11" s="32">
        <f t="shared" si="0"/>
        <v>4.3828680261996565E-2</v>
      </c>
      <c r="E11" s="34">
        <f>+'COL. CONS.$'!E11/Paramet!$G$3*1000</f>
        <v>10516.187589158346</v>
      </c>
      <c r="F11" s="32">
        <f t="shared" si="1"/>
        <v>4.3523689622778423E-2</v>
      </c>
      <c r="G11" s="32">
        <f t="shared" si="2"/>
        <v>1.0892616137539357</v>
      </c>
      <c r="H11" s="34">
        <f>+'COL. CONS.$'!H11/Paramet!$G$4*1000</f>
        <v>8797.6743232157514</v>
      </c>
      <c r="I11" s="32">
        <f t="shared" si="3"/>
        <v>3.7564534227238634E-2</v>
      </c>
      <c r="J11" s="33">
        <f t="shared" si="4"/>
        <v>0.19533722240748264</v>
      </c>
      <c r="K11" s="34">
        <f>+'COL. CONS.$'!K11/Paramet!$G$5*1000</f>
        <v>9654.4186046511622</v>
      </c>
      <c r="L11" s="32">
        <f t="shared" si="5"/>
        <v>4.3828680261996565E-2</v>
      </c>
      <c r="M11" s="34">
        <f>+'COL. CONS.$'!M11/Paramet!$G$3*1000</f>
        <v>10516.187589158346</v>
      </c>
      <c r="N11" s="32">
        <f t="shared" si="6"/>
        <v>4.3523689622778423E-2</v>
      </c>
      <c r="O11" s="32">
        <f t="shared" si="7"/>
        <v>1.0892616137539357</v>
      </c>
      <c r="P11" s="34">
        <f>+'COL. CONS.$'!P11/Paramet!$G$4*1000</f>
        <v>8797.6743232157514</v>
      </c>
      <c r="Q11" s="32">
        <f t="shared" si="8"/>
        <v>4.4547556643251968E-2</v>
      </c>
      <c r="R11" s="33">
        <f t="shared" si="9"/>
        <v>0.19533722240748264</v>
      </c>
      <c r="T11" s="36">
        <f>+E22/C22</f>
        <v>1.2908284103223551</v>
      </c>
      <c r="U11" s="35" t="s">
        <v>95</v>
      </c>
      <c r="V11" s="18" t="s">
        <v>32</v>
      </c>
      <c r="W11" s="34">
        <f>'COLOMB$ '!U11/Paramet!$G$5*1000</f>
        <v>276020</v>
      </c>
      <c r="X11" s="34">
        <f>'COLOMB$ '!V11/Paramet!$G$3*1000</f>
        <v>302345.1323746689</v>
      </c>
      <c r="Y11" s="34">
        <f>'COLOMB$ '!W11/Paramet!$G$4*1000</f>
        <v>261253.3641703726</v>
      </c>
      <c r="Z11" s="34">
        <f>'COLOMB$ '!X11/Paramet!$G$5*1000</f>
        <v>276020</v>
      </c>
      <c r="AA11" s="34">
        <f>'COLOMB$ '!Y11/Paramet!$G$3*1000</f>
        <v>302345.1323746689</v>
      </c>
      <c r="AB11" s="35">
        <f>+AA11-Z11</f>
        <v>26325.132374668901</v>
      </c>
      <c r="AC11" s="36">
        <f>IF(Z11=0,"",(AA11-Z11)/ABS(Z11)+1)</f>
        <v>1.0953740032413191</v>
      </c>
      <c r="AD11" s="34">
        <f>'COLOMB$ '!AB11/Paramet!$G$4*1000</f>
        <v>261253.3641703726</v>
      </c>
      <c r="AE11" s="33">
        <f>IF(AD11=0,"",(AA11-AD11)/ABS(AD11))</f>
        <v>0.15728703947903575</v>
      </c>
      <c r="AF11" s="82"/>
    </row>
    <row r="12" spans="1:36" x14ac:dyDescent="0.2">
      <c r="B12" s="18" t="str">
        <f>+'COLOMB$ '!B12</f>
        <v>Voice Experience (Publihold)</v>
      </c>
      <c r="C12" s="34">
        <f>+'COL. CONS.$'!C12/Paramet!$G$5*1000</f>
        <v>17208.837209302324</v>
      </c>
      <c r="D12" s="32">
        <f t="shared" si="0"/>
        <v>7.8123878258592808E-2</v>
      </c>
      <c r="E12" s="34">
        <f>+'COL. CONS.$'!E12/Paramet!$G$3*1000</f>
        <v>20560.680660281232</v>
      </c>
      <c r="F12" s="32">
        <f t="shared" si="1"/>
        <v>8.5095161711808517E-2</v>
      </c>
      <c r="G12" s="32">
        <f t="shared" si="2"/>
        <v>1.1947745457878498</v>
      </c>
      <c r="H12" s="34">
        <f>+'COL. CONS.$'!H12/Paramet!$G$4*1000</f>
        <v>24869.743102629422</v>
      </c>
      <c r="I12" s="32">
        <f t="shared" si="3"/>
        <v>0.10618946345127674</v>
      </c>
      <c r="J12" s="33">
        <f t="shared" si="4"/>
        <v>-0.17326525748842986</v>
      </c>
      <c r="K12" s="34">
        <f>+'COL. CONS.$'!K12/Paramet!$G$5*1000</f>
        <v>17208.837209302324</v>
      </c>
      <c r="L12" s="32">
        <f t="shared" si="5"/>
        <v>7.8123878258592808E-2</v>
      </c>
      <c r="M12" s="34">
        <f>+'COL. CONS.$'!M12/Paramet!$G$3*1000</f>
        <v>20560.680660281232</v>
      </c>
      <c r="N12" s="32">
        <f t="shared" si="6"/>
        <v>8.5095161711808517E-2</v>
      </c>
      <c r="O12" s="32">
        <f t="shared" si="7"/>
        <v>1.1947745457878498</v>
      </c>
      <c r="P12" s="34">
        <f>+'COL. CONS.$'!P12/Paramet!$G$4*1000</f>
        <v>24869.743102629422</v>
      </c>
      <c r="Q12" s="32">
        <f t="shared" si="8"/>
        <v>0.12592945008704884</v>
      </c>
      <c r="R12" s="33">
        <f t="shared" si="9"/>
        <v>-0.17326525748842986</v>
      </c>
      <c r="T12" s="36">
        <f>+E24/C24</f>
        <v>1.0762853100083893</v>
      </c>
      <c r="U12" s="88">
        <v>1208</v>
      </c>
      <c r="AE12" s="2"/>
      <c r="AF12" s="82"/>
    </row>
    <row r="13" spans="1:36" x14ac:dyDescent="0.2">
      <c r="B13" s="18" t="str">
        <f>+'COLOMB$ '!B13</f>
        <v>Service &amp; Equipment Experience</v>
      </c>
      <c r="C13" s="34">
        <f>+'COL. CONS.$'!C13/Paramet!$G$5*1000</f>
        <v>21672.79069767442</v>
      </c>
      <c r="D13" s="32">
        <f t="shared" si="0"/>
        <v>9.8389126551434364E-2</v>
      </c>
      <c r="E13" s="34">
        <f>+'COL. CONS.$'!E13/Paramet!$G$3*1000</f>
        <v>25384.468616262486</v>
      </c>
      <c r="F13" s="32">
        <f t="shared" si="1"/>
        <v>0.10505953074024536</v>
      </c>
      <c r="G13" s="32">
        <f t="shared" si="2"/>
        <v>1.1712598054567263</v>
      </c>
      <c r="H13" s="34">
        <f>+'COL. CONS.$'!H13/Paramet!$G$4*1000</f>
        <v>24859.761236561462</v>
      </c>
      <c r="I13" s="32">
        <f t="shared" si="3"/>
        <v>0.10614684262493265</v>
      </c>
      <c r="J13" s="33">
        <f t="shared" si="4"/>
        <v>2.1106694256151255E-2</v>
      </c>
      <c r="K13" s="34">
        <f>+'COL. CONS.$'!K13/Paramet!$G$5*1000</f>
        <v>21672.79069767442</v>
      </c>
      <c r="L13" s="32">
        <f t="shared" si="5"/>
        <v>9.8389126551434364E-2</v>
      </c>
      <c r="M13" s="34">
        <f>+'COL. CONS.$'!M13/Paramet!$G$3*1000</f>
        <v>25384.468616262486</v>
      </c>
      <c r="N13" s="32">
        <f t="shared" si="6"/>
        <v>0.10505953074024536</v>
      </c>
      <c r="O13" s="32">
        <f t="shared" si="7"/>
        <v>1.1712598054567263</v>
      </c>
      <c r="P13" s="34">
        <f>+'COL. CONS.$'!P13/Paramet!$G$4*1000</f>
        <v>24859.761236561462</v>
      </c>
      <c r="Q13" s="32">
        <f t="shared" si="8"/>
        <v>0.12587890630380211</v>
      </c>
      <c r="R13" s="33">
        <f t="shared" si="9"/>
        <v>2.1106694256151255E-2</v>
      </c>
      <c r="T13" s="36">
        <f>+E26/C26</f>
        <v>0.83148140899192979</v>
      </c>
      <c r="U13" s="35" t="s">
        <v>96</v>
      </c>
      <c r="V13" s="18" t="s">
        <v>33</v>
      </c>
      <c r="W13" s="34">
        <f>'COLOMB$ '!U13/Paramet!$G$5*1000</f>
        <v>30526.511627906977</v>
      </c>
      <c r="X13" s="34">
        <f>'COLOMB$ '!V13/Paramet!$G$3*1000</f>
        <v>33438.117739963316</v>
      </c>
      <c r="Y13" s="34">
        <f>'COLOMB$ '!W13/Paramet!$G$4*1000</f>
        <v>30270.615906048959</v>
      </c>
      <c r="Z13" s="34">
        <f>'COLOMB$ '!X13/Paramet!$G$5*1000</f>
        <v>30526.511627906977</v>
      </c>
      <c r="AA13" s="34">
        <f>'COLOMB$ '!Y13/Paramet!$G$3*1000</f>
        <v>33438.117739963316</v>
      </c>
      <c r="AB13" s="35">
        <f>+Z13-AA13</f>
        <v>-2911.606112056339</v>
      </c>
      <c r="AC13" s="36">
        <f>IF(Z13=0,"",(AA13-Z13)/ABS(Z13)+1)</f>
        <v>1.0953795883246149</v>
      </c>
      <c r="AD13" s="34">
        <f>'COLOMB$ '!AB13/Paramet!$G$4*1000</f>
        <v>30270.615906048959</v>
      </c>
      <c r="AE13" s="33">
        <f>IF(AD13=0,"",(AA13-AD13)/ABS(AD13))</f>
        <v>0.10463949077697482</v>
      </c>
      <c r="AF13" s="82"/>
      <c r="AG13" s="39"/>
    </row>
    <row r="14" spans="1:36" x14ac:dyDescent="0.2">
      <c r="B14" s="18" t="str">
        <f>+'COLOMB$ '!B14</f>
        <v>POP Satelital</v>
      </c>
      <c r="C14" s="34">
        <f>+'COL. CONS.$'!C14/Paramet!$G$5*1000</f>
        <v>0</v>
      </c>
      <c r="D14" s="32">
        <f t="shared" si="0"/>
        <v>0</v>
      </c>
      <c r="E14" s="34">
        <f>+'COL. CONS.$'!E14/Paramet!$G$3*1000</f>
        <v>0</v>
      </c>
      <c r="F14" s="32">
        <f t="shared" si="1"/>
        <v>0</v>
      </c>
      <c r="G14" s="32" t="str">
        <f t="shared" si="2"/>
        <v/>
      </c>
      <c r="H14" s="34">
        <f>+'COL. CONS.$'!H14/Paramet!$G$4*1000</f>
        <v>0</v>
      </c>
      <c r="I14" s="32">
        <f t="shared" si="3"/>
        <v>0</v>
      </c>
      <c r="J14" s="33" t="str">
        <f t="shared" si="4"/>
        <v/>
      </c>
      <c r="K14" s="34">
        <f>+'COL. CONS.$'!K14/Paramet!$G$5*1000</f>
        <v>0</v>
      </c>
      <c r="L14" s="32">
        <f t="shared" si="5"/>
        <v>0</v>
      </c>
      <c r="M14" s="34">
        <f>+'COL. CONS.$'!M14/Paramet!$G$3*1000</f>
        <v>0</v>
      </c>
      <c r="N14" s="32">
        <f t="shared" si="6"/>
        <v>0</v>
      </c>
      <c r="O14" s="32" t="str">
        <f t="shared" si="7"/>
        <v/>
      </c>
      <c r="P14" s="34">
        <f>+'COL. CONS.$'!P14/Paramet!$G$4*1000</f>
        <v>0</v>
      </c>
      <c r="Q14" s="32">
        <f t="shared" si="8"/>
        <v>0</v>
      </c>
      <c r="R14" s="33" t="str">
        <f t="shared" si="9"/>
        <v/>
      </c>
      <c r="T14" s="36"/>
      <c r="U14" s="35"/>
      <c r="V14" s="18" t="s">
        <v>34</v>
      </c>
      <c r="W14" s="34">
        <f>'COLOMB$ '!U14/Paramet!$G$5*1000</f>
        <v>2723.4883720930234</v>
      </c>
      <c r="X14" s="34">
        <f>'COLOMB$ '!V14/Paramet!$G$3*1000</f>
        <v>2983.1727633992259</v>
      </c>
      <c r="Y14" s="34">
        <f>'COLOMB$ '!W14/Paramet!$G$4*1000</f>
        <v>2232.4584430724062</v>
      </c>
      <c r="Z14" s="34">
        <f>'COLOMB$ '!X14/Paramet!$G$5*1000</f>
        <v>2723.4883720930234</v>
      </c>
      <c r="AA14" s="34">
        <f>'COLOMB$ '!Y14/Paramet!$G$3*1000</f>
        <v>2983.1727633992259</v>
      </c>
      <c r="AB14" s="35">
        <f>+Z14-AA14</f>
        <v>-259.68439130620254</v>
      </c>
      <c r="AC14" s="36">
        <f>IF(Z14=0,"",(AA14-Z14)/ABS(Z14)+1)</f>
        <v>1.0953499173953267</v>
      </c>
      <c r="AD14" s="34">
        <f>'COLOMB$ '!AB14/Paramet!$G$4*1000</f>
        <v>2232.4584430724062</v>
      </c>
      <c r="AE14" s="33">
        <f>IF(AD14=0,"",(AA14-AD14)/ABS(AD14))</f>
        <v>0.33627247246477476</v>
      </c>
      <c r="AF14" s="82"/>
    </row>
    <row r="15" spans="1:36" x14ac:dyDescent="0.2">
      <c r="B15" s="18" t="str">
        <f>+'COLOMB$ '!B15</f>
        <v>Voice Experience (Audicóm)</v>
      </c>
      <c r="C15" s="34">
        <f>+'COL. CONS.$'!C15/Paramet!$G$5*1000</f>
        <v>34553.255813953489</v>
      </c>
      <c r="D15" s="32">
        <f t="shared" si="0"/>
        <v>0.15686326262579342</v>
      </c>
      <c r="E15" s="34">
        <f>+'COL. CONS.$'!E15/Paramet!$G$3*1000</f>
        <v>38053.014316282861</v>
      </c>
      <c r="F15" s="32">
        <f t="shared" si="1"/>
        <v>0.15749125529298325</v>
      </c>
      <c r="G15" s="32">
        <f t="shared" si="2"/>
        <v>1.1012859257365866</v>
      </c>
      <c r="H15" s="34">
        <f>+'COL. CONS.$'!H15/Paramet!$G$4*1000</f>
        <v>33264.136911186906</v>
      </c>
      <c r="I15" s="32">
        <f t="shared" si="3"/>
        <v>0.14203206025056547</v>
      </c>
      <c r="J15" s="33">
        <f t="shared" si="4"/>
        <v>0.14396517841066936</v>
      </c>
      <c r="K15" s="34">
        <f>+'COL. CONS.$'!K15/Paramet!$G$5*1000</f>
        <v>34553.255813953489</v>
      </c>
      <c r="L15" s="32">
        <f t="shared" si="5"/>
        <v>0.15686326262579342</v>
      </c>
      <c r="M15" s="34">
        <f>+'COL. CONS.$'!M15/Paramet!$G$3*1000</f>
        <v>38053.014316282861</v>
      </c>
      <c r="N15" s="32">
        <f t="shared" si="6"/>
        <v>0.15749125529298325</v>
      </c>
      <c r="O15" s="32">
        <f t="shared" si="7"/>
        <v>1.1012859257365866</v>
      </c>
      <c r="P15" s="34">
        <f>+'COL. CONS.$'!P15/Paramet!$G$4*1000</f>
        <v>33264.136911186906</v>
      </c>
      <c r="Q15" s="32">
        <f t="shared" si="8"/>
        <v>0.16843497142530531</v>
      </c>
      <c r="R15" s="33">
        <f t="shared" si="9"/>
        <v>0.14396517841066936</v>
      </c>
      <c r="T15" s="36"/>
      <c r="U15" s="88"/>
      <c r="V15" s="18" t="s">
        <v>35</v>
      </c>
      <c r="W15" s="34">
        <f>'COLOMB$ '!U15/Paramet!$G$5*1000</f>
        <v>99335.116279069771</v>
      </c>
      <c r="X15" s="34">
        <f>'COLOMB$ '!V15/Paramet!$G$3*1000</f>
        <v>108809.17413898512</v>
      </c>
      <c r="Y15" s="34">
        <f>'COLOMB$ '!W15/Paramet!$G$4*1000</f>
        <v>80117.759379992218</v>
      </c>
      <c r="Z15" s="34">
        <f>'COLOMB$ '!X15/Paramet!$G$5*1000</f>
        <v>99335.116279069771</v>
      </c>
      <c r="AA15" s="34">
        <f>'COLOMB$ '!Y15/Paramet!$G$3*1000</f>
        <v>108809.17413898512</v>
      </c>
      <c r="AB15" s="35">
        <f>+Z15-AA15</f>
        <v>-9474.0578599153523</v>
      </c>
      <c r="AC15" s="36">
        <f>IF(Z15=0,"",(AA15-Z15)/ABS(Z15)+1)</f>
        <v>1.095374709516614</v>
      </c>
      <c r="AD15" s="34">
        <f>'COLOMB$ '!AB15/Paramet!$G$4*1000</f>
        <v>80117.759379992218</v>
      </c>
      <c r="AE15" s="33">
        <f>IF(AD15=0,"",(AA15-AD15)/ABS(AD15))</f>
        <v>0.35811554118621547</v>
      </c>
      <c r="AF15" s="82"/>
    </row>
    <row r="16" spans="1:36" x14ac:dyDescent="0.2">
      <c r="B16" s="18" t="str">
        <f>+'COLOMB$ '!B16</f>
        <v>Fact. Servicio Satelital</v>
      </c>
      <c r="C16" s="34">
        <f>+'COL. CONS.$'!C16/Paramet!$G$3*1000</f>
        <v>0</v>
      </c>
      <c r="D16" s="32"/>
      <c r="E16" s="34">
        <f>+'COL. CONS.$'!E16/Paramet!$G$3*1000</f>
        <v>0</v>
      </c>
      <c r="F16" s="32">
        <f t="shared" si="1"/>
        <v>0</v>
      </c>
      <c r="G16" s="32" t="str">
        <f t="shared" si="2"/>
        <v/>
      </c>
      <c r="H16" s="34">
        <f>+'COL. CONS.$'!H16/Paramet!$G$4*1000</f>
        <v>0</v>
      </c>
      <c r="I16" s="32">
        <f t="shared" si="3"/>
        <v>0</v>
      </c>
      <c r="J16" s="33" t="str">
        <f t="shared" si="4"/>
        <v/>
      </c>
      <c r="K16" s="34">
        <f>+'COL. CONS.$'!K16/Paramet!$G$3*1000</f>
        <v>0</v>
      </c>
      <c r="L16" s="32">
        <f t="shared" si="5"/>
        <v>0</v>
      </c>
      <c r="M16" s="34">
        <f>+'COL. CONS.$'!M16/Paramet!$G$3*1000</f>
        <v>0</v>
      </c>
      <c r="N16" s="32">
        <f t="shared" si="6"/>
        <v>0</v>
      </c>
      <c r="O16" s="32" t="str">
        <f t="shared" si="7"/>
        <v/>
      </c>
      <c r="P16" s="34">
        <f>+'COL. CONS.$'!P16/Paramet!$G$4*1000</f>
        <v>0</v>
      </c>
      <c r="Q16" s="32">
        <f t="shared" si="8"/>
        <v>0</v>
      </c>
      <c r="R16" s="33" t="str">
        <f t="shared" si="9"/>
        <v/>
      </c>
      <c r="V16" s="18" t="s">
        <v>36</v>
      </c>
      <c r="W16" s="34">
        <f>'COLOMB$ '!U16/Paramet!$G$5*1000</f>
        <v>60171.860465116282</v>
      </c>
      <c r="X16" s="34">
        <f>'COLOMB$ '!V16/Paramet!$G$3*1000</f>
        <v>65910.50822294681</v>
      </c>
      <c r="Y16" s="34">
        <f>'COLOMB$ '!W16/Paramet!$G$4*1000</f>
        <v>51326.729705107726</v>
      </c>
      <c r="Z16" s="34">
        <f>'COLOMB$ '!X16/Paramet!$G$5*1000</f>
        <v>60171.860465116282</v>
      </c>
      <c r="AA16" s="34">
        <f>'COLOMB$ '!Y16/Paramet!$G$3*1000</f>
        <v>65910.50822294681</v>
      </c>
      <c r="AB16" s="35">
        <f>+Z16-AA16</f>
        <v>-5738.6477578305276</v>
      </c>
      <c r="AC16" s="36">
        <f>IF(Z16=0,"",(AA16-Z16)/ABS(Z16)+1)</f>
        <v>1.0953709543542769</v>
      </c>
      <c r="AD16" s="34">
        <f>'COLOMB$ '!AB16/Paramet!$G$4*1000</f>
        <v>51326.729705107726</v>
      </c>
      <c r="AE16" s="33">
        <f>IF(AD16=0,"",(AA16-AD16)/ABS(AD16))</f>
        <v>0.28413613338758642</v>
      </c>
      <c r="AF16" s="82"/>
    </row>
    <row r="17" spans="2:33" x14ac:dyDescent="0.2">
      <c r="B17" s="18" t="str">
        <f>+'COLOMB$ '!B17</f>
        <v>Visual Experience</v>
      </c>
      <c r="C17" s="34">
        <f>+'COL. CONS.$'!C17/Paramet!$G$5*1000</f>
        <v>2215.8139534883721</v>
      </c>
      <c r="D17" s="32"/>
      <c r="E17" s="34">
        <f>+'COL. CONS.$'!E17/Paramet!$G$3*1000</f>
        <v>2776.8603525575713</v>
      </c>
      <c r="F17" s="32">
        <f t="shared" si="1"/>
        <v>1.1492682788876312E-2</v>
      </c>
      <c r="G17" s="32">
        <f t="shared" si="2"/>
        <v>1.2532010407218257</v>
      </c>
      <c r="H17" s="34">
        <f>+'COL. CONS.$'!H17/Paramet!$G$4*1000</f>
        <v>3268.5659082077627</v>
      </c>
      <c r="I17" s="32">
        <f t="shared" si="3"/>
        <v>1.3956206086062087E-2</v>
      </c>
      <c r="J17" s="33">
        <f t="shared" si="4"/>
        <v>-0.15043464609829635</v>
      </c>
      <c r="K17" s="34">
        <f>+'COL. CONS.$'!K17/Paramet!$G$5*1000</f>
        <v>2215.8139534883721</v>
      </c>
      <c r="L17" s="32">
        <f t="shared" si="5"/>
        <v>1.0059249061432367E-2</v>
      </c>
      <c r="M17" s="34">
        <f>+'COL. CONS.$'!M17/Paramet!$G$3*1000</f>
        <v>2776.8603525575713</v>
      </c>
      <c r="N17" s="32">
        <f t="shared" si="6"/>
        <v>1.1492682788876312E-2</v>
      </c>
      <c r="O17" s="32">
        <f t="shared" si="7"/>
        <v>1.2532010407218257</v>
      </c>
      <c r="P17" s="34">
        <f>+'COL. CONS.$'!P17/Paramet!$G$4*1000</f>
        <v>3268.5659082077627</v>
      </c>
      <c r="Q17" s="32">
        <f t="shared" si="8"/>
        <v>1.6550581391022105E-2</v>
      </c>
      <c r="R17" s="33">
        <f t="shared" si="9"/>
        <v>-0.15043464609829635</v>
      </c>
      <c r="V17" s="18" t="s">
        <v>37</v>
      </c>
      <c r="W17" s="34">
        <f>'COLOMB$ '!U17/Paramet!$G$5*1000</f>
        <v>192756.97674418605</v>
      </c>
      <c r="X17" s="34">
        <f>'COLOMB$ '!V17/Paramet!$G$3*1000</f>
        <v>211140.97286529446</v>
      </c>
      <c r="Y17" s="34">
        <f>'COLOMB$ '!W17/Paramet!$G$4*1000</f>
        <v>163947.56343422132</v>
      </c>
      <c r="Z17" s="34">
        <f>'COLOMB$ '!X17/Paramet!$G$5*1000</f>
        <v>192756.97674418605</v>
      </c>
      <c r="AA17" s="34">
        <f>'COLOMB$ '!Y17/Paramet!$G$3*1000</f>
        <v>211140.97286529446</v>
      </c>
      <c r="AB17" s="35">
        <f>+AA17-Z17</f>
        <v>18383.996121108416</v>
      </c>
      <c r="AC17" s="36">
        <f>IF(Z17=0,"",(AA17-Z17)/ABS(Z17)+1)</f>
        <v>1.0953739596440466</v>
      </c>
      <c r="AD17" s="34">
        <f>'COLOMB$ '!AB17/Paramet!$G$4*1000</f>
        <v>163947.56343422132</v>
      </c>
      <c r="AE17" s="33">
        <f>IF(AD17=0,"",(AA17-AD17)/ABS(AD17))</f>
        <v>0.28785672956956132</v>
      </c>
      <c r="AF17" s="82"/>
    </row>
    <row r="18" spans="2:33" x14ac:dyDescent="0.2">
      <c r="B18" s="18" t="str">
        <f>+'COL. CONS.$'!B18</f>
        <v>Olfa Experience</v>
      </c>
      <c r="C18" s="34">
        <f>+'COL. CONS.$'!C18/Paramet!$G$5*1000</f>
        <v>33403.953488372099</v>
      </c>
      <c r="D18" s="32"/>
      <c r="E18" s="34">
        <f>+'COL. CONS.$'!E18/Paramet!$G$3*1000</f>
        <v>34508.066792337479</v>
      </c>
      <c r="F18" s="32">
        <f t="shared" si="1"/>
        <v>0.142819664999149</v>
      </c>
      <c r="G18" s="32">
        <f t="shared" si="2"/>
        <v>1.0330533720911126</v>
      </c>
      <c r="H18" s="34">
        <f>+'COL. CONS.$'!H18/Paramet!$G$4*1000</f>
        <v>24363.503518846337</v>
      </c>
      <c r="I18" s="32">
        <f t="shared" si="3"/>
        <v>0.10402790876380431</v>
      </c>
      <c r="J18" s="40">
        <f t="shared" si="4"/>
        <v>0.4163835987563872</v>
      </c>
      <c r="K18" s="34">
        <f>+'COL. CONS.$'!K18/Paramet!$G$5*1000</f>
        <v>33403.953488372099</v>
      </c>
      <c r="L18" s="32">
        <f t="shared" si="5"/>
        <v>0.15164571341697744</v>
      </c>
      <c r="M18" s="34">
        <f>+'COL. CONS.$'!M18/Paramet!$G$3*1000</f>
        <v>34508.066792337479</v>
      </c>
      <c r="N18" s="32">
        <f t="shared" si="6"/>
        <v>0.142819664999149</v>
      </c>
      <c r="O18" s="32">
        <f t="shared" si="7"/>
        <v>1.0330533720911126</v>
      </c>
      <c r="P18" s="34">
        <f>+'COL. CONS.$'!P18/Paramet!$G$4*1000</f>
        <v>24363.503518846337</v>
      </c>
      <c r="Q18" s="32">
        <f t="shared" si="8"/>
        <v>0.12336607530126907</v>
      </c>
      <c r="R18" s="40">
        <f t="shared" si="9"/>
        <v>0.4163835987563872</v>
      </c>
      <c r="AE18" s="2"/>
      <c r="AF18" s="82"/>
    </row>
    <row r="19" spans="2:33" x14ac:dyDescent="0.2">
      <c r="B19" s="18" t="str">
        <f>+'COLOMB$ '!B19</f>
        <v>Locutor virtual</v>
      </c>
      <c r="C19" s="34"/>
      <c r="D19" s="32"/>
      <c r="E19" s="34"/>
      <c r="F19" s="32"/>
      <c r="G19" s="32"/>
      <c r="H19" s="34">
        <f>+'COL. CONS.$'!H19/Paramet!$G$4*1000</f>
        <v>12348.61275419887</v>
      </c>
      <c r="I19" s="32"/>
      <c r="J19" s="33"/>
      <c r="K19" s="34"/>
      <c r="L19" s="32"/>
      <c r="M19" s="34"/>
      <c r="N19" s="32"/>
      <c r="O19" s="32"/>
      <c r="P19" s="34"/>
      <c r="Q19" s="32"/>
      <c r="R19" s="33"/>
      <c r="T19" s="36">
        <f>+E27/C27</f>
        <v>1.0369332284837216</v>
      </c>
      <c r="U19" s="35" t="s">
        <v>97</v>
      </c>
      <c r="V19" s="18" t="s">
        <v>38</v>
      </c>
      <c r="W19" s="34">
        <f>+W11-W17</f>
        <v>83263.023255813954</v>
      </c>
      <c r="X19" s="34">
        <f>+X11-X17</f>
        <v>91204.15950937444</v>
      </c>
      <c r="Y19" s="34">
        <f>+Y11-Y17</f>
        <v>97305.800736151286</v>
      </c>
      <c r="Z19" s="34">
        <f>+Z11-Z17</f>
        <v>83263.023255813954</v>
      </c>
      <c r="AA19" s="34">
        <f>+AA11-AA17</f>
        <v>91204.15950937444</v>
      </c>
      <c r="AB19" s="35">
        <f>+AA19-Z19</f>
        <v>7941.1362535604858</v>
      </c>
      <c r="AC19" s="36">
        <f>IF(Z19=0,"",(AA19-Z19)/ABS(Z19)+1)</f>
        <v>1.0953741041706166</v>
      </c>
      <c r="AD19" s="34">
        <f>+AD11-AD17</f>
        <v>97305.800736151286</v>
      </c>
      <c r="AE19" s="33">
        <f>IF(AD19=0,"",(AA19-AD19)/ABS(AD19))</f>
        <v>-6.270583234109238E-2</v>
      </c>
      <c r="AF19" s="82"/>
    </row>
    <row r="20" spans="2:33" x14ac:dyDescent="0.2">
      <c r="B20" s="41" t="s">
        <v>39</v>
      </c>
      <c r="C20" s="42">
        <f>SUM(C10:C19)</f>
        <v>220276.27906976742</v>
      </c>
      <c r="D20" s="43">
        <f>+C20/$C$20</f>
        <v>1</v>
      </c>
      <c r="E20" s="42">
        <f>SUM(E10:E19)</f>
        <v>241619.85530874264</v>
      </c>
      <c r="F20" s="43">
        <f>+E20/$E$20</f>
        <v>1</v>
      </c>
      <c r="G20" s="43">
        <f>IF(C20=0,"",(E20-C20)/ABS(C20)+1)</f>
        <v>1.0968945740735667</v>
      </c>
      <c r="H20" s="42">
        <f>+'COL. CONS.$'!H20/Paramet!$G$4*1000</f>
        <v>234201.60809118778</v>
      </c>
      <c r="I20" s="43">
        <f>+H20/$H$20</f>
        <v>1</v>
      </c>
      <c r="J20" s="44">
        <f>IF(H20=0,"",(E20-H20)/ABS(H20))</f>
        <v>3.1674621186488706E-2</v>
      </c>
      <c r="K20" s="42">
        <f>SUM(K10:K19)</f>
        <v>220276.27906976742</v>
      </c>
      <c r="L20" s="43">
        <f>+K20/$K$20</f>
        <v>1</v>
      </c>
      <c r="M20" s="42">
        <f>SUM(M10:M19)</f>
        <v>241619.85530874264</v>
      </c>
      <c r="N20" s="43">
        <f>+M20/$M$20</f>
        <v>1</v>
      </c>
      <c r="O20" s="43">
        <f>IF(K20=0,"",(M20-K20)/ABS(K20)+1)</f>
        <v>1.0968945740735667</v>
      </c>
      <c r="P20" s="42">
        <f>SUM(P10:P17)</f>
        <v>197489.49181814256</v>
      </c>
      <c r="Q20" s="43">
        <f>+P20/$P$20</f>
        <v>1</v>
      </c>
      <c r="R20" s="44">
        <f>IF(P20=0,"",(M20-P20)/ABS(P20))</f>
        <v>0.22345676767064324</v>
      </c>
      <c r="T20" s="36">
        <f>+E28/C28</f>
        <v>0.95731056406857207</v>
      </c>
      <c r="U20" s="35"/>
      <c r="V20" s="18"/>
      <c r="W20" s="34"/>
      <c r="X20" s="34"/>
      <c r="Y20" s="34"/>
      <c r="Z20" s="34"/>
      <c r="AA20" s="34"/>
      <c r="AB20" s="35"/>
      <c r="AC20" s="36"/>
      <c r="AD20" s="34"/>
      <c r="AE20" s="33" t="str">
        <f>IF(AD20=0,"",(AA20-AD20)/ABS(AD20))</f>
        <v/>
      </c>
      <c r="AF20" s="82"/>
      <c r="AG20" s="39"/>
    </row>
    <row r="21" spans="2:33" x14ac:dyDescent="0.2">
      <c r="J21" s="33"/>
      <c r="R21" s="33"/>
      <c r="T21" s="36">
        <f>+E30/C30</f>
        <v>1.0392900802813192</v>
      </c>
      <c r="U21" s="35"/>
      <c r="V21" s="18" t="s">
        <v>40</v>
      </c>
      <c r="W21" s="34">
        <f>+'COL. CONS.$'!U21/Paramet!G5*1000</f>
        <v>93902.790697674413</v>
      </c>
      <c r="X21" s="34">
        <f>+X10+X19</f>
        <v>102858.68365854908</v>
      </c>
      <c r="Y21" s="34">
        <f>'COLOMB$ '!W21/Paramet!$G$4*1000</f>
        <v>104237.2803786538</v>
      </c>
      <c r="Z21" s="34">
        <f>'COLOMB$ '!X21/Paramet!$G$5*1000</f>
        <v>93902.790697674413</v>
      </c>
      <c r="AA21" s="34">
        <f>+'COL. CONS.$'!Y21/Paramet!G3*1000</f>
        <v>102858.68365854904</v>
      </c>
      <c r="AB21" s="35">
        <f>+AA21-Z21</f>
        <v>8955.8929608746257</v>
      </c>
      <c r="AC21" s="36">
        <f>IF(Z21=0,"",(AA21-Z21)/ABS(Z21)+1)</f>
        <v>1.0953740873336624</v>
      </c>
      <c r="AD21" s="34">
        <f>'COLOMB$ '!AB21/Paramet!$G$4*1000</f>
        <v>104237.2803786538</v>
      </c>
      <c r="AE21" s="33">
        <f>IF(AD21=0,"",(AA21-AD21)/ABS(AD21))</f>
        <v>-1.3225563014469017E-2</v>
      </c>
      <c r="AF21" s="82"/>
      <c r="AG21" s="39"/>
    </row>
    <row r="22" spans="2:33" x14ac:dyDescent="0.2">
      <c r="B22" s="18" t="s">
        <v>41</v>
      </c>
      <c r="C22" s="34">
        <f>+'COL. CONS.$'!C22/Paramet!$G$5*1000</f>
        <v>21160</v>
      </c>
      <c r="D22" s="32">
        <f>+C22/$C$20</f>
        <v>9.6061183207557535E-2</v>
      </c>
      <c r="E22" s="34">
        <f>+'COL. CONS.$'!E22/Paramet!$G$3*1000</f>
        <v>27313.929162421031</v>
      </c>
      <c r="F22" s="32">
        <f>+E22/$E$20</f>
        <v>0.11304505222685116</v>
      </c>
      <c r="G22" s="32">
        <f>IF(C22=0,"",(E22-C22)/ABS(C22)+1)</f>
        <v>1.2908284103223551</v>
      </c>
      <c r="H22" s="34">
        <f>+'COL. CONS.$'!H22/Paramet!$G$4*1000</f>
        <v>20202.447001424807</v>
      </c>
      <c r="I22" s="32">
        <f>+H22/$H$20</f>
        <v>8.626092350979446E-2</v>
      </c>
      <c r="J22" s="33">
        <f>IF(H22=0,"",(E22-H22)/ABS(H22))</f>
        <v>0.35201093018556989</v>
      </c>
      <c r="K22" s="34">
        <f>+'COL. CONS.$'!K22/Paramet!$G$5*1000</f>
        <v>21160</v>
      </c>
      <c r="L22" s="32">
        <f>+K22/$K$20</f>
        <v>9.6061183207557535E-2</v>
      </c>
      <c r="M22" s="34">
        <f>+'COL. CONS.$'!M22/Paramet!$G$3*1000</f>
        <v>27313.929162421031</v>
      </c>
      <c r="N22" s="32">
        <f>+M22/$M$20</f>
        <v>0.11304505222685116</v>
      </c>
      <c r="O22" s="32">
        <f>IF(K22=0,"",(M22-K22)/ABS(K22)+1)</f>
        <v>1.2908284103223551</v>
      </c>
      <c r="P22" s="34">
        <f>+'COL. CONS.$'!P22/Paramet!$G$4*1000</f>
        <v>20202.447001424807</v>
      </c>
      <c r="Q22" s="32">
        <f>+P22/$P$20</f>
        <v>0.10229631366932755</v>
      </c>
      <c r="R22" s="33">
        <f>IF(P22=0,"",(M22-P22)/ABS(P22))</f>
        <v>0.35201093018556989</v>
      </c>
      <c r="T22" s="36">
        <f>+E32/C32</f>
        <v>1.091395021928794</v>
      </c>
      <c r="U22" s="35"/>
      <c r="AE22" s="33"/>
      <c r="AF22" s="82"/>
      <c r="AG22" s="39"/>
    </row>
    <row r="23" spans="2:33" x14ac:dyDescent="0.2">
      <c r="J23" s="33"/>
      <c r="R23" s="33"/>
      <c r="T23" s="36">
        <f>+E33/C33</f>
        <v>1.0799786303769143</v>
      </c>
      <c r="U23" s="88">
        <v>2101</v>
      </c>
      <c r="V23" s="18" t="s">
        <v>42</v>
      </c>
      <c r="W23" s="34">
        <f>'COLOMB$ '!U23/Paramet!$G$5*1000</f>
        <v>8078.6046511627919</v>
      </c>
      <c r="X23" s="34">
        <f>'COLOMB$ '!V23/Paramet!$G$3*1000</f>
        <v>8849.0428851640536</v>
      </c>
      <c r="Y23" s="34">
        <f>'COLOMB$ '!W23/Paramet!$G$4*1000</f>
        <v>0</v>
      </c>
      <c r="Z23" s="34">
        <f>'COLOMB$ '!X23/Paramet!$G$5*1000</f>
        <v>8078.6046511627919</v>
      </c>
      <c r="AA23" s="34">
        <f>'COLOMB$ '!Y23/Paramet!$G$3*1000</f>
        <v>8849.0428851640536</v>
      </c>
      <c r="AB23" s="35">
        <f>+AA23-Z23</f>
        <v>770.43823400126166</v>
      </c>
      <c r="AC23" s="36">
        <f>IF(Z23=0,"",(AA23-Z23)/ABS(Z23)+1)</f>
        <v>1.0953677357995688</v>
      </c>
      <c r="AD23" s="34">
        <f>'COLOMB$ '!AB23/Paramet!$G$4*1000</f>
        <v>0</v>
      </c>
      <c r="AE23" s="33" t="str">
        <f>IF(AD23=0,"",(AA23-AD23)/ABS(AD23))</f>
        <v/>
      </c>
      <c r="AF23" s="82"/>
    </row>
    <row r="24" spans="2:33" x14ac:dyDescent="0.2">
      <c r="B24" s="18" t="s">
        <v>43</v>
      </c>
      <c r="C24" s="34">
        <f>C20-C22</f>
        <v>199116.27906976742</v>
      </c>
      <c r="D24" s="32">
        <f>+C24/$C$20</f>
        <v>0.90393881679244248</v>
      </c>
      <c r="E24" s="34">
        <f>E20-E22</f>
        <v>214305.92614632161</v>
      </c>
      <c r="F24" s="32">
        <f>+E24/$E$20</f>
        <v>0.88695494777314887</v>
      </c>
      <c r="G24" s="32">
        <f>IF(C24=0,"",(E24-C24)/ABS(C24)+1)</f>
        <v>1.0762853100083893</v>
      </c>
      <c r="H24" s="34">
        <f>+'COL. CONS.$'!H24/Paramet!$G$4*1000</f>
        <v>213999.16108976296</v>
      </c>
      <c r="I24" s="32">
        <f>+H24/$H$20</f>
        <v>0.91373907649020547</v>
      </c>
      <c r="J24" s="33">
        <f>IF(H24=0,"",(E24-H24)/ABS(H24))</f>
        <v>1.4334871921763178E-3</v>
      </c>
      <c r="K24" s="34">
        <f>K20-K22</f>
        <v>199116.27906976742</v>
      </c>
      <c r="L24" s="32">
        <f>+K24/$K$20</f>
        <v>0.90393881679244248</v>
      </c>
      <c r="M24" s="34">
        <f>M20-M22</f>
        <v>214305.92614632161</v>
      </c>
      <c r="N24" s="32">
        <f>+M24/$M$20</f>
        <v>0.88695494777314887</v>
      </c>
      <c r="O24" s="32">
        <f>IF(K24=0,"",(M24-K24)/ABS(K24)+1)</f>
        <v>1.0762853100083893</v>
      </c>
      <c r="P24" s="34">
        <f>P20-P22</f>
        <v>177287.04481671774</v>
      </c>
      <c r="Q24" s="32">
        <f>+P24/$P$20</f>
        <v>0.89770368633067243</v>
      </c>
      <c r="R24" s="33">
        <f>IF(P24=0,"",(M24-P24)/ABS(P24))</f>
        <v>0.20880759430490028</v>
      </c>
      <c r="T24" s="36">
        <f>+E34/C34</f>
        <v>0.99693980789835568</v>
      </c>
      <c r="U24" s="35" t="s">
        <v>98</v>
      </c>
      <c r="AE24" s="33"/>
      <c r="AF24" s="82"/>
    </row>
    <row r="25" spans="2:33" x14ac:dyDescent="0.2">
      <c r="J25" s="33"/>
      <c r="R25" s="33"/>
      <c r="T25" s="36">
        <f>+E36/C36</f>
        <v>2.3870975542531179</v>
      </c>
      <c r="U25" s="88" t="s">
        <v>99</v>
      </c>
      <c r="V25" s="18" t="s">
        <v>44</v>
      </c>
      <c r="W25" s="34">
        <f>'COLOMB$ '!U25/Paramet!$G$5*1000</f>
        <v>74078.604651162794</v>
      </c>
      <c r="X25" s="34">
        <f>'COLOMB$ '!V25/Paramet!$G$3*1000</f>
        <v>81143.716415325063</v>
      </c>
      <c r="Y25" s="34">
        <f>'COLOMB$ '!W25/Paramet!$G$4*1000</f>
        <v>72284.863032684254</v>
      </c>
      <c r="Z25" s="34">
        <f>'COLOMB$ '!X25/Paramet!$G$5*1000</f>
        <v>74078.604651162794</v>
      </c>
      <c r="AA25" s="34">
        <f>'COLOMB$ '!Y25/Paramet!$G$3*1000</f>
        <v>81143.716415325063</v>
      </c>
      <c r="AB25" s="35">
        <f>+AA25-Z25</f>
        <v>7065.1117641622695</v>
      </c>
      <c r="AC25" s="36">
        <f>IF(Z25=0,"",(AA25-Z25)/ABS(Z25)+1)</f>
        <v>1.0953731755266176</v>
      </c>
      <c r="AD25" s="34">
        <f>'COLOMB$ '!AB25/Paramet!$G$4*1000</f>
        <v>72284.863032684254</v>
      </c>
      <c r="AE25" s="33">
        <f>IF(AD25=0,"",(AA25-AD25)/ABS(AD25))</f>
        <v>0.12255475089764227</v>
      </c>
    </row>
    <row r="26" spans="2:33" x14ac:dyDescent="0.2">
      <c r="B26" s="18" t="s">
        <v>45</v>
      </c>
      <c r="C26" s="34">
        <f>+'COL. CONS.$'!C26/Paramet!$G$5*1000</f>
        <v>49256.046511627908</v>
      </c>
      <c r="D26" s="32">
        <f>+C26/$C$20</f>
        <v>0.22361030756301814</v>
      </c>
      <c r="E26" s="34">
        <f>+'COL. CONS.$'!E26/Paramet!$G$3*1000</f>
        <v>40955.486954860404</v>
      </c>
      <c r="F26" s="32">
        <f>+E26/$E$20</f>
        <v>0.16950381375954118</v>
      </c>
      <c r="G26" s="32">
        <f>IF(C26=0,"",(E26-C26)/ABS(C26)+1)</f>
        <v>0.83148140899192979</v>
      </c>
      <c r="H26" s="34">
        <f>+'COL. CONS.$'!H26/Paramet!$G$4*1000</f>
        <v>37270.421834117704</v>
      </c>
      <c r="I26" s="32">
        <f>+H26/$H$20</f>
        <v>0.15913819780266514</v>
      </c>
      <c r="J26" s="33">
        <f>IF(H26=0,"",(E26-H26)/ABS(H26))</f>
        <v>9.8873716459236732E-2</v>
      </c>
      <c r="K26" s="34">
        <f>+'COL. CONS.$'!K26/Paramet!$G$5*1000</f>
        <v>49256.046511627908</v>
      </c>
      <c r="L26" s="32">
        <f>+K26/$K$20</f>
        <v>0.22361030756301814</v>
      </c>
      <c r="M26" s="34">
        <f>+'COL. CONS.$'!M26/Paramet!$G$3*1000</f>
        <v>40955.486954860404</v>
      </c>
      <c r="N26" s="32">
        <f>+M26/$M$20</f>
        <v>0.16950381375954118</v>
      </c>
      <c r="O26" s="32">
        <f>IF(K26=0,"",(M26-K26)/ABS(K26)+1)</f>
        <v>0.83148140899192979</v>
      </c>
      <c r="P26" s="34">
        <f>+'COL. CONS.$'!P26/Paramet!$G$4*1000</f>
        <v>37270.421834117704</v>
      </c>
      <c r="Q26" s="32">
        <f>+P26/$P$20</f>
        <v>0.18872103771697396</v>
      </c>
      <c r="R26" s="33">
        <f>IF(P26=0,"",(M26-P26)/ABS(P26))</f>
        <v>9.8873716459236732E-2</v>
      </c>
      <c r="T26" s="36">
        <f>+E38/C38</f>
        <v>2.6670913405225036</v>
      </c>
      <c r="U26" s="88" t="s">
        <v>100</v>
      </c>
      <c r="AE26" s="33"/>
    </row>
    <row r="27" spans="2:33" x14ac:dyDescent="0.2">
      <c r="B27" s="18" t="s">
        <v>46</v>
      </c>
      <c r="C27" s="34">
        <f>+'COL. CONS.$'!C27/Paramet!$G$5*1000</f>
        <v>77840.232558139527</v>
      </c>
      <c r="D27" s="32">
        <f>+C27/$C$20</f>
        <v>0.35337546506079048</v>
      </c>
      <c r="E27" s="34">
        <f>+'COL. CONS.$'!E27/Paramet!$G$3*1000</f>
        <v>80715.123652435315</v>
      </c>
      <c r="F27" s="32">
        <f>+E27/$E$20</f>
        <v>0.33405832293582521</v>
      </c>
      <c r="G27" s="32">
        <f>IF(C27=0,"",(E27-C27)/ABS(C27)+1)</f>
        <v>1.0369332284837216</v>
      </c>
      <c r="H27" s="34">
        <f>+'COL. CONS.$'!H27/Paramet!$G$4*1000</f>
        <v>60861.797463408308</v>
      </c>
      <c r="I27" s="32">
        <f>+H27/$H$20</f>
        <v>0.25986925520900528</v>
      </c>
      <c r="J27" s="33">
        <f>IF(H27=0,"",(E27-H27)/ABS(H27))</f>
        <v>0.32620341522057977</v>
      </c>
      <c r="K27" s="34">
        <f>+'COL. CONS.$'!K27/Paramet!$G$5*1000</f>
        <v>77840.232558139527</v>
      </c>
      <c r="L27" s="32">
        <f>+K27/$K$20</f>
        <v>0.35337546506079048</v>
      </c>
      <c r="M27" s="34">
        <f>+'COL. CONS.$'!M27/Paramet!$G$3*1000</f>
        <v>80715.123652435315</v>
      </c>
      <c r="N27" s="32">
        <f>+M27/$M$20</f>
        <v>0.33405832293582521</v>
      </c>
      <c r="O27" s="32">
        <f>IF(K27=0,"",(M27-K27)/ABS(K27)+1)</f>
        <v>1.0369332284837216</v>
      </c>
      <c r="P27" s="34">
        <f>+'COL. CONS.$'!P27/Paramet!$G$4*1000</f>
        <v>60861.797463408308</v>
      </c>
      <c r="Q27" s="32">
        <f>+P27/$P$20</f>
        <v>0.3081773966963906</v>
      </c>
      <c r="R27" s="33">
        <f>IF(P27=0,"",(M27-P27)/ABS(P27))</f>
        <v>0.32620341522057977</v>
      </c>
      <c r="T27" s="36">
        <f>+E39/C39</f>
        <v>1.1942362904786312</v>
      </c>
      <c r="U27" s="35"/>
      <c r="V27" s="18" t="s">
        <v>47</v>
      </c>
      <c r="W27" s="34">
        <f>'COLOMB$ '!U27/Paramet!$G$5*1000</f>
        <v>2335.8139534883721</v>
      </c>
      <c r="X27" s="34">
        <f>'COLOMB$ '!V27/Paramet!$G$3*1000</f>
        <v>2558.6579758508256</v>
      </c>
      <c r="Y27" s="34">
        <f>'COLOMB$ '!W27/Paramet!$G$4*1000</f>
        <v>27634.169509088555</v>
      </c>
      <c r="Z27" s="34">
        <f>'COLOMB$ '!X27/Paramet!$G$5*1000</f>
        <v>2335.8139534883721</v>
      </c>
      <c r="AA27" s="34">
        <f>'COLOMB$ '!Y27/Paramet!$G$3*1000</f>
        <v>2558.5897697167311</v>
      </c>
      <c r="AB27" s="35">
        <f>+AA27-Z27</f>
        <v>222.77581622835896</v>
      </c>
      <c r="AC27" s="36">
        <f>IF(Z27=0,"",(AA27-Z27)/ABS(Z27)+1)</f>
        <v>1.0953739555736701</v>
      </c>
      <c r="AD27" s="34">
        <f>'COLOMB$ '!AB27/Paramet!$G$4*1000</f>
        <v>27634.169509088555</v>
      </c>
      <c r="AE27" s="33">
        <f>IF(AD27=0,"",(AA27-AD27)/ABS(AD27))</f>
        <v>-0.90741209831273417</v>
      </c>
    </row>
    <row r="28" spans="2:33" x14ac:dyDescent="0.2">
      <c r="B28" s="18" t="s">
        <v>48</v>
      </c>
      <c r="C28" s="34">
        <f>SUM(C26:C27)</f>
        <v>127096.27906976744</v>
      </c>
      <c r="D28" s="32">
        <f>+C28/$C$20</f>
        <v>0.57698577262380857</v>
      </c>
      <c r="E28" s="34">
        <f>SUM(E26:E27)</f>
        <v>121670.61060729572</v>
      </c>
      <c r="F28" s="32">
        <f>+E28/$E$20</f>
        <v>0.50356213669536642</v>
      </c>
      <c r="G28" s="32">
        <f>IF(C28=0,"",(E28-C28)/ABS(C28)+1)</f>
        <v>0.95731056406857207</v>
      </c>
      <c r="H28" s="34">
        <f>+'COL. CONS.$'!H28/Paramet!$G$4*1000</f>
        <v>98132.219297526026</v>
      </c>
      <c r="I28" s="32">
        <f>+H28/$H$20</f>
        <v>0.41900745301167047</v>
      </c>
      <c r="J28" s="33">
        <f>IF(H28=0,"",(E28-H28)/ABS(H28))</f>
        <v>0.239864047488867</v>
      </c>
      <c r="K28" s="34">
        <f>SUM(K26:K27)</f>
        <v>127096.27906976744</v>
      </c>
      <c r="L28" s="32">
        <f>+K28/$K$20</f>
        <v>0.57698577262380857</v>
      </c>
      <c r="M28" s="34">
        <f>SUM(M26:M27)</f>
        <v>121670.61060729572</v>
      </c>
      <c r="N28" s="32">
        <f>+M28/$M$20</f>
        <v>0.50356213669536642</v>
      </c>
      <c r="O28" s="32">
        <f>IF(K28=0,"",(M28-K28)/ABS(K28)+1)</f>
        <v>0.95731056406857207</v>
      </c>
      <c r="P28" s="34">
        <f>SUM(P26:P27)</f>
        <v>98132.219297526011</v>
      </c>
      <c r="Q28" s="32">
        <f>+P28/$P$20</f>
        <v>0.49689843441336456</v>
      </c>
      <c r="R28" s="33">
        <f>IF(P28=0,"",(M28-P28)/ABS(P28))</f>
        <v>0.23986404748886719</v>
      </c>
      <c r="T28" s="36">
        <f>+E41/C41</f>
        <v>4.1633023022231619</v>
      </c>
      <c r="U28" s="16"/>
      <c r="V28" s="18" t="s">
        <v>49</v>
      </c>
      <c r="W28" s="34">
        <f>'COLOMB$ '!U28/Paramet!$G$5*1000</f>
        <v>0</v>
      </c>
      <c r="X28" s="34">
        <f>'COLOMB$ '!V28/Paramet!$G$3*1000</f>
        <v>0</v>
      </c>
      <c r="Y28" s="34">
        <f>'COLOMB$ '!W28/Paramet!$G$4*1000</f>
        <v>0</v>
      </c>
      <c r="Z28" s="34">
        <f>'COLOMB$ '!X28/Paramet!$G$5*1000</f>
        <v>0</v>
      </c>
      <c r="AA28" s="34">
        <f>'COLOMB$ '!Y28/Paramet!$G$3*1000</f>
        <v>0</v>
      </c>
      <c r="AB28" s="35">
        <f>+AA28-Z28</f>
        <v>0</v>
      </c>
      <c r="AC28" s="36" t="str">
        <f>IF(Z28=0,"",(AA28-Z28)/ABS(Z28)+1)</f>
        <v/>
      </c>
      <c r="AD28" s="34">
        <f>'COLOMB$ '!AB28/Paramet!$G$4*1000</f>
        <v>0</v>
      </c>
      <c r="AE28" s="33" t="str">
        <f>IF(AD28=0,"",(AA28-AD28)/ABS(AD28))</f>
        <v/>
      </c>
    </row>
    <row r="29" spans="2:33" x14ac:dyDescent="0.2">
      <c r="J29" s="33"/>
      <c r="R29" s="33"/>
      <c r="T29" s="23">
        <f>+E42/C42</f>
        <v>1.7574739275492162</v>
      </c>
      <c r="U29" s="23"/>
      <c r="AE29" s="2"/>
    </row>
    <row r="30" spans="2:33" x14ac:dyDescent="0.2">
      <c r="B30" s="18" t="s">
        <v>50</v>
      </c>
      <c r="C30" s="34">
        <f>+'COL. CONS.$'!C30/Paramet!$G$5*1000</f>
        <v>13289.767441860466</v>
      </c>
      <c r="D30" s="32">
        <f>+C30/$C$20</f>
        <v>6.033226772298636E-2</v>
      </c>
      <c r="E30" s="34">
        <f>+'COL. CONS.$'!E30/Paramet!$G$3*1000</f>
        <v>13811.923471571225</v>
      </c>
      <c r="F30" s="32">
        <f>+E30/$E$20</f>
        <v>5.7163859542595549E-2</v>
      </c>
      <c r="G30" s="32">
        <f>IF(C30=0,"",(E30-C30)/ABS(C30)+1)</f>
        <v>1.0392900802813192</v>
      </c>
      <c r="H30" s="34">
        <f>+'COL. CONS.$'!H30/Paramet!$G$4*1000</f>
        <v>10590.215120245239</v>
      </c>
      <c r="I30" s="32">
        <f>+H30/$H$20</f>
        <v>4.5218370644670706E-2</v>
      </c>
      <c r="J30" s="33">
        <f>IF(H30=0,"",(E30-H30)/ABS(H30))</f>
        <v>0.30421557208663957</v>
      </c>
      <c r="K30" s="34">
        <f>+'COL. CONS.$'!K30/Paramet!$G$5*1000</f>
        <v>13289.767441860466</v>
      </c>
      <c r="L30" s="32">
        <f>+K30/$K$20</f>
        <v>6.033226772298636E-2</v>
      </c>
      <c r="M30" s="34">
        <f>+'COL. CONS.$'!M30/Paramet!$G$3*1000</f>
        <v>13811.923471571225</v>
      </c>
      <c r="N30" s="32">
        <f>+M30/$M$20</f>
        <v>5.7163859542595549E-2</v>
      </c>
      <c r="O30" s="32">
        <f>IF(K30=0,"",(M30-K30)/ABS(K30)+1)</f>
        <v>1.0392900802813192</v>
      </c>
      <c r="P30" s="34">
        <f>+'COL. CONS.$'!P30/Paramet!$G$4*1000</f>
        <v>10590.215120245239</v>
      </c>
      <c r="Q30" s="32">
        <f>+P30/$P$20</f>
        <v>5.3624195509081554E-2</v>
      </c>
      <c r="R30" s="33">
        <f>IF(P30=0,"",(M30-P30)/ABS(P30))</f>
        <v>0.30421557208663957</v>
      </c>
      <c r="T30" s="36">
        <f>+E43/C43</f>
        <v>-2.3966359058208733</v>
      </c>
      <c r="U30" s="16"/>
      <c r="V30" s="41" t="s">
        <v>51</v>
      </c>
      <c r="W30" s="42">
        <f>+W21-W23-W25-W27-W28</f>
        <v>9409.7674418604529</v>
      </c>
      <c r="X30" s="42">
        <f>+X21-X23-X25-X27-X28</f>
        <v>10307.266382209147</v>
      </c>
      <c r="Y30" s="42">
        <f>+Y21-Y23-Y25-Y27-Y28</f>
        <v>4318.2478368809898</v>
      </c>
      <c r="Z30" s="42">
        <f>'COLOMB$ '!X30/Paramet!$G$5*1000</f>
        <v>9409.7674418604656</v>
      </c>
      <c r="AA30" s="42">
        <f>+'COL. CONS.$'!Y30/Paramet!G3*1000</f>
        <v>10307.33458834319</v>
      </c>
      <c r="AB30" s="46">
        <f>+AA30-Z30</f>
        <v>897.56714648272464</v>
      </c>
      <c r="AC30" s="47">
        <f>IF(W30=0,"",(X30-W30)/ABS(W30)+1)</f>
        <v>1.0953795028298006</v>
      </c>
      <c r="AD30" s="42">
        <f>+AD21-AD23-AD25-AD27-AD28</f>
        <v>4318.2478368809898</v>
      </c>
      <c r="AE30" s="33">
        <f>IF(AD30=0,"",(AA30-AD30)/ABS(AD30))</f>
        <v>1.3869252015391582</v>
      </c>
    </row>
    <row r="31" spans="2:33" x14ac:dyDescent="0.2">
      <c r="J31" s="33"/>
      <c r="R31" s="33"/>
      <c r="T31" s="36">
        <f>+E45/C45</f>
        <v>1.4812228895793504</v>
      </c>
      <c r="U31" s="16"/>
      <c r="W31" s="82"/>
      <c r="X31" s="82"/>
      <c r="Y31" s="82"/>
      <c r="Z31" s="82"/>
      <c r="AA31" s="82"/>
      <c r="AB31" s="82"/>
    </row>
    <row r="32" spans="2:33" x14ac:dyDescent="0.2">
      <c r="B32" s="18" t="s">
        <v>52</v>
      </c>
      <c r="C32" s="34">
        <f>+'COL. CONS.$'!C31/Paramet!$G$5*1000</f>
        <v>47365.348837209305</v>
      </c>
      <c r="D32" s="32">
        <f>+C32/$C$20</f>
        <v>0.21502700625430224</v>
      </c>
      <c r="E32" s="34">
        <f>+'COL. CONS.$'!E31/Paramet!$G$3*1000</f>
        <v>51694.305932851028</v>
      </c>
      <c r="F32" s="32">
        <f>+E32/$E$20</f>
        <v>0.21394891519488693</v>
      </c>
      <c r="G32" s="32">
        <f>IF(C32=0,"",(E32-C32)/ABS(C32)+1)</f>
        <v>1.091395021928794</v>
      </c>
      <c r="H32" s="34">
        <f>+'COL. CONS.$'!H31/Paramet!$G$4*1000</f>
        <v>35782.650325979019</v>
      </c>
      <c r="I32" s="32">
        <f>+H32/$H$20</f>
        <v>0.15278567306867863</v>
      </c>
      <c r="J32" s="33">
        <f>IF(H32=0,"",(E32-H32)/ABS(H32))</f>
        <v>0.444675155750545</v>
      </c>
      <c r="K32" s="34">
        <f>+'COL. CONS.$'!K31/Paramet!$G$5*1000</f>
        <v>47365.348837209305</v>
      </c>
      <c r="L32" s="32">
        <f>+K32/$K$20</f>
        <v>0.21502700625430224</v>
      </c>
      <c r="M32" s="34">
        <f>+'COL. CONS.$'!M31/Paramet!$G$3*1000</f>
        <v>51694.305932851028</v>
      </c>
      <c r="N32" s="32">
        <f>+M32/$M$20</f>
        <v>0.21394891519488693</v>
      </c>
      <c r="O32" s="32">
        <f>IF(K32=0,"",(M32-K32)/ABS(K32)+1)</f>
        <v>1.091395021928794</v>
      </c>
      <c r="P32" s="34">
        <f>+'COL. CONS.$'!P31/Paramet!$G$4*1000</f>
        <v>35782.650325979019</v>
      </c>
      <c r="Q32" s="32">
        <f>+P32/$P$20</f>
        <v>0.18118761659951677</v>
      </c>
      <c r="R32" s="33">
        <f>IF(P32=0,"",(M32-P32)/ABS(P32))</f>
        <v>0.444675155750545</v>
      </c>
      <c r="T32" s="36">
        <f>+E46/C46</f>
        <v>1.0229950395763756</v>
      </c>
      <c r="U32" s="16"/>
    </row>
    <row r="33" spans="2:27" x14ac:dyDescent="0.2">
      <c r="B33" s="18" t="s">
        <v>53</v>
      </c>
      <c r="C33" s="34">
        <f>SUM(C30:C32)</f>
        <v>60655.116279069771</v>
      </c>
      <c r="D33" s="32">
        <f>+C33/$C$20</f>
        <v>0.2753592739772886</v>
      </c>
      <c r="E33" s="34">
        <f>SUM(E30:E32)</f>
        <v>65506.229404422251</v>
      </c>
      <c r="F33" s="32">
        <f>+E33/$E$20</f>
        <v>0.27111277473748246</v>
      </c>
      <c r="G33" s="32">
        <f>IF(C33=0,"",(E33-C33)/ABS(C33)+1)</f>
        <v>1.0799786303769143</v>
      </c>
      <c r="H33" s="34">
        <f>SUM(H30:H32)</f>
        <v>46372.865446224256</v>
      </c>
      <c r="I33" s="32">
        <f>+H33/$H$20</f>
        <v>0.19800404371334934</v>
      </c>
      <c r="J33" s="33">
        <f>IF(H33=0,"",(E33-H33)/ABS(H33))</f>
        <v>0.41259826784665216</v>
      </c>
      <c r="K33" s="34">
        <f>SUM(K30:K32)</f>
        <v>60655.116279069771</v>
      </c>
      <c r="L33" s="32">
        <f>+K33/$K$20</f>
        <v>0.2753592739772886</v>
      </c>
      <c r="M33" s="34">
        <f>SUM(M30:M32)</f>
        <v>65506.229404422251</v>
      </c>
      <c r="N33" s="32">
        <f>+M33/$M$20</f>
        <v>0.27111277473748246</v>
      </c>
      <c r="O33" s="32">
        <f>IF(K33=0,"",(M33-K33)/ABS(K33)+1)</f>
        <v>1.0799786303769143</v>
      </c>
      <c r="P33" s="34">
        <f>SUM(P30:P32)</f>
        <v>46372.865446224256</v>
      </c>
      <c r="Q33" s="32">
        <f>+P33/$P$20</f>
        <v>0.23481181210859831</v>
      </c>
      <c r="R33" s="33">
        <f>IF(P33=0,"",(M33-P33)/ABS(P33))</f>
        <v>0.41259826784665216</v>
      </c>
    </row>
    <row r="34" spans="2:27" x14ac:dyDescent="0.2">
      <c r="B34" s="18" t="s">
        <v>54</v>
      </c>
      <c r="C34" s="34">
        <f>+C28+C33</f>
        <v>187751.39534883719</v>
      </c>
      <c r="D34" s="32">
        <f>+C34/$C$20</f>
        <v>0.85234504660109711</v>
      </c>
      <c r="E34" s="34">
        <f>+E28+E33</f>
        <v>187176.84001171798</v>
      </c>
      <c r="F34" s="32">
        <f>+E34/$E$20</f>
        <v>0.77467491143284894</v>
      </c>
      <c r="G34" s="32">
        <f>IF(C34=0,"",(E34-C34)/ABS(C34)+1)</f>
        <v>0.99693980789835568</v>
      </c>
      <c r="H34" s="34">
        <f>+H28+H33</f>
        <v>144505.08474375028</v>
      </c>
      <c r="I34" s="32">
        <f>+H34/$H$20</f>
        <v>0.61701149672501976</v>
      </c>
      <c r="J34" s="33">
        <f>IF(H34=0,"",(E34-H34)/ABS(H34))</f>
        <v>0.29529587380013089</v>
      </c>
      <c r="K34" s="34">
        <f>+K28+K33</f>
        <v>187751.39534883719</v>
      </c>
      <c r="L34" s="32">
        <f>+K34/$K$20</f>
        <v>0.85234504660109711</v>
      </c>
      <c r="M34" s="34">
        <f>+M28+M33</f>
        <v>187176.84001171798</v>
      </c>
      <c r="N34" s="32">
        <f>+M34/$M$20</f>
        <v>0.77467491143284894</v>
      </c>
      <c r="O34" s="32">
        <f>IF(K34=0,"",(M34-K34)/ABS(K34)+1)</f>
        <v>0.99693980789835568</v>
      </c>
      <c r="P34" s="34">
        <f>+P28+P33</f>
        <v>144505.08474375028</v>
      </c>
      <c r="Q34" s="32">
        <f>+P34/$P$20</f>
        <v>0.73171024652196293</v>
      </c>
      <c r="R34" s="33">
        <f>IF(P34=0,"",(M34-P34)/ABS(P34))</f>
        <v>0.29529587380013089</v>
      </c>
    </row>
    <row r="35" spans="2:27" x14ac:dyDescent="0.2">
      <c r="J35" s="33"/>
      <c r="R35" s="33"/>
    </row>
    <row r="36" spans="2:27" x14ac:dyDescent="0.2">
      <c r="B36" s="18" t="s">
        <v>55</v>
      </c>
      <c r="C36" s="34">
        <f>C24-C34</f>
        <v>11364.883720930229</v>
      </c>
      <c r="D36" s="32">
        <f>+C36/$C$20</f>
        <v>5.1593770191345319E-2</v>
      </c>
      <c r="E36" s="34">
        <f>E24-E34</f>
        <v>27129.086134603625</v>
      </c>
      <c r="F36" s="32">
        <f>+E36/$E$20</f>
        <v>0.11228003634029989</v>
      </c>
      <c r="G36" s="32">
        <f>IF(C36=0,"",(E36-C36)/ABS(C36)+1)</f>
        <v>2.3870975542531179</v>
      </c>
      <c r="H36" s="34">
        <f>H24-H34</f>
        <v>69494.076346012676</v>
      </c>
      <c r="I36" s="32">
        <f>+H36/$H$20</f>
        <v>0.29672757976518566</v>
      </c>
      <c r="J36" s="33">
        <f>IF(H36=0,"",(E36-H36)/ABS(H36))</f>
        <v>-0.60962016388954865</v>
      </c>
      <c r="K36" s="34">
        <f>K24-K34</f>
        <v>11364.883720930229</v>
      </c>
      <c r="L36" s="32">
        <f>+K36/$K$20</f>
        <v>5.1593770191345319E-2</v>
      </c>
      <c r="M36" s="34">
        <f>M24-M34</f>
        <v>27129.086134603625</v>
      </c>
      <c r="N36" s="32">
        <f>+M36/$M$20</f>
        <v>0.11228003634029989</v>
      </c>
      <c r="O36" s="32">
        <f>IF(K36=0,"",(M36-K36)/ABS(K36)+1)</f>
        <v>2.3870975542531179</v>
      </c>
      <c r="P36" s="34">
        <f>P24-P34</f>
        <v>32781.960072967457</v>
      </c>
      <c r="Q36" s="32">
        <f>+P36/$P$20</f>
        <v>0.1659934398087094</v>
      </c>
      <c r="R36" s="33">
        <f>IF(P36=0,"",(M36-P36)/ABS(P36))</f>
        <v>-0.1724385584565849</v>
      </c>
      <c r="Z36" s="39"/>
      <c r="AA36" s="39"/>
    </row>
    <row r="37" spans="2:27" ht="11.25" customHeight="1" x14ac:dyDescent="0.2">
      <c r="J37" s="33"/>
      <c r="R37" s="33"/>
    </row>
    <row r="38" spans="2:27" x14ac:dyDescent="0.2">
      <c r="B38" s="18" t="s">
        <v>56</v>
      </c>
      <c r="C38" s="34">
        <f>+'COL. CONS.$'!C38/Paramet!$G$5*1000</f>
        <v>74.651162790697683</v>
      </c>
      <c r="D38" s="32">
        <f>+C38/$C$20</f>
        <v>3.3889787455077561E-4</v>
      </c>
      <c r="E38" s="34">
        <f>+'COL. CONS.$'!E38/Paramet!$G$3*1000</f>
        <v>199.10146983900552</v>
      </c>
      <c r="F38" s="32">
        <f>+E38/$E$20</f>
        <v>8.2402776702516025E-4</v>
      </c>
      <c r="G38" s="32">
        <f>IF(C38=0,"",(E38-C38)/ABS(C38)+1)</f>
        <v>2.6670913405225036</v>
      </c>
      <c r="H38" s="34">
        <f>+'COL. CONS.$'!H38/Paramet!$G$4*1000</f>
        <v>30.882084106903847</v>
      </c>
      <c r="I38" s="32">
        <f>+H38/$H$20</f>
        <v>1.3186111042789989E-4</v>
      </c>
      <c r="J38" s="33">
        <f>IF(H38=0,"",(E38-H38)/ABS(H38))</f>
        <v>5.4471513369946223</v>
      </c>
      <c r="K38" s="34">
        <f>+'COL. CONS.$'!K38/Paramet!$G$5*1000</f>
        <v>74.651162790697683</v>
      </c>
      <c r="L38" s="32">
        <f>+K38/$K$20</f>
        <v>3.3889787455077561E-4</v>
      </c>
      <c r="M38" s="34">
        <f>+'COL. CONS.$'!M38/Paramet!$G$3*1000</f>
        <v>199.10146983900552</v>
      </c>
      <c r="N38" s="32">
        <f>+M38/$M$20</f>
        <v>8.2402776702516025E-4</v>
      </c>
      <c r="O38" s="32">
        <f>IF(K38=0,"",(M38-K38)/ABS(K38)+1)</f>
        <v>2.6670913405225036</v>
      </c>
      <c r="P38" s="34">
        <f>+'COL. CONS.$'!P38/Paramet!$G$4*1000</f>
        <v>30.882084106903847</v>
      </c>
      <c r="Q38" s="32">
        <f>+P38/$P$20</f>
        <v>1.5637330281522774E-4</v>
      </c>
      <c r="R38" s="33">
        <f>IF(P38=0,"",(M38-P38)/ABS(P38))</f>
        <v>5.4471513369946223</v>
      </c>
    </row>
    <row r="39" spans="2:27" x14ac:dyDescent="0.2">
      <c r="B39" s="18" t="s">
        <v>57</v>
      </c>
      <c r="C39" s="34">
        <f>+'COL. CONS.$'!C39/Paramet!$G$5*1000</f>
        <v>6836.5116279069771</v>
      </c>
      <c r="D39" s="32">
        <f>+C39/$C$20</f>
        <v>3.1036077315168692E-2</v>
      </c>
      <c r="E39" s="34">
        <f>+'COL. CONS.$'!E39/Paramet!$G$3*1000</f>
        <v>8164.4102863256567</v>
      </c>
      <c r="F39" s="32">
        <f>+E39/$E$20</f>
        <v>3.3790311958812928E-2</v>
      </c>
      <c r="G39" s="32">
        <f>IF(C39=0,"",(E39-C39)/ABS(C39)+1)</f>
        <v>1.1942362904786312</v>
      </c>
      <c r="H39" s="34">
        <f>+'COL. CONS.$'!H39/Paramet!$G$4*1000</f>
        <v>5000.1822848754364</v>
      </c>
      <c r="I39" s="32">
        <f>+H39/$H$20</f>
        <v>2.1349905859436226E-2</v>
      </c>
      <c r="J39" s="33">
        <f>IF(H39=0,"",(E39-H39)/ABS(H39))</f>
        <v>0.63282252949485163</v>
      </c>
      <c r="K39" s="34">
        <f>+'COL. CONS.$'!K39/Paramet!$G$5*1000</f>
        <v>6836.5116279069771</v>
      </c>
      <c r="L39" s="32">
        <f>+K39/$K$20</f>
        <v>3.1036077315168692E-2</v>
      </c>
      <c r="M39" s="34">
        <f>+'COL. CONS.$'!M39/Paramet!$G$3*1000</f>
        <v>8164.4102863256567</v>
      </c>
      <c r="N39" s="32">
        <f>+M39/$M$20</f>
        <v>3.3790311958812928E-2</v>
      </c>
      <c r="O39" s="32">
        <f>IF(K39=0,"",(M39-K39)/ABS(K39)+1)</f>
        <v>1.1942362904786312</v>
      </c>
      <c r="P39" s="34">
        <f>+'COL. CONS.$'!P39/Paramet!$G$4*1000</f>
        <v>5000.1822848754364</v>
      </c>
      <c r="Q39" s="32">
        <f>+P39/$P$20</f>
        <v>2.5318725765317351E-2</v>
      </c>
      <c r="R39" s="33">
        <f>IF(P39=0,"",(M39-P39)/ABS(P39))</f>
        <v>0.63282252949485163</v>
      </c>
    </row>
    <row r="40" spans="2:27" x14ac:dyDescent="0.2">
      <c r="J40" s="33"/>
      <c r="R40" s="33"/>
    </row>
    <row r="41" spans="2:27" x14ac:dyDescent="0.2">
      <c r="B41" s="18" t="s">
        <v>58</v>
      </c>
      <c r="C41" s="34">
        <f>+C36+C38-C39</f>
        <v>4603.0232558139505</v>
      </c>
      <c r="D41" s="32">
        <f>+C41/$C$20</f>
        <v>2.0896590750727403E-2</v>
      </c>
      <c r="E41" s="34">
        <f>E36+E38-E39</f>
        <v>19163.777318116976</v>
      </c>
      <c r="F41" s="32">
        <f>+E41/$E$20</f>
        <v>7.9313752148512121E-2</v>
      </c>
      <c r="G41" s="32">
        <f>IF(C41=0,"",(E41-C41)/ABS(C41)+1)</f>
        <v>4.1633023022231619</v>
      </c>
      <c r="H41" s="34">
        <f>+H36+H38-H39</f>
        <v>64524.776145244148</v>
      </c>
      <c r="I41" s="32">
        <f>+H41/$H$20</f>
        <v>0.27550953501617736</v>
      </c>
      <c r="J41" s="33">
        <f>IF(H41=0,"",(E41-H41)/ABS(H41))</f>
        <v>-0.70300125838515659</v>
      </c>
      <c r="K41" s="34">
        <f>K36+K38-K39</f>
        <v>4603.0232558139505</v>
      </c>
      <c r="L41" s="32">
        <f>+K41/$K$20</f>
        <v>2.0896590750727403E-2</v>
      </c>
      <c r="M41" s="34">
        <f>M36+M38-M39</f>
        <v>19163.777318116976</v>
      </c>
      <c r="N41" s="32">
        <f>+M41/$M$20</f>
        <v>7.9313752148512121E-2</v>
      </c>
      <c r="O41" s="32">
        <f>IF(K41=0,"",(M41-K41)/ABS(K41)+1)</f>
        <v>4.1633023022231619</v>
      </c>
      <c r="P41" s="34">
        <f>P36+P38-P39</f>
        <v>27812.659872198921</v>
      </c>
      <c r="Q41" s="32">
        <f>+P41/$P$20</f>
        <v>0.14083108734620728</v>
      </c>
      <c r="R41" s="33">
        <f>IF(P41=0,"",(M41-P41)/ABS(P41))</f>
        <v>-0.31096927060641283</v>
      </c>
    </row>
    <row r="42" spans="2:27" x14ac:dyDescent="0.2">
      <c r="B42" s="18" t="s">
        <v>44</v>
      </c>
      <c r="C42" s="34">
        <f>+'COL. CONS.$'!C42/Paramet!$G$5*1000</f>
        <v>7268.8372093023254</v>
      </c>
      <c r="D42" s="32">
        <f>+C42/$C$20</f>
        <v>3.2998728869031282E-2</v>
      </c>
      <c r="E42" s="34">
        <f>+'COL. CONS.$'!E42/Paramet!$G$3*1000</f>
        <v>12774.791878948441</v>
      </c>
      <c r="F42" s="32">
        <f>+E42/$E$20</f>
        <v>5.2871449089416801E-2</v>
      </c>
      <c r="G42" s="32">
        <f>IF(C42=0,"",(E42-C42)/ABS(C42)+1)</f>
        <v>1.7574739275492162</v>
      </c>
      <c r="H42" s="34">
        <f>+'COL. CONS.$'!H42/Paramet!$G$4*1000</f>
        <v>22016.809723241659</v>
      </c>
      <c r="I42" s="32">
        <f>+H42/$H$20</f>
        <v>9.400793573829469E-2</v>
      </c>
      <c r="J42" s="33">
        <f>IF(H42=0,"",(E42-H42)/ABS(H42))</f>
        <v>-0.41977098228436993</v>
      </c>
      <c r="K42" s="34">
        <f>+'COL. CONS.$'!K42/Paramet!$G$5*1000</f>
        <v>7268.8372093023254</v>
      </c>
      <c r="L42" s="32">
        <f>+K42/$K$20</f>
        <v>3.2998728869031282E-2</v>
      </c>
      <c r="M42" s="34">
        <f>+'COL. CONS.$'!M42/Paramet!$G$3*1000</f>
        <v>12774.791878948441</v>
      </c>
      <c r="N42" s="32">
        <f>+M42/$M$20</f>
        <v>5.2871449089416801E-2</v>
      </c>
      <c r="O42" s="32">
        <f>IF(K42=0,"",(M42-K42)/ABS(K42)+1)</f>
        <v>1.7574739275492162</v>
      </c>
      <c r="P42" s="34">
        <f>+'COL. CONS.$'!P42/Paramet!$G$4*1000</f>
        <v>22016.809723241659</v>
      </c>
      <c r="Q42" s="32">
        <f>+P42/$P$20</f>
        <v>0.1114834491726565</v>
      </c>
      <c r="R42" s="33">
        <f>IF(P42=0,"",(M42-P42)/ABS(P42))</f>
        <v>-0.41977098228436993</v>
      </c>
    </row>
    <row r="43" spans="2:27" x14ac:dyDescent="0.2">
      <c r="B43" s="41" t="s">
        <v>59</v>
      </c>
      <c r="C43" s="42">
        <f>C41-C42</f>
        <v>-2665.8139534883749</v>
      </c>
      <c r="D43" s="43">
        <f>+C43/$C$20</f>
        <v>-1.2102138118303877E-2</v>
      </c>
      <c r="E43" s="42">
        <f>E41-E42</f>
        <v>6388.9854391685349</v>
      </c>
      <c r="F43" s="43">
        <f>+E43/$E$20</f>
        <v>2.6442303059095323E-2</v>
      </c>
      <c r="G43" s="43">
        <f>IF(C43=0,"",(E43-C43)/ABS(C43)+1)</f>
        <v>4.3966359058208742</v>
      </c>
      <c r="H43" s="42">
        <f>H41-H42</f>
        <v>42507.966422002486</v>
      </c>
      <c r="I43" s="43">
        <f>+H43/$H$20</f>
        <v>0.18150159927788267</v>
      </c>
      <c r="J43" s="44">
        <f>IF(H43=0,"",(E43-H43)/ABS(H43))</f>
        <v>-0.84969910402814419</v>
      </c>
      <c r="K43" s="42">
        <f>K41-K42</f>
        <v>-2665.8139534883749</v>
      </c>
      <c r="L43" s="43">
        <f>+K43/$K$20</f>
        <v>-1.2102138118303877E-2</v>
      </c>
      <c r="M43" s="42">
        <f>M41-M42</f>
        <v>6388.9854391685349</v>
      </c>
      <c r="N43" s="43">
        <f>+M43/$M$20</f>
        <v>2.6442303059095323E-2</v>
      </c>
      <c r="O43" s="43">
        <f>IF(K43=0,"",(M43-K43)/ABS(K43)+1)</f>
        <v>4.3966359058208742</v>
      </c>
      <c r="P43" s="42">
        <f>P41-P42</f>
        <v>5795.8501489572627</v>
      </c>
      <c r="Q43" s="43">
        <f>+P43/$P$20</f>
        <v>2.934763817355077E-2</v>
      </c>
      <c r="R43" s="44">
        <f>IF(P43=0,"",(M43-P43)/ABS(P43))</f>
        <v>0.10233792713187792</v>
      </c>
    </row>
    <row r="44" spans="2:27" x14ac:dyDescent="0.2">
      <c r="J44" s="33"/>
      <c r="R44" s="33"/>
    </row>
    <row r="45" spans="2:27" x14ac:dyDescent="0.2">
      <c r="B45" s="18" t="s">
        <v>60</v>
      </c>
      <c r="C45" s="34">
        <f>+'COL. CONS.$'!C45/Paramet!$G$5*1000</f>
        <v>36838.139534883725</v>
      </c>
      <c r="D45" s="32">
        <f>+C45/$C$20</f>
        <v>0.16723607140293165</v>
      </c>
      <c r="E45" s="34">
        <f>+'COL. CONS.$'!E45/Paramet!$G$3*1000</f>
        <v>54565.495488587781</v>
      </c>
      <c r="F45" s="32">
        <f>+E45/$E$20</f>
        <v>0.22583200134303455</v>
      </c>
      <c r="G45" s="32">
        <f>IF(C45=0,"",(E45-C45)/ABS(C45)+1)</f>
        <v>1.4812228895793504</v>
      </c>
      <c r="H45" s="34">
        <f>+'COL. CONS.$'!H45/Paramet!$G$4*1000</f>
        <v>78937.350893743802</v>
      </c>
      <c r="I45" s="32">
        <f>+H45/$H$20</f>
        <v>0.33704871429836247</v>
      </c>
      <c r="J45" s="33">
        <f>IF(H45=0,"",(E45-H45)/ABS(H45))</f>
        <v>-0.30874934526194769</v>
      </c>
      <c r="K45" s="34">
        <f>+'COL. CONS.$'!K45/Paramet!$G$5*1000</f>
        <v>36838.139534883725</v>
      </c>
      <c r="L45" s="32">
        <f>+K45/$K$20</f>
        <v>0.16723607140293165</v>
      </c>
      <c r="M45" s="34">
        <f>+'COL. CONS.$'!M45/Paramet!$G$3*1000</f>
        <v>54565.495488587781</v>
      </c>
      <c r="N45" s="32">
        <f>+M45/$M$20</f>
        <v>0.22583200134303455</v>
      </c>
      <c r="O45" s="32">
        <f>IF(K45=0,"",(M45-K45)/ABS(K45)+1)</f>
        <v>1.4812228895793504</v>
      </c>
      <c r="P45" s="34">
        <f>+'COL. CONS.$'!P45/Paramet!$G$4*1000</f>
        <v>78937.350893743802</v>
      </c>
      <c r="Q45" s="32">
        <f>+P45/$P$20</f>
        <v>0.39970405598305431</v>
      </c>
      <c r="R45" s="33">
        <f>IF(P45=0,"",(M45-P45)/ABS(P45))</f>
        <v>-0.30874934526194769</v>
      </c>
    </row>
    <row r="46" spans="2:27" x14ac:dyDescent="0.2">
      <c r="B46" s="18" t="s">
        <v>35</v>
      </c>
      <c r="C46" s="34">
        <f>+'COL. CONS.$'!C46/Paramet!$G$5*1000</f>
        <v>98750.232558139527</v>
      </c>
      <c r="D46" s="32">
        <f>+C46/$C$20</f>
        <v>0.44830170990341939</v>
      </c>
      <c r="E46" s="34">
        <f>+'COL. CONS.$'!E46/Paramet!$G$3*1000</f>
        <v>101020.99806399024</v>
      </c>
      <c r="F46" s="32">
        <f>+E46/$E$20</f>
        <v>0.41809890968979047</v>
      </c>
      <c r="G46" s="32">
        <f>IF(C46=0,"",(E46-C46)/ABS(C46)+1)</f>
        <v>1.0229950395763756</v>
      </c>
      <c r="H46" s="34">
        <f>+'COL. CONS.$'!H46/Paramet!$G$4*1000</f>
        <v>73076.489313932907</v>
      </c>
      <c r="I46" s="32">
        <f>+H46/$H$20</f>
        <v>0.31202385803209404</v>
      </c>
      <c r="J46" s="33">
        <f>IF(H46=0,"",(E46-H46)/ABS(H46))</f>
        <v>0.38240081060830838</v>
      </c>
      <c r="K46" s="34">
        <f>+'COL. CONS.$'!K46/Paramet!$G$5*1000</f>
        <v>98750.232558139527</v>
      </c>
      <c r="L46" s="32">
        <f>+K46/$K$20</f>
        <v>0.44830170990341939</v>
      </c>
      <c r="M46" s="34">
        <f>+'COL. CONS.$'!M46/Paramet!$G$3*1000</f>
        <v>101020.99806399024</v>
      </c>
      <c r="N46" s="32">
        <f>+M46/$M$20</f>
        <v>0.41809890968979047</v>
      </c>
      <c r="O46" s="32">
        <f>IF(K46=0,"",(M46-K46)/ABS(K46)+1)</f>
        <v>1.0229950395763756</v>
      </c>
      <c r="P46" s="34">
        <f>+'COL. CONS.$'!P46/Paramet!$G$4*1000</f>
        <v>73076.489313932907</v>
      </c>
      <c r="Q46" s="32">
        <f>+P46/$P$20</f>
        <v>0.37002722849287145</v>
      </c>
      <c r="R46" s="33">
        <f>IF(P46=0,"",(M46-P46)/ABS(P46))</f>
        <v>0.38240081060830838</v>
      </c>
    </row>
    <row r="48" spans="2:27" x14ac:dyDescent="0.2">
      <c r="P48" s="23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DE4A-8A94-42FC-8766-816908F69613}">
  <sheetPr>
    <tabColor theme="0" tint="-0.249977111117893"/>
  </sheetPr>
  <dimension ref="A1:AI68"/>
  <sheetViews>
    <sheetView showGridLines="0" topLeftCell="J18" zoomScaleNormal="100" workbookViewId="0">
      <selection activeCell="T34" sqref="T34:AB47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3" customFormat="1" x14ac:dyDescent="0.2"/>
    <row r="2" spans="1:34" x14ac:dyDescent="0.2">
      <c r="Z2" s="53"/>
      <c r="AA2" s="53"/>
      <c r="AB2" s="53"/>
    </row>
    <row r="3" spans="1:34" ht="18" x14ac:dyDescent="0.25">
      <c r="B3" s="15" t="s">
        <v>101</v>
      </c>
      <c r="T3" s="17"/>
      <c r="U3" s="89" t="str">
        <f>+B3</f>
        <v>MUSICAR S.A. EL SALVADOR</v>
      </c>
    </row>
    <row r="4" spans="1:34" x14ac:dyDescent="0.2">
      <c r="B4" s="3" t="s">
        <v>102</v>
      </c>
      <c r="U4" s="3" t="s">
        <v>21</v>
      </c>
    </row>
    <row r="5" spans="1:34" x14ac:dyDescent="0.2">
      <c r="B5" s="3" t="s">
        <v>90</v>
      </c>
      <c r="U5" s="3" t="s">
        <v>90</v>
      </c>
    </row>
    <row r="6" spans="1:34" ht="13.5" thickBot="1" x14ac:dyDescent="0.25">
      <c r="B6" s="78" t="str">
        <f>+'COL. CONS.$'!B6</f>
        <v>ENERO de 2024</v>
      </c>
      <c r="C6" s="90"/>
      <c r="K6" s="85" t="s">
        <v>23</v>
      </c>
      <c r="L6" s="85"/>
      <c r="M6" s="85"/>
      <c r="N6" s="85"/>
      <c r="O6" s="85"/>
      <c r="P6" s="85"/>
      <c r="Q6" s="85"/>
      <c r="R6" s="85"/>
      <c r="S6" s="91"/>
      <c r="T6" s="92"/>
      <c r="U6" s="19" t="str">
        <f>+B6</f>
        <v>ENERO de 2024</v>
      </c>
      <c r="Y6" s="20" t="s">
        <v>23</v>
      </c>
      <c r="Z6" s="20"/>
      <c r="AA6" s="20"/>
      <c r="AB6" s="20"/>
      <c r="AC6" s="20"/>
      <c r="AD6" s="20"/>
    </row>
    <row r="7" spans="1:34" x14ac:dyDescent="0.2">
      <c r="A7" s="93"/>
      <c r="B7" s="3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S7" s="60"/>
      <c r="T7" s="62"/>
      <c r="V7" s="53" t="str">
        <f>+C7</f>
        <v>Ppto 2024</v>
      </c>
      <c r="W7" s="53" t="str">
        <f>+M7</f>
        <v>Real 2024</v>
      </c>
      <c r="X7" s="53" t="str">
        <f>+H7</f>
        <v>Real 2023</v>
      </c>
      <c r="Y7" s="53" t="str">
        <f>+V7</f>
        <v>Ppto 2024</v>
      </c>
      <c r="Z7" s="53" t="str">
        <f>+W7</f>
        <v>Real 2024</v>
      </c>
      <c r="AA7" s="53" t="s">
        <v>26</v>
      </c>
      <c r="AB7" s="53" t="s">
        <v>24</v>
      </c>
      <c r="AC7" s="53" t="str">
        <f>+X7</f>
        <v>Real 2023</v>
      </c>
      <c r="AD7" s="53" t="s">
        <v>25</v>
      </c>
      <c r="AF7" s="2" t="s">
        <v>103</v>
      </c>
    </row>
    <row r="8" spans="1:34" ht="13.5" thickBot="1" x14ac:dyDescent="0.25">
      <c r="B8" s="28" t="s">
        <v>27</v>
      </c>
      <c r="C8" s="65" t="s">
        <v>28</v>
      </c>
      <c r="D8" s="65" t="s">
        <v>29</v>
      </c>
      <c r="E8" s="65" t="s">
        <v>28</v>
      </c>
      <c r="F8" s="65" t="s">
        <v>29</v>
      </c>
      <c r="G8" s="65" t="s">
        <v>30</v>
      </c>
      <c r="H8" s="65" t="s">
        <v>28</v>
      </c>
      <c r="I8" s="65" t="s">
        <v>29</v>
      </c>
      <c r="J8" s="65" t="s">
        <v>30</v>
      </c>
      <c r="K8" s="65" t="s">
        <v>28</v>
      </c>
      <c r="L8" s="65" t="s">
        <v>29</v>
      </c>
      <c r="M8" s="65" t="s">
        <v>28</v>
      </c>
      <c r="N8" s="65" t="s">
        <v>29</v>
      </c>
      <c r="O8" s="65" t="s">
        <v>30</v>
      </c>
      <c r="P8" s="65" t="s">
        <v>28</v>
      </c>
      <c r="Q8" s="65" t="s">
        <v>29</v>
      </c>
      <c r="R8" s="65" t="s">
        <v>30</v>
      </c>
      <c r="S8" s="60"/>
      <c r="T8" s="62"/>
      <c r="U8" s="28"/>
      <c r="V8" s="29"/>
      <c r="W8" s="29"/>
      <c r="X8" s="29"/>
      <c r="Y8" s="28"/>
      <c r="Z8" s="28"/>
      <c r="AA8" s="29"/>
      <c r="AB8" s="29" t="s">
        <v>30</v>
      </c>
      <c r="AC8" s="28"/>
      <c r="AD8" s="29" t="s">
        <v>30</v>
      </c>
      <c r="AF8" s="2" t="s">
        <v>104</v>
      </c>
      <c r="AG8" s="2" t="s">
        <v>105</v>
      </c>
      <c r="AH8" s="2" t="s">
        <v>106</v>
      </c>
    </row>
    <row r="9" spans="1:34" x14ac:dyDescent="0.2"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34" x14ac:dyDescent="0.2">
      <c r="A10" s="93"/>
      <c r="B10" s="3" t="str">
        <f>+'COLOMB$ '!B10</f>
        <v>Musical Experience  (Ambiental)</v>
      </c>
      <c r="C10" s="31">
        <v>6055</v>
      </c>
      <c r="D10" s="33">
        <f>+C10/$C$20</f>
        <v>0.65128536086909761</v>
      </c>
      <c r="E10" s="31">
        <v>6060.96</v>
      </c>
      <c r="F10" s="33">
        <f>+E10/$E$20</f>
        <v>0.6280904721538848</v>
      </c>
      <c r="G10" s="33">
        <f>IF(C10=0,"",(E10-C10)/ABS(C10)+1)</f>
        <v>1.0009843104872007</v>
      </c>
      <c r="H10" s="31">
        <v>6878.67</v>
      </c>
      <c r="I10" s="33">
        <f>+H10/$H$20</f>
        <v>0.70677826606510397</v>
      </c>
      <c r="J10" s="33">
        <f>IF(H10=0,"",(E10-H10)/ABS(H10))</f>
        <v>-0.1188761780983824</v>
      </c>
      <c r="K10" s="31">
        <v>6055</v>
      </c>
      <c r="L10" s="33">
        <f>+K10/$K$20</f>
        <v>0.65128536086909761</v>
      </c>
      <c r="M10" s="31">
        <v>6060.96</v>
      </c>
      <c r="N10" s="33">
        <f>+M10/$M$20</f>
        <v>0.6280904721538848</v>
      </c>
      <c r="O10" s="33">
        <f>IF(K10=0,"",(M10-K10)/ABS(K10)+1)</f>
        <v>1.0009843104872007</v>
      </c>
      <c r="P10" s="31">
        <v>6878.67</v>
      </c>
      <c r="Q10" s="33">
        <f>+P10/$P$20</f>
        <v>0.70677826606510397</v>
      </c>
      <c r="R10" s="33">
        <f t="shared" ref="R10:R17" si="0">IF(P10=0,"",(M10-P10)/ABS(P10))</f>
        <v>-0.1188761780983824</v>
      </c>
      <c r="S10" s="33"/>
      <c r="T10" s="62"/>
      <c r="U10" s="3" t="s">
        <v>31</v>
      </c>
      <c r="V10" s="31">
        <v>15168</v>
      </c>
      <c r="W10" s="31">
        <v>15168</v>
      </c>
      <c r="X10" s="31">
        <v>11259</v>
      </c>
      <c r="Y10" s="31">
        <v>15168</v>
      </c>
      <c r="Z10" s="31">
        <v>15168</v>
      </c>
      <c r="AA10" s="62">
        <f>+Z10-Y10</f>
        <v>0</v>
      </c>
      <c r="AB10" s="67">
        <f>IF(Y10=0,"",(Z10-Y10)/ABS(Y10)+1)</f>
        <v>1</v>
      </c>
      <c r="AC10" s="31">
        <v>11259</v>
      </c>
      <c r="AD10" s="33">
        <f>IF(X10=0,"",(Z10-AC10)/ABS(AC10))</f>
        <v>0.34718891553423925</v>
      </c>
      <c r="AF10" s="66">
        <v>15168</v>
      </c>
      <c r="AG10" s="66"/>
      <c r="AH10" s="66">
        <v>15168</v>
      </c>
    </row>
    <row r="11" spans="1:34" x14ac:dyDescent="0.2">
      <c r="A11" s="93"/>
      <c r="B11" s="3" t="str">
        <f>+'COLOMB$ '!B11</f>
        <v>Instalaciones</v>
      </c>
      <c r="C11" s="31">
        <v>403</v>
      </c>
      <c r="D11" s="33">
        <f>+C11/$C$20</f>
        <v>4.334731633860385E-2</v>
      </c>
      <c r="E11" s="31">
        <v>290</v>
      </c>
      <c r="F11" s="33">
        <f>+E11/$E$20</f>
        <v>3.0052374033919804E-2</v>
      </c>
      <c r="G11" s="33">
        <f>IF(C11=0,"",(E11-C11)/ABS(C11)+1)</f>
        <v>0.71960297766749381</v>
      </c>
      <c r="H11" s="31">
        <v>0</v>
      </c>
      <c r="I11" s="33">
        <f>+H11/$H$20</f>
        <v>0</v>
      </c>
      <c r="J11" s="33" t="str">
        <f>IF(H11=0,"",(E11-H11)/ABS(H11))</f>
        <v/>
      </c>
      <c r="K11" s="31">
        <v>403</v>
      </c>
      <c r="L11" s="33">
        <f>+K11/$K$20</f>
        <v>4.334731633860385E-2</v>
      </c>
      <c r="M11" s="31">
        <v>290</v>
      </c>
      <c r="N11" s="33">
        <f>+M11/$M$20</f>
        <v>3.0052374033919804E-2</v>
      </c>
      <c r="O11" s="33">
        <f>IF(K11=0,"",(M11-K11)/ABS(K11)+1)</f>
        <v>0.71960297766749381</v>
      </c>
      <c r="P11" s="31">
        <v>0</v>
      </c>
      <c r="Q11" s="33">
        <f>+P11/$P$20</f>
        <v>0</v>
      </c>
      <c r="R11" s="33" t="str">
        <f t="shared" si="0"/>
        <v/>
      </c>
      <c r="S11" s="33"/>
      <c r="T11" s="62"/>
      <c r="U11" s="3" t="s">
        <v>32</v>
      </c>
      <c r="V11" s="31">
        <v>9472</v>
      </c>
      <c r="W11" s="31">
        <v>10009</v>
      </c>
      <c r="X11" s="31">
        <v>9707</v>
      </c>
      <c r="Y11" s="31">
        <f>+AF11+V11</f>
        <v>9472</v>
      </c>
      <c r="Z11" s="31">
        <f>+W11+AH11</f>
        <v>10009</v>
      </c>
      <c r="AA11" s="62">
        <f>+Z11-Y11</f>
        <v>537</v>
      </c>
      <c r="AB11" s="67">
        <f>IF(Y11=0,"",(Z11-Y11)/ABS(Y11)+1)</f>
        <v>1.0566934121621621</v>
      </c>
      <c r="AC11" s="31">
        <v>9707</v>
      </c>
      <c r="AD11" s="33">
        <f>IF(AC11=0,"",(Z11-AC11)/ABS(AC11))</f>
        <v>3.1111568970845781E-2</v>
      </c>
      <c r="AF11" s="31"/>
      <c r="AG11" s="31"/>
      <c r="AH11" s="31"/>
    </row>
    <row r="12" spans="1:34" x14ac:dyDescent="0.2">
      <c r="A12" s="93"/>
      <c r="B12" s="3" t="str">
        <f>+'COLOMB$ '!B12</f>
        <v>Voice Experience (Publihold)</v>
      </c>
      <c r="C12" s="31">
        <v>993</v>
      </c>
      <c r="D12" s="33">
        <f>+C12/$C$20</f>
        <v>0.10680864795095192</v>
      </c>
      <c r="E12" s="31">
        <v>1642.86</v>
      </c>
      <c r="F12" s="33">
        <f>+E12/$E$20</f>
        <v>0.17024773519091546</v>
      </c>
      <c r="G12" s="33">
        <f>IF(C12=0,"",(E12-C12)/ABS(C12)+1)</f>
        <v>1.6544410876132929</v>
      </c>
      <c r="H12" s="31">
        <v>997.76</v>
      </c>
      <c r="I12" s="33">
        <f>+H12/$H$20</f>
        <v>0.10251910365653798</v>
      </c>
      <c r="J12" s="33">
        <f>IF(H12=0,"",(E12-H12)/ABS(H12))</f>
        <v>0.64654826812059008</v>
      </c>
      <c r="K12" s="31">
        <v>993</v>
      </c>
      <c r="L12" s="33">
        <f>+K12/$K$20</f>
        <v>0.10680864795095192</v>
      </c>
      <c r="M12" s="31">
        <v>1642.86</v>
      </c>
      <c r="N12" s="33">
        <f>+M12/$M$20</f>
        <v>0.17024773519091546</v>
      </c>
      <c r="O12" s="33">
        <f>IF(K12=0,"",(M12-K12)/ABS(K12)+1)</f>
        <v>1.6544410876132929</v>
      </c>
      <c r="P12" s="31">
        <v>997.76</v>
      </c>
      <c r="Q12" s="33">
        <f>+P12/$P$20</f>
        <v>0.10251910365653798</v>
      </c>
      <c r="R12" s="33">
        <f t="shared" si="0"/>
        <v>0.64654826812059008</v>
      </c>
      <c r="S12" s="33"/>
      <c r="T12" s="62"/>
    </row>
    <row r="13" spans="1:34" x14ac:dyDescent="0.2">
      <c r="A13" s="93"/>
      <c r="B13" s="3" t="str">
        <f>+'COLOMB$ '!B13</f>
        <v>Service &amp; Equipment Experience</v>
      </c>
      <c r="C13" s="31">
        <v>193</v>
      </c>
      <c r="D13" s="33">
        <f>+C13/$C$20</f>
        <v>2.0759384747768096E-2</v>
      </c>
      <c r="E13" s="31">
        <v>0</v>
      </c>
      <c r="F13" s="33"/>
      <c r="G13" s="33">
        <f>IF(C13=0,"",(E13-C13)/ABS(C13)+1)</f>
        <v>0</v>
      </c>
      <c r="H13" s="31">
        <v>200</v>
      </c>
      <c r="I13" s="33"/>
      <c r="J13" s="33">
        <f>IF(H13=0,"",(E13-H13)/ABS(H13))</f>
        <v>-1</v>
      </c>
      <c r="K13" s="31">
        <v>193</v>
      </c>
      <c r="L13" s="33">
        <f>+K13/$K$20</f>
        <v>2.0759384747768096E-2</v>
      </c>
      <c r="M13" s="31">
        <v>0</v>
      </c>
      <c r="N13" s="33">
        <f>+M13/$M$20</f>
        <v>0</v>
      </c>
      <c r="O13" s="33">
        <f>IF(K13=0,"",(M13-K13)/ABS(K13)+1)</f>
        <v>0</v>
      </c>
      <c r="P13" s="31">
        <v>200</v>
      </c>
      <c r="Q13" s="33"/>
      <c r="R13" s="33">
        <f t="shared" si="0"/>
        <v>-1</v>
      </c>
      <c r="S13" s="33"/>
      <c r="T13" s="62"/>
      <c r="U13" s="3" t="s">
        <v>33</v>
      </c>
      <c r="V13" s="31">
        <v>865</v>
      </c>
      <c r="W13" s="31">
        <v>283</v>
      </c>
      <c r="X13" s="31">
        <v>110</v>
      </c>
      <c r="Y13" s="31">
        <f>+AF13+V13</f>
        <v>865</v>
      </c>
      <c r="Z13" s="31">
        <f t="shared" ref="Z13:Z16" si="1">+W13+AH13</f>
        <v>283</v>
      </c>
      <c r="AA13" s="62">
        <f>+Y13-Z13</f>
        <v>582</v>
      </c>
      <c r="AB13" s="67">
        <f>IF(Y13=0,"",(Z13-Y13)/ABS(Y13)+1)</f>
        <v>0.32716763005780347</v>
      </c>
      <c r="AC13" s="31">
        <v>110</v>
      </c>
      <c r="AD13" s="33">
        <f>IF(AC13=0,"",(Z13-AC13)/ABS(AC13))</f>
        <v>1.5727272727272728</v>
      </c>
      <c r="AF13" s="31"/>
      <c r="AG13" s="31"/>
      <c r="AH13" s="31"/>
    </row>
    <row r="14" spans="1:34" x14ac:dyDescent="0.2">
      <c r="A14" s="93"/>
      <c r="B14" s="3" t="str">
        <f>+'COLOMB$ '!B14</f>
        <v>POP Satelital</v>
      </c>
      <c r="C14" s="31"/>
      <c r="D14" s="33"/>
      <c r="E14" s="31"/>
      <c r="F14" s="33"/>
      <c r="G14" s="33"/>
      <c r="H14" s="31"/>
      <c r="I14" s="33"/>
      <c r="J14" s="33"/>
      <c r="K14" s="31"/>
      <c r="L14" s="33"/>
      <c r="M14" s="31"/>
      <c r="N14" s="33"/>
      <c r="O14" s="33"/>
      <c r="P14" s="31"/>
      <c r="Q14" s="33"/>
      <c r="R14" s="33" t="str">
        <f t="shared" si="0"/>
        <v/>
      </c>
      <c r="S14" s="33"/>
      <c r="T14" s="62"/>
      <c r="U14" s="3" t="s">
        <v>34</v>
      </c>
      <c r="V14" s="31"/>
      <c r="W14" s="31"/>
      <c r="X14" s="31"/>
      <c r="Y14" s="31">
        <f t="shared" ref="Y14:Y16" si="2">+AF14+V14</f>
        <v>0</v>
      </c>
      <c r="Z14" s="31">
        <f t="shared" si="1"/>
        <v>0</v>
      </c>
      <c r="AA14" s="62">
        <f>+Y14-Z14</f>
        <v>0</v>
      </c>
      <c r="AB14" s="67" t="str">
        <f>IF(Y14=0,"",(Z14-Y14)/ABS(Y14)+1)</f>
        <v/>
      </c>
      <c r="AC14" s="31"/>
      <c r="AD14" s="33" t="str">
        <f>IF(AC14=0,"",(Z14-AC14)/ABS(AC14))</f>
        <v/>
      </c>
      <c r="AF14" s="31"/>
      <c r="AG14" s="31"/>
      <c r="AH14" s="31"/>
    </row>
    <row r="15" spans="1:34" x14ac:dyDescent="0.2">
      <c r="A15" s="93"/>
      <c r="B15" s="3" t="str">
        <f>+'COLOMB$ '!B15</f>
        <v>Voice Experience (Audicóm)</v>
      </c>
      <c r="C15" s="31">
        <v>1653</v>
      </c>
      <c r="D15" s="33">
        <f>+C15/$C$20</f>
        <v>0.17779929009357856</v>
      </c>
      <c r="E15" s="31">
        <v>1656</v>
      </c>
      <c r="F15" s="33"/>
      <c r="G15" s="33">
        <f>IF(C15=0,"",(E15-C15)/ABS(C15)+1)</f>
        <v>1.0018148820326678</v>
      </c>
      <c r="H15" s="31">
        <v>1656</v>
      </c>
      <c r="I15" s="33"/>
      <c r="J15" s="33">
        <f>IF(H15=0,"",(E15-H15)/ABS(H15))</f>
        <v>0</v>
      </c>
      <c r="K15" s="31">
        <v>1653</v>
      </c>
      <c r="L15" s="33"/>
      <c r="M15" s="31">
        <v>1656</v>
      </c>
      <c r="N15" s="33"/>
      <c r="O15" s="33">
        <f>IF(K15=0,"",(M15-K15)/ABS(K15)+1)</f>
        <v>1.0018148820326678</v>
      </c>
      <c r="P15" s="31">
        <v>1656</v>
      </c>
      <c r="Q15" s="33"/>
      <c r="R15" s="33">
        <f t="shared" si="0"/>
        <v>0</v>
      </c>
      <c r="S15" s="33"/>
      <c r="T15" s="62"/>
      <c r="U15" s="3" t="s">
        <v>35</v>
      </c>
      <c r="V15" s="31">
        <v>5731</v>
      </c>
      <c r="W15" s="31">
        <v>4808</v>
      </c>
      <c r="X15" s="31">
        <v>4714</v>
      </c>
      <c r="Y15" s="31">
        <f t="shared" si="2"/>
        <v>5731</v>
      </c>
      <c r="Z15" s="31">
        <f t="shared" si="1"/>
        <v>4808</v>
      </c>
      <c r="AA15" s="62">
        <f>+Y15-Z15</f>
        <v>923</v>
      </c>
      <c r="AB15" s="67">
        <f>IF(Y15=0,"",(Z15-Y15)/ABS(Y15)+1)</f>
        <v>0.83894608270807891</v>
      </c>
      <c r="AC15" s="31">
        <v>4714</v>
      </c>
      <c r="AD15" s="33">
        <f>IF(AC15=0,"",(Z15-AC15)/ABS(AC15))</f>
        <v>1.9940602460755196E-2</v>
      </c>
      <c r="AF15" s="31"/>
      <c r="AG15" s="31"/>
      <c r="AH15" s="31"/>
    </row>
    <row r="16" spans="1:34" x14ac:dyDescent="0.2">
      <c r="B16" s="3" t="str">
        <f>+'COLOMB$ '!B16</f>
        <v>Fact. Servicio Satelital</v>
      </c>
      <c r="C16" s="31"/>
      <c r="D16" s="33"/>
      <c r="E16" s="31"/>
      <c r="F16" s="33"/>
      <c r="G16" s="33"/>
      <c r="H16" s="31"/>
      <c r="I16" s="33"/>
      <c r="J16" s="33"/>
      <c r="K16" s="31">
        <f>+T16+C16</f>
        <v>0</v>
      </c>
      <c r="L16" s="33"/>
      <c r="M16" s="31"/>
      <c r="N16" s="33"/>
      <c r="O16" s="33"/>
      <c r="P16" s="31"/>
      <c r="Q16" s="33"/>
      <c r="R16" s="33" t="str">
        <f t="shared" si="0"/>
        <v/>
      </c>
      <c r="S16" s="33"/>
      <c r="T16" s="62"/>
      <c r="U16" s="3" t="s">
        <v>36</v>
      </c>
      <c r="V16" s="31">
        <v>1607</v>
      </c>
      <c r="W16" s="31">
        <v>1621</v>
      </c>
      <c r="X16" s="31">
        <v>1386.2000000000003</v>
      </c>
      <c r="Y16" s="31">
        <f t="shared" si="2"/>
        <v>1607</v>
      </c>
      <c r="Z16" s="31">
        <f t="shared" si="1"/>
        <v>1621</v>
      </c>
      <c r="AA16" s="62">
        <f>+Y16-Z16</f>
        <v>-14</v>
      </c>
      <c r="AB16" s="67">
        <f>IF(Y16=0,"",(Z16-Y16)/ABS(Y16)+1)</f>
        <v>1.0087118855009334</v>
      </c>
      <c r="AC16" s="31">
        <v>1386.2000000000003</v>
      </c>
      <c r="AD16" s="33">
        <f>IF(AC16=0,"",(Z16-AC16)/ABS(AC16))</f>
        <v>0.16938392728322008</v>
      </c>
      <c r="AF16" s="31"/>
      <c r="AG16" s="31"/>
      <c r="AH16" s="31"/>
    </row>
    <row r="17" spans="1:35" x14ac:dyDescent="0.2">
      <c r="A17" s="93"/>
      <c r="B17" s="3" t="str">
        <f>+'COLOMB$ '!B17</f>
        <v>Visual Experience</v>
      </c>
      <c r="C17" s="31"/>
      <c r="D17" s="33"/>
      <c r="E17" s="31"/>
      <c r="F17" s="33"/>
      <c r="G17" s="33" t="str">
        <f>IF(C17=0,"",(E17-C17)/ABS(C17)+1)</f>
        <v/>
      </c>
      <c r="H17" s="31"/>
      <c r="I17" s="33"/>
      <c r="J17" s="33" t="str">
        <f>IF(H17=0,"",(E17-H17)/ABS(H17))</f>
        <v/>
      </c>
      <c r="K17" s="31">
        <f>+T17+C17</f>
        <v>0</v>
      </c>
      <c r="L17" s="33"/>
      <c r="M17" s="31"/>
      <c r="N17" s="33"/>
      <c r="O17" s="33" t="str">
        <f>IF(K17=0,"",(M17-K17)/ABS(K17)+1)</f>
        <v/>
      </c>
      <c r="P17" s="31"/>
      <c r="Q17" s="33"/>
      <c r="R17" s="33" t="str">
        <f t="shared" si="0"/>
        <v/>
      </c>
      <c r="S17" s="33"/>
      <c r="T17" s="62"/>
      <c r="U17" s="3" t="s">
        <v>37</v>
      </c>
      <c r="V17" s="31">
        <f>SUM(V13:V16)</f>
        <v>8203</v>
      </c>
      <c r="W17" s="31">
        <f>SUM(W13:W16)</f>
        <v>6712</v>
      </c>
      <c r="X17" s="31">
        <v>6210.2000000000007</v>
      </c>
      <c r="Y17" s="31">
        <f>SUM(Y13:Y16)</f>
        <v>8203</v>
      </c>
      <c r="Z17" s="31">
        <f>SUM(Z13:Z16)</f>
        <v>6712</v>
      </c>
      <c r="AA17" s="62">
        <f>+Z17-Y17</f>
        <v>-1491</v>
      </c>
      <c r="AB17" s="67">
        <f>IF(Y17=0,"",(Z17-Y17)/ABS(Y17)+1)</f>
        <v>0.81823723028160433</v>
      </c>
      <c r="AC17" s="31">
        <v>6210.2000000000007</v>
      </c>
      <c r="AD17" s="33">
        <f>IF(AC17=0,"",(Z17-AC17)/ABS(AC17))</f>
        <v>8.0802550642491255E-2</v>
      </c>
      <c r="AF17" s="31"/>
      <c r="AG17" s="31"/>
      <c r="AH17" s="31"/>
    </row>
    <row r="18" spans="1:35" x14ac:dyDescent="0.2">
      <c r="A18" s="93"/>
      <c r="B18" s="3" t="str">
        <f>+'COL. CONS.$'!B18</f>
        <v>Olfa Experience</v>
      </c>
      <c r="C18" s="31">
        <v>0</v>
      </c>
      <c r="D18" s="33"/>
      <c r="E18" s="31"/>
      <c r="F18" s="33"/>
      <c r="G18" s="33"/>
      <c r="H18" s="31"/>
      <c r="I18" s="33"/>
      <c r="J18" s="33"/>
      <c r="K18" s="31">
        <v>0</v>
      </c>
      <c r="L18" s="33"/>
      <c r="M18" s="31"/>
      <c r="N18" s="33"/>
      <c r="O18" s="33"/>
      <c r="P18" s="31"/>
      <c r="Q18" s="33"/>
      <c r="R18" s="33"/>
      <c r="S18" s="33"/>
      <c r="T18" s="62"/>
    </row>
    <row r="19" spans="1:35" x14ac:dyDescent="0.2">
      <c r="B19" s="3" t="str">
        <f>+'COLOMB$ '!B19</f>
        <v>Locutor virtual</v>
      </c>
      <c r="C19" s="31"/>
      <c r="D19" s="33"/>
      <c r="E19" s="31"/>
      <c r="F19" s="33"/>
      <c r="G19" s="33"/>
      <c r="H19" s="31"/>
      <c r="I19" s="33"/>
      <c r="J19" s="33"/>
      <c r="K19" s="31"/>
      <c r="L19" s="33"/>
      <c r="M19" s="31"/>
      <c r="N19" s="33"/>
      <c r="O19" s="33"/>
      <c r="P19" s="31"/>
      <c r="Q19" s="33"/>
      <c r="R19" s="33"/>
      <c r="S19" s="33"/>
      <c r="T19" s="62"/>
      <c r="U19" s="3" t="s">
        <v>38</v>
      </c>
      <c r="V19" s="31">
        <f>V11-V17</f>
        <v>1269</v>
      </c>
      <c r="W19" s="31">
        <f>W11-W17</f>
        <v>3297</v>
      </c>
      <c r="X19" s="31">
        <v>3496.7999999999993</v>
      </c>
      <c r="Y19" s="31">
        <f>Y11-Y17</f>
        <v>1269</v>
      </c>
      <c r="Z19" s="31">
        <f>Z11-Z17</f>
        <v>3297</v>
      </c>
      <c r="AA19" s="62">
        <f>+Z19-Y19</f>
        <v>2028</v>
      </c>
      <c r="AB19" s="67">
        <f>IF(Y19=0,"",(Z19-Y19)/ABS(Y19)+1)</f>
        <v>2.5981087470449173</v>
      </c>
      <c r="AC19" s="31">
        <v>3496.7999999999993</v>
      </c>
      <c r="AD19" s="33">
        <f>IF(AC19=0,"",(Z19-AC19)/ABS(AC19))</f>
        <v>-5.7137954701441118E-2</v>
      </c>
      <c r="AF19" s="31"/>
      <c r="AG19" s="31"/>
      <c r="AH19" s="31"/>
      <c r="AI19" s="54"/>
    </row>
    <row r="20" spans="1:35" x14ac:dyDescent="0.2">
      <c r="B20" s="19" t="s">
        <v>39</v>
      </c>
      <c r="C20" s="68">
        <f>SUM(C10:C19)</f>
        <v>9297</v>
      </c>
      <c r="D20" s="44">
        <f>+C20/$C$20</f>
        <v>1</v>
      </c>
      <c r="E20" s="68">
        <f>SUM(E10:E19)</f>
        <v>9649.82</v>
      </c>
      <c r="F20" s="44">
        <f>+E20/$E$20</f>
        <v>1</v>
      </c>
      <c r="G20" s="44">
        <f>IF(C20=0,"",(E20-C20)/ABS(C20)+1)</f>
        <v>1.0379498763041841</v>
      </c>
      <c r="H20" s="68">
        <f>SUM(H10:H19)</f>
        <v>9732.43</v>
      </c>
      <c r="I20" s="44">
        <f>+H20/$H$20</f>
        <v>1</v>
      </c>
      <c r="J20" s="44">
        <f>IF(H20=0,"",(E20-H20)/ABS(H20))</f>
        <v>-8.4881165341030539E-3</v>
      </c>
      <c r="K20" s="68">
        <f>SUM(K10:K19)</f>
        <v>9297</v>
      </c>
      <c r="L20" s="44">
        <f>+K20/$K$20</f>
        <v>1</v>
      </c>
      <c r="M20" s="68">
        <f>SUM(M10:M19)</f>
        <v>9649.82</v>
      </c>
      <c r="N20" s="44">
        <f>+M20/$M$20</f>
        <v>1</v>
      </c>
      <c r="O20" s="44">
        <f>IF(K20=0,"",(M20-K20)/ABS(K20)+1)</f>
        <v>1.0379498763041841</v>
      </c>
      <c r="P20" s="68">
        <f>SUM(P10:P19)</f>
        <v>9732.43</v>
      </c>
      <c r="Q20" s="44">
        <f>+P20/$P$20</f>
        <v>1</v>
      </c>
      <c r="R20" s="44">
        <f>IF(P20=0,"",(M20-P20)/ABS(P20))</f>
        <v>-8.4881165341030539E-3</v>
      </c>
      <c r="S20" s="44"/>
      <c r="T20" s="62"/>
      <c r="U20" s="3"/>
      <c r="V20" s="31"/>
      <c r="W20" s="31"/>
      <c r="X20" s="31"/>
      <c r="Y20" s="31"/>
      <c r="Z20" s="31"/>
      <c r="AA20" s="62"/>
      <c r="AB20" s="67"/>
      <c r="AC20" s="31"/>
      <c r="AD20" s="33"/>
      <c r="AF20" s="31"/>
      <c r="AG20" s="31"/>
      <c r="AH20" s="31"/>
    </row>
    <row r="21" spans="1:35" x14ac:dyDescent="0.2">
      <c r="J21" s="33"/>
      <c r="R21" s="33"/>
      <c r="S21" s="33"/>
      <c r="U21" s="3" t="s">
        <v>40</v>
      </c>
      <c r="V21" s="31">
        <f>+V10+V19</f>
        <v>16437</v>
      </c>
      <c r="W21" s="31">
        <f>+W10+W19</f>
        <v>18465</v>
      </c>
      <c r="X21" s="31">
        <v>14755.8</v>
      </c>
      <c r="Y21" s="31">
        <f>+Y10+Y19</f>
        <v>16437</v>
      </c>
      <c r="Z21" s="31">
        <f>+Z10+Z19</f>
        <v>18465</v>
      </c>
      <c r="AA21" s="62">
        <f>+Z21-Y21</f>
        <v>2028</v>
      </c>
      <c r="AB21" s="67">
        <f>IF(Y21=0,"",(Z21-Y21)/ABS(Y21)+1)</f>
        <v>1.1233801788647564</v>
      </c>
      <c r="AC21" s="31">
        <v>14755.8</v>
      </c>
      <c r="AD21" s="33">
        <f>IF(AC21=0,"",(Z21-AC21)/ABS(AC21))</f>
        <v>0.25137234172325462</v>
      </c>
      <c r="AF21" s="31"/>
      <c r="AG21" s="31"/>
      <c r="AH21" s="31"/>
    </row>
    <row r="22" spans="1:35" x14ac:dyDescent="0.2">
      <c r="A22" s="93"/>
      <c r="B22" s="3" t="s">
        <v>41</v>
      </c>
      <c r="C22" s="31">
        <v>92</v>
      </c>
      <c r="D22" s="33">
        <f>+C22/$C$20</f>
        <v>9.8956652683661397E-3</v>
      </c>
      <c r="E22" s="31">
        <v>0</v>
      </c>
      <c r="F22" s="33">
        <f>+E22/$E$20</f>
        <v>0</v>
      </c>
      <c r="G22" s="33">
        <f>IF(C22=0,"",(E22-C22)/ABS(C22)+1)</f>
        <v>0</v>
      </c>
      <c r="H22" s="31">
        <v>0</v>
      </c>
      <c r="I22" s="33">
        <f>+H22/$H$20</f>
        <v>0</v>
      </c>
      <c r="J22" s="33" t="str">
        <f>IF(H22=0,"",(E22-H22)/ABS(H22))</f>
        <v/>
      </c>
      <c r="K22" s="31">
        <v>92</v>
      </c>
      <c r="L22" s="33">
        <f>+K22/$K$20</f>
        <v>9.8956652683661397E-3</v>
      </c>
      <c r="M22" s="31">
        <v>0</v>
      </c>
      <c r="N22" s="33">
        <f>+M22/$M$20</f>
        <v>0</v>
      </c>
      <c r="O22" s="33">
        <f>IF(K22=0,"",(M22-K22)/ABS(K22)+1)</f>
        <v>0</v>
      </c>
      <c r="P22" s="31">
        <v>0</v>
      </c>
      <c r="Q22" s="33">
        <f>+P22/$P$20</f>
        <v>0</v>
      </c>
      <c r="R22" s="33" t="str">
        <f>IF(P22=0,"",(M22-P22)/ABS(P22))</f>
        <v/>
      </c>
      <c r="S22" s="33"/>
      <c r="T22" s="62"/>
      <c r="AD22" s="33"/>
    </row>
    <row r="23" spans="1:35" x14ac:dyDescent="0.2">
      <c r="J23" s="33"/>
      <c r="R23" s="33"/>
      <c r="S23" s="33"/>
      <c r="U23" s="3" t="s">
        <v>42</v>
      </c>
      <c r="V23" s="31"/>
      <c r="W23" s="31">
        <v>585</v>
      </c>
      <c r="X23" s="31">
        <v>79</v>
      </c>
      <c r="Y23" s="31">
        <f>+AF23+V23</f>
        <v>0</v>
      </c>
      <c r="Z23" s="31">
        <f>+W23+AH23</f>
        <v>585</v>
      </c>
      <c r="AA23" s="62">
        <f>+Z23-Y23</f>
        <v>585</v>
      </c>
      <c r="AB23" s="67" t="str">
        <f>IF(Y23=0,"",(Z23-Y23)/ABS(Y23)+1)</f>
        <v/>
      </c>
      <c r="AC23" s="31">
        <v>79</v>
      </c>
      <c r="AD23" s="33">
        <f>IF(AC23=0,"",(Z23-AC23)/ABS(AC23))</f>
        <v>6.4050632911392409</v>
      </c>
      <c r="AF23" s="31"/>
      <c r="AG23" s="31"/>
      <c r="AH23" s="31"/>
    </row>
    <row r="24" spans="1:35" x14ac:dyDescent="0.2">
      <c r="B24" s="3" t="s">
        <v>43</v>
      </c>
      <c r="C24" s="31">
        <f>+C20-C22</f>
        <v>9205</v>
      </c>
      <c r="D24" s="33">
        <f>+C24/$C$20</f>
        <v>0.99010433473163384</v>
      </c>
      <c r="E24" s="31">
        <f>+E20-E22</f>
        <v>9649.82</v>
      </c>
      <c r="F24" s="33">
        <f>+E24/$E$20</f>
        <v>1</v>
      </c>
      <c r="G24" s="33">
        <f>IF(C24=0,"",(E24-C24)/ABS(C24)+1)</f>
        <v>1.0483237370994025</v>
      </c>
      <c r="H24" s="31">
        <f>+H20-H22</f>
        <v>9732.43</v>
      </c>
      <c r="I24" s="33">
        <f>+H24/$H$20</f>
        <v>1</v>
      </c>
      <c r="J24" s="33">
        <f>IF(H24=0,"",(E24-H24)/ABS(H24))</f>
        <v>-8.4881165341030539E-3</v>
      </c>
      <c r="K24" s="31">
        <f>+K20-K22</f>
        <v>9205</v>
      </c>
      <c r="L24" s="33">
        <f>+K24/$K$20</f>
        <v>0.99010433473163384</v>
      </c>
      <c r="M24" s="31">
        <f>+M20-M22</f>
        <v>9649.82</v>
      </c>
      <c r="N24" s="33">
        <f>+M24/$M$20</f>
        <v>1</v>
      </c>
      <c r="O24" s="33">
        <f>IF(K24=0,"",(M24-K24)/ABS(K24)+1)</f>
        <v>1.0483237370994025</v>
      </c>
      <c r="P24" s="31">
        <f>+P20-P22</f>
        <v>9732.43</v>
      </c>
      <c r="Q24" s="33">
        <f>+P24/$P$20</f>
        <v>1</v>
      </c>
      <c r="R24" s="33">
        <f>IF(P24=0,"",(M24-P24)/ABS(P24))</f>
        <v>-8.4881165341030539E-3</v>
      </c>
      <c r="S24" s="33"/>
      <c r="T24" s="62"/>
      <c r="AD24" s="33"/>
    </row>
    <row r="25" spans="1:35" x14ac:dyDescent="0.2">
      <c r="J25" s="33"/>
      <c r="R25" s="33"/>
      <c r="S25" s="33"/>
      <c r="U25" s="3" t="s">
        <v>44</v>
      </c>
      <c r="V25" s="31">
        <v>1268</v>
      </c>
      <c r="W25" s="31">
        <v>1326</v>
      </c>
      <c r="X25" s="31">
        <v>1348</v>
      </c>
      <c r="Y25" s="31">
        <f>+AF25+V25</f>
        <v>1268</v>
      </c>
      <c r="Z25" s="31">
        <f t="shared" ref="Z25" si="3">+W25+AH25</f>
        <v>1326</v>
      </c>
      <c r="AA25" s="62">
        <f>+Z25-Y25</f>
        <v>58</v>
      </c>
      <c r="AB25" s="67">
        <f>IF(Y25=0,"",(Z25-Y25)/ABS(Y25)+1)</f>
        <v>1.0457413249211356</v>
      </c>
      <c r="AC25" s="31">
        <v>1348</v>
      </c>
      <c r="AD25" s="33">
        <f>IF(AC25=0,"",(Z25-AC25)/ABS(AC25))</f>
        <v>-1.6320474777448073E-2</v>
      </c>
      <c r="AF25" s="31"/>
      <c r="AG25" s="31"/>
      <c r="AH25" s="31"/>
    </row>
    <row r="26" spans="1:35" x14ac:dyDescent="0.2">
      <c r="B26" s="3" t="s">
        <v>45</v>
      </c>
      <c r="C26" s="31">
        <v>557</v>
      </c>
      <c r="D26" s="33">
        <f>+C26/$C$20</f>
        <v>5.9911799505216738E-2</v>
      </c>
      <c r="E26" s="31">
        <v>562.9</v>
      </c>
      <c r="F26" s="33">
        <f>+E26/$E$20</f>
        <v>5.8332694288598129E-2</v>
      </c>
      <c r="G26" s="33">
        <f>IF(C26=0,"",(E26-C26)/ABS(C26)+1)</f>
        <v>1.0105924596050269</v>
      </c>
      <c r="H26" s="31">
        <v>520.95000000000005</v>
      </c>
      <c r="I26" s="33">
        <f>+H26/$H$20</f>
        <v>5.3527228040684598E-2</v>
      </c>
      <c r="J26" s="33">
        <f>IF(H26=0,"",(E26-H26)/ABS(H26))</f>
        <v>8.0525962184470543E-2</v>
      </c>
      <c r="K26" s="31">
        <v>557</v>
      </c>
      <c r="L26" s="33">
        <f>+K26/$K$20</f>
        <v>5.9911799505216738E-2</v>
      </c>
      <c r="M26" s="31">
        <v>562.9</v>
      </c>
      <c r="N26" s="33">
        <f>+M26/$M$20</f>
        <v>5.8332694288598129E-2</v>
      </c>
      <c r="O26" s="33">
        <f>IF(K26=0,"",(M26-K26)/ABS(K26)+1)</f>
        <v>1.0105924596050269</v>
      </c>
      <c r="P26" s="31">
        <v>520.95000000000005</v>
      </c>
      <c r="Q26" s="33">
        <f>+P26/$P$20</f>
        <v>5.3527228040684598E-2</v>
      </c>
      <c r="R26" s="33">
        <f>IF(P26=0,"",(M26-P26)/ABS(P26))</f>
        <v>8.0525962184470543E-2</v>
      </c>
      <c r="S26" s="33"/>
      <c r="T26" s="62"/>
      <c r="AD26" s="33"/>
      <c r="AH26" s="53"/>
    </row>
    <row r="27" spans="1:35" x14ac:dyDescent="0.2">
      <c r="B27" s="3" t="s">
        <v>46</v>
      </c>
      <c r="C27" s="31">
        <v>1325</v>
      </c>
      <c r="D27" s="33">
        <f>+C27/$C$20</f>
        <v>0.1425190921802732</v>
      </c>
      <c r="E27" s="31">
        <v>1324.23</v>
      </c>
      <c r="F27" s="33">
        <f>+E27/$E$20</f>
        <v>0.13722846643771594</v>
      </c>
      <c r="G27" s="33">
        <f>IF(C27=0,"",(E27-C27)/ABS(C27)+1)</f>
        <v>0.99941886792452828</v>
      </c>
      <c r="H27" s="31">
        <v>1256.1500000000001</v>
      </c>
      <c r="I27" s="33">
        <f>+H27/$H$20</f>
        <v>0.12906848546560315</v>
      </c>
      <c r="J27" s="33">
        <f>IF(H27=0,"",(E27-H27)/ABS(H27))</f>
        <v>5.4197349042709807E-2</v>
      </c>
      <c r="K27" s="31">
        <v>1325</v>
      </c>
      <c r="L27" s="33">
        <f>+K27/$K$20</f>
        <v>0.1425190921802732</v>
      </c>
      <c r="M27" s="31">
        <v>1324.23</v>
      </c>
      <c r="N27" s="33">
        <f>+M27/$M$20</f>
        <v>0.13722846643771594</v>
      </c>
      <c r="O27" s="33">
        <f>IF(K27=0,"",(M27-K27)/ABS(K27)+1)</f>
        <v>0.99941886792452828</v>
      </c>
      <c r="P27" s="31">
        <v>1256.1500000000001</v>
      </c>
      <c r="Q27" s="33">
        <f>+P27/$P$20</f>
        <v>0.12906848546560315</v>
      </c>
      <c r="R27" s="33">
        <f>IF(P27=0,"",(M27-P27)/ABS(P27))</f>
        <v>5.4197349042709807E-2</v>
      </c>
      <c r="S27" s="33"/>
      <c r="T27" s="62"/>
      <c r="U27" s="3" t="s">
        <v>47</v>
      </c>
      <c r="V27" s="31"/>
      <c r="W27" s="31"/>
      <c r="X27" s="31"/>
      <c r="Y27" s="31">
        <f t="shared" ref="Y27:Y28" si="4">+AF27+V27</f>
        <v>0</v>
      </c>
      <c r="Z27" s="31">
        <f t="shared" ref="Z27:Z28" si="5">+W27+AH27</f>
        <v>0</v>
      </c>
      <c r="AA27" s="62">
        <f>+Z27-Y27</f>
        <v>0</v>
      </c>
      <c r="AB27" s="67" t="str">
        <f>IF(Y27=0,"",(Z27-Y27)/ABS(Y27)+1)</f>
        <v/>
      </c>
      <c r="AC27" s="31"/>
      <c r="AD27" s="33" t="str">
        <f>IF(AC27=0,"",(Z27-AC27)/ABS(AC27))</f>
        <v/>
      </c>
      <c r="AF27" s="31"/>
      <c r="AG27" s="31"/>
    </row>
    <row r="28" spans="1:35" x14ac:dyDescent="0.2">
      <c r="B28" s="3" t="s">
        <v>48</v>
      </c>
      <c r="C28" s="31">
        <f>SUM(C26:C27)</f>
        <v>1882</v>
      </c>
      <c r="D28" s="33">
        <f>+C28/$C$20</f>
        <v>0.20243089168548994</v>
      </c>
      <c r="E28" s="31">
        <f>SUM(E26:E27)</f>
        <v>1887.13</v>
      </c>
      <c r="F28" s="33">
        <f>+E28/$E$20</f>
        <v>0.19556116072631408</v>
      </c>
      <c r="G28" s="33">
        <f>IF(C28=0,"",(E28-C28)/ABS(C28)+1)</f>
        <v>1.0027258235919236</v>
      </c>
      <c r="H28" s="31">
        <f>SUM(H26:H27)</f>
        <v>1777.1000000000001</v>
      </c>
      <c r="I28" s="33">
        <f>+H28/$H$20</f>
        <v>0.18259571350628775</v>
      </c>
      <c r="J28" s="33">
        <f>IF(H28=0,"",(E28-H28)/ABS(H28))</f>
        <v>6.1915480276855533E-2</v>
      </c>
      <c r="K28" s="31">
        <f>SUM(K26:K27)</f>
        <v>1882</v>
      </c>
      <c r="L28" s="33">
        <f>+K28/$K$20</f>
        <v>0.20243089168548994</v>
      </c>
      <c r="M28" s="31">
        <f>SUM(M26:M27)</f>
        <v>1887.13</v>
      </c>
      <c r="N28" s="33">
        <f>+M28/$M$20</f>
        <v>0.19556116072631408</v>
      </c>
      <c r="O28" s="33">
        <f>IF(K28=0,"",(M28-K28)/ABS(K28)+1)</f>
        <v>1.0027258235919236</v>
      </c>
      <c r="P28" s="31">
        <f>SUM(P26:P27)</f>
        <v>1777.1000000000001</v>
      </c>
      <c r="Q28" s="33">
        <f>+P28/$P$20</f>
        <v>0.18259571350628775</v>
      </c>
      <c r="R28" s="33">
        <f>IF(P28=0,"",(M28-P28)/ABS(P28))</f>
        <v>6.1915480276855533E-2</v>
      </c>
      <c r="S28" s="33"/>
      <c r="T28" s="62"/>
      <c r="U28" s="3" t="s">
        <v>49</v>
      </c>
      <c r="V28" s="31"/>
      <c r="W28" s="31"/>
      <c r="X28" s="31"/>
      <c r="Y28" s="31">
        <f t="shared" si="4"/>
        <v>0</v>
      </c>
      <c r="Z28" s="31">
        <f t="shared" si="5"/>
        <v>0</v>
      </c>
      <c r="AA28" s="62">
        <f>+Z28-Y28</f>
        <v>0</v>
      </c>
      <c r="AB28" s="67" t="str">
        <f>IF(Y28=0,"",(Z28-Y28)/ABS(Y28)+1)</f>
        <v/>
      </c>
      <c r="AC28" s="31"/>
      <c r="AD28" s="33" t="str">
        <f>IF(AC28=0,"",(Z28-AC28)/ABS(AC28))</f>
        <v/>
      </c>
      <c r="AF28" s="31"/>
      <c r="AG28" s="31"/>
    </row>
    <row r="29" spans="1:35" x14ac:dyDescent="0.2">
      <c r="J29" s="33"/>
      <c r="R29" s="33"/>
      <c r="S29" s="33"/>
    </row>
    <row r="30" spans="1:35" x14ac:dyDescent="0.2">
      <c r="B30" s="3" t="s">
        <v>50</v>
      </c>
      <c r="C30" s="31">
        <v>6118</v>
      </c>
      <c r="D30" s="33">
        <f>+C30/$C$20</f>
        <v>0.65806174034634823</v>
      </c>
      <c r="E30" s="31">
        <v>5699.03</v>
      </c>
      <c r="F30" s="33">
        <f>+E30/$E$20</f>
        <v>0.59058407307079297</v>
      </c>
      <c r="G30" s="33">
        <f>IF(C30=0,"",(E30-C30)/ABS(C30)+1)</f>
        <v>0.93151847008826405</v>
      </c>
      <c r="H30" s="31">
        <v>5678.85</v>
      </c>
      <c r="I30" s="33">
        <f>+H30/$H$20</f>
        <v>0.58349764652815383</v>
      </c>
      <c r="J30" s="33">
        <f>IF(H30=0,"",(E30-H30)/ABS(H30))</f>
        <v>3.5535363673982199E-3</v>
      </c>
      <c r="K30" s="31">
        <v>6118</v>
      </c>
      <c r="L30" s="33">
        <f>+K30/$K$20</f>
        <v>0.65806174034634823</v>
      </c>
      <c r="M30" s="31">
        <v>5699.03</v>
      </c>
      <c r="N30" s="33">
        <f>+M30/$M$20</f>
        <v>0.59058407307079297</v>
      </c>
      <c r="O30" s="33">
        <f>IF(K30=0,"",(M30-K30)/ABS(K30)+1)</f>
        <v>0.93151847008826405</v>
      </c>
      <c r="P30" s="31">
        <v>5678.85</v>
      </c>
      <c r="Q30" s="33">
        <f>+P30/$P$20</f>
        <v>0.58349764652815383</v>
      </c>
      <c r="R30" s="33">
        <f>IF(P30=0,"",(M30-P30)/ABS(P30))</f>
        <v>3.5535363673982199E-3</v>
      </c>
      <c r="S30" s="33"/>
      <c r="T30" s="62"/>
      <c r="U30" s="19" t="s">
        <v>51</v>
      </c>
      <c r="V30" s="68">
        <f>V21-V23-V25-V27-V28</f>
        <v>15169</v>
      </c>
      <c r="W30" s="68">
        <f>W21-W23-W25-W27-W28</f>
        <v>16554</v>
      </c>
      <c r="X30" s="68">
        <v>13328.8</v>
      </c>
      <c r="Y30" s="68">
        <f>Y21-Y23-Y25-Y27-Y28</f>
        <v>15169</v>
      </c>
      <c r="Z30" s="68">
        <f>Z21-Z23-Z25-Z27-Z28</f>
        <v>16554</v>
      </c>
      <c r="AA30" s="70">
        <f>+Z30-Y30</f>
        <v>1385</v>
      </c>
      <c r="AB30" s="71">
        <f>IF(V30=0,"",(W30-V30)/ABS(V30)+1)</f>
        <v>1.0913046344518427</v>
      </c>
      <c r="AC30" s="68">
        <v>13328.8</v>
      </c>
      <c r="AD30" s="33">
        <f>IF(AC30=0,"",(Z30-AC30)/ABS(AC30))</f>
        <v>0.24197227057199455</v>
      </c>
      <c r="AF30" s="66"/>
    </row>
    <row r="31" spans="1:35" x14ac:dyDescent="0.2">
      <c r="B31" s="3" t="s">
        <v>52</v>
      </c>
      <c r="C31" s="31">
        <v>0</v>
      </c>
      <c r="D31" s="33">
        <f>+C31/$C$20</f>
        <v>0</v>
      </c>
      <c r="E31" s="31">
        <v>0</v>
      </c>
      <c r="F31" s="33">
        <f>+E31/$E$20</f>
        <v>0</v>
      </c>
      <c r="G31" s="33" t="str">
        <f>IF(C31=0,"",(E31-C31)/ABS(C31)+1)</f>
        <v/>
      </c>
      <c r="H31" s="31">
        <v>0</v>
      </c>
      <c r="I31" s="33">
        <f>+H31/$H$20</f>
        <v>0</v>
      </c>
      <c r="J31" s="33" t="str">
        <f>IF(H31=0,"",(E31-H31)/ABS(H31))</f>
        <v/>
      </c>
      <c r="K31" s="31">
        <v>0</v>
      </c>
      <c r="L31" s="33">
        <f>+K31/$K$20</f>
        <v>0</v>
      </c>
      <c r="M31" s="31">
        <v>0</v>
      </c>
      <c r="N31" s="33">
        <f>+M31/$M$20</f>
        <v>0</v>
      </c>
      <c r="O31" s="33" t="str">
        <f>IF(K31=0,"",(M31-K31)/ABS(K31)+1)</f>
        <v/>
      </c>
      <c r="P31" s="31">
        <v>0</v>
      </c>
      <c r="Q31" s="33">
        <f>+P31/$P$20</f>
        <v>0</v>
      </c>
      <c r="R31" s="33" t="str">
        <f>IF(P31=0,"",(M31-P31)/ABS(P31))</f>
        <v/>
      </c>
      <c r="S31" s="33"/>
      <c r="T31" s="62"/>
      <c r="U31" s="54"/>
      <c r="V31" s="60"/>
      <c r="W31" s="62"/>
      <c r="X31" s="60"/>
      <c r="Y31" s="31"/>
      <c r="Z31" s="31"/>
      <c r="AA31" s="94"/>
      <c r="AB31" s="60"/>
      <c r="AC31" s="31"/>
      <c r="AD31" s="60"/>
      <c r="AE31" s="60"/>
      <c r="AF31" s="60"/>
      <c r="AG31" s="60"/>
    </row>
    <row r="32" spans="1:35" x14ac:dyDescent="0.2">
      <c r="B32" s="3" t="s">
        <v>53</v>
      </c>
      <c r="C32" s="31">
        <f>SUM(C30:C31)</f>
        <v>6118</v>
      </c>
      <c r="D32" s="33">
        <f>+C32/$C$20</f>
        <v>0.65806174034634823</v>
      </c>
      <c r="E32" s="31">
        <f>SUM(E30:E31)</f>
        <v>5699.03</v>
      </c>
      <c r="F32" s="33">
        <f>+E32/$E$20</f>
        <v>0.59058407307079297</v>
      </c>
      <c r="G32" s="33">
        <f>IF(C32=0,"",(E32-C32)/ABS(C32)+1)</f>
        <v>0.93151847008826405</v>
      </c>
      <c r="H32" s="31">
        <f>SUM(H30:H31)</f>
        <v>5678.85</v>
      </c>
      <c r="I32" s="33">
        <f>+H32/$H$20</f>
        <v>0.58349764652815383</v>
      </c>
      <c r="J32" s="33">
        <f>IF(H32=0,"",(E32-H32)/ABS(H32))</f>
        <v>3.5535363673982199E-3</v>
      </c>
      <c r="K32" s="31">
        <f>SUM(K30:K31)</f>
        <v>6118</v>
      </c>
      <c r="L32" s="33">
        <f>+K32/$K$20</f>
        <v>0.65806174034634823</v>
      </c>
      <c r="M32" s="31">
        <f>SUM(M30:M31)</f>
        <v>5699.03</v>
      </c>
      <c r="N32" s="33">
        <f>+M32/$M$20</f>
        <v>0.59058407307079297</v>
      </c>
      <c r="O32" s="33">
        <f>IF(K32=0,"",(M32-K32)/ABS(K32)+1)</f>
        <v>0.93151847008826405</v>
      </c>
      <c r="P32" s="31">
        <f>SUM(P30:P31)</f>
        <v>5678.85</v>
      </c>
      <c r="Q32" s="33">
        <f>+P32/$P$20</f>
        <v>0.58349764652815383</v>
      </c>
      <c r="R32" s="33">
        <f>IF(P32=0,"",(M32-P32)/ABS(P32))</f>
        <v>3.5535363673982199E-3</v>
      </c>
      <c r="S32" s="33"/>
      <c r="T32" s="62"/>
      <c r="U32" s="53"/>
      <c r="V32" s="53" t="s">
        <v>61</v>
      </c>
      <c r="W32" s="53" t="s">
        <v>61</v>
      </c>
      <c r="X32" s="53"/>
      <c r="Y32" s="72"/>
      <c r="Z32" s="72" t="s">
        <v>61</v>
      </c>
      <c r="AA32" s="72"/>
      <c r="AB32" s="53"/>
      <c r="AC32" s="53"/>
      <c r="AD32" s="53"/>
      <c r="AE32" s="53"/>
      <c r="AF32" s="53"/>
      <c r="AG32" s="53"/>
      <c r="AH32" s="53"/>
    </row>
    <row r="33" spans="1:34" x14ac:dyDescent="0.2">
      <c r="J33" s="33"/>
      <c r="R33" s="33"/>
      <c r="S33" s="3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</row>
    <row r="34" spans="1:34" x14ac:dyDescent="0.2">
      <c r="B34" s="3" t="s">
        <v>54</v>
      </c>
      <c r="C34" s="31">
        <f>C28+C32</f>
        <v>8000</v>
      </c>
      <c r="D34" s="33">
        <f>+C34/$C$20</f>
        <v>0.86049263203183823</v>
      </c>
      <c r="E34" s="31">
        <f>E28+E32</f>
        <v>7586.16</v>
      </c>
      <c r="F34" s="33">
        <f>+E34/$E$20</f>
        <v>0.7861452337971071</v>
      </c>
      <c r="G34" s="33">
        <f>IF(C34=0,"",(E34-C34)/ABS(C34)+1)</f>
        <v>0.94826999999999995</v>
      </c>
      <c r="H34" s="31">
        <f>H28+H32</f>
        <v>7455.9500000000007</v>
      </c>
      <c r="I34" s="33">
        <f>+H34/$H$20</f>
        <v>0.76609336003444162</v>
      </c>
      <c r="J34" s="33">
        <f>IF(H34=0,"",(E34-H34)/ABS(H34))</f>
        <v>1.7463904666742549E-2</v>
      </c>
      <c r="K34" s="31">
        <f>K28+K32</f>
        <v>8000</v>
      </c>
      <c r="L34" s="33">
        <f>+K34/$K$20</f>
        <v>0.86049263203183823</v>
      </c>
      <c r="M34" s="31">
        <f>M28+M32</f>
        <v>7586.16</v>
      </c>
      <c r="N34" s="33">
        <f>+M34/$M$20</f>
        <v>0.7861452337971071</v>
      </c>
      <c r="O34" s="33">
        <f>IF(K34=0,"",(M34-K34)/ABS(K34)+1)</f>
        <v>0.94826999999999995</v>
      </c>
      <c r="P34" s="31">
        <f>P28+P32</f>
        <v>7455.9500000000007</v>
      </c>
      <c r="Q34" s="33">
        <f>+P34/$P$20</f>
        <v>0.76609336003444162</v>
      </c>
      <c r="R34" s="33">
        <f>IF(P34=0,"",(M34-P34)/ABS(P34))</f>
        <v>1.7463904666742549E-2</v>
      </c>
      <c r="S34" s="33"/>
      <c r="T34" s="135"/>
      <c r="U34" s="136"/>
      <c r="V34" s="136"/>
      <c r="W34" s="136"/>
      <c r="X34" s="136"/>
      <c r="Y34" s="136"/>
      <c r="Z34" s="136"/>
      <c r="AA34" s="136"/>
      <c r="AB34" s="136"/>
      <c r="AC34" s="53"/>
      <c r="AD34" s="53"/>
      <c r="AE34" s="53"/>
      <c r="AF34" s="53"/>
      <c r="AG34" s="53"/>
      <c r="AH34" s="53"/>
    </row>
    <row r="35" spans="1:34" x14ac:dyDescent="0.2">
      <c r="J35" s="33"/>
      <c r="R35" s="33"/>
      <c r="S35" s="33"/>
      <c r="T35" s="135"/>
      <c r="U35" s="137"/>
      <c r="V35" s="137"/>
      <c r="W35" s="137"/>
      <c r="X35" s="137"/>
      <c r="Y35" s="137"/>
      <c r="Z35" s="137"/>
      <c r="AA35" s="137"/>
      <c r="AB35" s="137"/>
    </row>
    <row r="36" spans="1:34" x14ac:dyDescent="0.2">
      <c r="B36" s="19" t="s">
        <v>55</v>
      </c>
      <c r="C36" s="68">
        <f>C24-C34</f>
        <v>1205</v>
      </c>
      <c r="D36" s="44">
        <f>+C36/$C$20</f>
        <v>0.12961170269979563</v>
      </c>
      <c r="E36" s="68">
        <f>E24-E34</f>
        <v>2063.66</v>
      </c>
      <c r="F36" s="44">
        <f>+E36/$E$20</f>
        <v>0.2138547662028929</v>
      </c>
      <c r="G36" s="44">
        <f>IF(C36=0,"",(E36-C36)/ABS(C36)+1)</f>
        <v>1.7125809128630705</v>
      </c>
      <c r="H36" s="68">
        <f>H24-H34</f>
        <v>2276.4799999999996</v>
      </c>
      <c r="I36" s="44">
        <f>+H36/$H$20</f>
        <v>0.23390663996555838</v>
      </c>
      <c r="J36" s="44">
        <f>IF(H36=0,"",(E36-H36)/ABS(H36))</f>
        <v>-9.3486435198200615E-2</v>
      </c>
      <c r="K36" s="68">
        <f>K24-K34</f>
        <v>1205</v>
      </c>
      <c r="L36" s="44">
        <f>+K36/$K$20</f>
        <v>0.12961170269979563</v>
      </c>
      <c r="M36" s="68">
        <f>M24-M34</f>
        <v>2063.66</v>
      </c>
      <c r="N36" s="44">
        <f>+M36/$M$20</f>
        <v>0.2138547662028929</v>
      </c>
      <c r="O36" s="44">
        <f>IF(K36=0,"",(M36-K36)/ABS(K36)+1)</f>
        <v>1.7125809128630705</v>
      </c>
      <c r="P36" s="68">
        <f>P24-P34</f>
        <v>2276.4799999999996</v>
      </c>
      <c r="Q36" s="44">
        <f>+P36/$P$20</f>
        <v>0.23390663996555838</v>
      </c>
      <c r="R36" s="44">
        <f>IF(P36=0,"",(M36-P36)/ABS(P36))</f>
        <v>-9.3486435198200615E-2</v>
      </c>
      <c r="S36" s="44"/>
      <c r="T36" s="135"/>
      <c r="U36" s="137"/>
      <c r="V36" s="138"/>
      <c r="W36" s="138"/>
      <c r="X36" s="137"/>
      <c r="Y36" s="138"/>
      <c r="Z36" s="137"/>
      <c r="AA36" s="137"/>
      <c r="AB36" s="137"/>
    </row>
    <row r="37" spans="1:34" x14ac:dyDescent="0.2">
      <c r="J37" s="33"/>
      <c r="R37" s="33"/>
      <c r="S37" s="33"/>
      <c r="T37" s="137"/>
      <c r="U37" s="137" t="s">
        <v>107</v>
      </c>
      <c r="V37" s="136" t="s">
        <v>7</v>
      </c>
      <c r="W37" s="136" t="s">
        <v>108</v>
      </c>
      <c r="X37" s="136"/>
      <c r="Y37" s="137"/>
      <c r="Z37" s="137"/>
      <c r="AA37" s="137"/>
      <c r="AB37" s="137"/>
    </row>
    <row r="38" spans="1:34" x14ac:dyDescent="0.2">
      <c r="B38" s="3" t="s">
        <v>56</v>
      </c>
      <c r="C38" s="31">
        <v>0</v>
      </c>
      <c r="D38" s="33">
        <f>+C38/$C$20</f>
        <v>0</v>
      </c>
      <c r="E38" s="31">
        <v>0</v>
      </c>
      <c r="F38" s="33">
        <f>+E38/$E$20</f>
        <v>0</v>
      </c>
      <c r="G38" s="33" t="str">
        <f>IF(C38=0,"",(E38-C38)/ABS(C38)+1)</f>
        <v/>
      </c>
      <c r="H38" s="31">
        <v>0</v>
      </c>
      <c r="I38" s="33">
        <f>+H38/$H$20</f>
        <v>0</v>
      </c>
      <c r="J38" s="33" t="str">
        <f>IF(H38=0,"",(E38-H38)/ABS(H38))</f>
        <v/>
      </c>
      <c r="K38" s="31">
        <v>0</v>
      </c>
      <c r="L38" s="33">
        <f>+K38/$K$20</f>
        <v>0</v>
      </c>
      <c r="M38" s="31">
        <v>0</v>
      </c>
      <c r="N38" s="33">
        <f>+M38/$M$20</f>
        <v>0</v>
      </c>
      <c r="O38" s="33" t="str">
        <f>IF(K38=0,"",(M38-K38)/ABS(K38)+1)</f>
        <v/>
      </c>
      <c r="P38" s="31">
        <v>0</v>
      </c>
      <c r="Q38" s="33">
        <f>+P38/$P$20</f>
        <v>0</v>
      </c>
      <c r="R38" s="33" t="str">
        <f>IF(P38=0,"",(M38-P38)/ABS(P38))</f>
        <v/>
      </c>
      <c r="S38" s="33"/>
      <c r="T38" s="135"/>
      <c r="U38" s="137" t="s">
        <v>109</v>
      </c>
      <c r="V38" s="138">
        <f>+V30</f>
        <v>15169</v>
      </c>
      <c r="W38" s="138">
        <f>+W30</f>
        <v>16554</v>
      </c>
      <c r="X38" s="139">
        <f>+W38/V38</f>
        <v>1.0913046344518427</v>
      </c>
      <c r="Y38" s="137"/>
      <c r="Z38" s="137"/>
      <c r="AA38" s="137"/>
      <c r="AB38" s="137"/>
    </row>
    <row r="39" spans="1:34" x14ac:dyDescent="0.2">
      <c r="B39" s="3" t="s">
        <v>57</v>
      </c>
      <c r="C39" s="31">
        <v>0</v>
      </c>
      <c r="D39" s="33">
        <f>+C39/$C$20</f>
        <v>0</v>
      </c>
      <c r="E39" s="31">
        <v>7.02</v>
      </c>
      <c r="F39" s="33">
        <f>+E39/$E$20</f>
        <v>7.274747093728173E-4</v>
      </c>
      <c r="G39" s="33" t="str">
        <f>IF(C39=0,"",(E39-C39)/ABS(C39)+1)</f>
        <v/>
      </c>
      <c r="H39" s="31">
        <v>0</v>
      </c>
      <c r="I39" s="33">
        <f>+H39/$H$20</f>
        <v>0</v>
      </c>
      <c r="J39" s="33" t="str">
        <f>IF(H39=0,"",(E39-H39)/ABS(H39))</f>
        <v/>
      </c>
      <c r="K39" s="31">
        <v>0</v>
      </c>
      <c r="L39" s="33">
        <f>+K39/$K$20</f>
        <v>0</v>
      </c>
      <c r="M39" s="31">
        <v>7.02</v>
      </c>
      <c r="N39" s="33">
        <f>+M39/$M$20</f>
        <v>7.274747093728173E-4</v>
      </c>
      <c r="O39" s="33" t="str">
        <f>IF(K39=0,"",(M39-K39)/ABS(K39)+1)</f>
        <v/>
      </c>
      <c r="P39" s="31">
        <v>0</v>
      </c>
      <c r="Q39" s="33">
        <f>+P39/$P$20</f>
        <v>0</v>
      </c>
      <c r="R39" s="33" t="str">
        <f>IF(P39=0,"",(M39-P39)/ABS(P39))</f>
        <v/>
      </c>
      <c r="S39" s="33"/>
      <c r="T39" s="135"/>
      <c r="U39" s="137" t="s">
        <v>110</v>
      </c>
      <c r="V39" s="138">
        <f>+'VENEZUELA USD'!W24</f>
        <v>0</v>
      </c>
      <c r="W39" s="138">
        <f>+'VENEZUELA USD'!Y24</f>
        <v>0</v>
      </c>
      <c r="X39" s="137"/>
      <c r="Y39" s="137"/>
      <c r="Z39" s="137"/>
      <c r="AA39" s="137"/>
      <c r="AB39" s="137"/>
    </row>
    <row r="40" spans="1:34" x14ac:dyDescent="0.2">
      <c r="J40" s="33"/>
      <c r="R40" s="33"/>
      <c r="S40" s="33"/>
      <c r="T40" s="137"/>
      <c r="U40" s="137" t="s">
        <v>111</v>
      </c>
      <c r="V40" s="138">
        <f>+'PANAMA USD'!U30</f>
        <v>0</v>
      </c>
      <c r="W40" s="138">
        <f>+'PANAMA USD'!V30</f>
        <v>0</v>
      </c>
      <c r="X40" s="137"/>
      <c r="Y40" s="137"/>
      <c r="Z40" s="137"/>
      <c r="AA40" s="137"/>
      <c r="AB40" s="137"/>
    </row>
    <row r="41" spans="1:34" x14ac:dyDescent="0.2">
      <c r="B41" s="3" t="s">
        <v>58</v>
      </c>
      <c r="C41" s="31">
        <f>C36+C38-C39</f>
        <v>1205</v>
      </c>
      <c r="D41" s="33">
        <f>+C41/$C$20</f>
        <v>0.12961170269979563</v>
      </c>
      <c r="E41" s="31">
        <f>E36+E38-E39</f>
        <v>2056.64</v>
      </c>
      <c r="F41" s="33">
        <f>+E41/$E$20</f>
        <v>0.21312729149352008</v>
      </c>
      <c r="G41" s="33">
        <f>IF(C41=0,"",(E41-C41)/ABS(C41)+1)</f>
        <v>1.7067551867219914</v>
      </c>
      <c r="H41" s="31">
        <f>H36+H38-H39</f>
        <v>2276.4799999999996</v>
      </c>
      <c r="I41" s="33">
        <f>+H41/$H$20</f>
        <v>0.23390663996555838</v>
      </c>
      <c r="J41" s="33">
        <f>IF(H41=0,"",(E41-H41)/ABS(H41))</f>
        <v>-9.6570143379252057E-2</v>
      </c>
      <c r="K41" s="31">
        <f>K36+K38-K39</f>
        <v>1205</v>
      </c>
      <c r="L41" s="33">
        <f>+K41/$K$20</f>
        <v>0.12961170269979563</v>
      </c>
      <c r="M41" s="31">
        <f>M36+M38-M39</f>
        <v>2056.64</v>
      </c>
      <c r="N41" s="33">
        <f>+M41/$M$20</f>
        <v>0.21312729149352008</v>
      </c>
      <c r="O41" s="33">
        <f>IF(K41=0,"",(M41-K41)/ABS(K41)+1)</f>
        <v>1.7067551867219914</v>
      </c>
      <c r="P41" s="31">
        <f>P36+P38-P39</f>
        <v>2276.4799999999996</v>
      </c>
      <c r="Q41" s="33">
        <f>+P41/$P$20</f>
        <v>0.23390663996555838</v>
      </c>
      <c r="R41" s="33">
        <f>IF(P41=0,"",(M41-P41)/ABS(P41))</f>
        <v>-9.6570143379252057E-2</v>
      </c>
      <c r="S41" s="33"/>
      <c r="T41" s="135"/>
      <c r="U41" s="137" t="s">
        <v>112</v>
      </c>
      <c r="V41" s="138">
        <f>SUM(V38:V40)</f>
        <v>15169</v>
      </c>
      <c r="W41" s="138">
        <f>SUM(W38:W40)</f>
        <v>16554</v>
      </c>
      <c r="X41" s="137" t="s">
        <v>113</v>
      </c>
      <c r="Y41" s="137"/>
      <c r="Z41" s="137"/>
      <c r="AA41" s="137"/>
      <c r="AB41" s="137"/>
    </row>
    <row r="42" spans="1:34" x14ac:dyDescent="0.2">
      <c r="A42" s="93"/>
      <c r="B42" s="3" t="s">
        <v>44</v>
      </c>
      <c r="C42" s="31">
        <v>0</v>
      </c>
      <c r="D42" s="33">
        <f>+C42/$C$20</f>
        <v>0</v>
      </c>
      <c r="E42" s="31">
        <v>514.16</v>
      </c>
      <c r="F42" s="33">
        <f>+E42/$E$20</f>
        <v>5.3281822873380021E-2</v>
      </c>
      <c r="G42" s="33" t="str">
        <f>IF(C42=0,"",(E42-C42)/ABS(C42)+1)</f>
        <v/>
      </c>
      <c r="H42" s="31">
        <v>569.12</v>
      </c>
      <c r="I42" s="33">
        <f>+H42/$H$20</f>
        <v>5.847665999138961E-2</v>
      </c>
      <c r="J42" s="33">
        <f>IF(H42=0,"",(E42-H42)/ABS(H42))</f>
        <v>-9.6570143379252238E-2</v>
      </c>
      <c r="K42" s="31">
        <v>0</v>
      </c>
      <c r="L42" s="33">
        <f>+K42/$K$20</f>
        <v>0</v>
      </c>
      <c r="M42" s="31">
        <v>514.16</v>
      </c>
      <c r="N42" s="33">
        <f>+M42/$M$20</f>
        <v>5.3281822873380021E-2</v>
      </c>
      <c r="O42" s="33" t="str">
        <f>IF(K42=0,"",(M42-K42)/ABS(K42)+1)</f>
        <v/>
      </c>
      <c r="P42" s="31">
        <v>569.12</v>
      </c>
      <c r="Q42" s="33">
        <f>+P42/$P$20</f>
        <v>5.847665999138961E-2</v>
      </c>
      <c r="R42" s="33">
        <f>IF(P42=0,"",(M42-P42)/ABS(P42))</f>
        <v>-9.6570143379252238E-2</v>
      </c>
      <c r="S42" s="33"/>
      <c r="T42" s="135"/>
      <c r="U42" s="137" t="s">
        <v>114</v>
      </c>
      <c r="V42" s="138">
        <f>+V41-V39</f>
        <v>15169</v>
      </c>
      <c r="W42" s="138">
        <f>+W41-W39</f>
        <v>16554</v>
      </c>
      <c r="X42" s="140">
        <f>+W42/V42</f>
        <v>1.0913046344518427</v>
      </c>
      <c r="Y42" s="137"/>
      <c r="Z42" s="137"/>
      <c r="AA42" s="137"/>
      <c r="AB42" s="137"/>
    </row>
    <row r="43" spans="1:34" x14ac:dyDescent="0.2">
      <c r="B43" s="19" t="s">
        <v>59</v>
      </c>
      <c r="C43" s="68">
        <f>C41-C42</f>
        <v>1205</v>
      </c>
      <c r="D43" s="44">
        <f>+C43/$C$20</f>
        <v>0.12961170269979563</v>
      </c>
      <c r="E43" s="68">
        <f>E41-E42</f>
        <v>1542.48</v>
      </c>
      <c r="F43" s="44">
        <f>+E43/$E$20</f>
        <v>0.15984546862014007</v>
      </c>
      <c r="G43" s="44">
        <f>IF(C43=0,"",(E43-C43)/ABS(C43)+1)</f>
        <v>1.2800663900414939</v>
      </c>
      <c r="H43" s="68">
        <f>H41-H42</f>
        <v>1707.3599999999997</v>
      </c>
      <c r="I43" s="44">
        <f>+H43/$H$20</f>
        <v>0.17542997997416879</v>
      </c>
      <c r="J43" s="44">
        <f>IF(H43=0,"",(E43-H43)/ABS(H43))</f>
        <v>-9.6570143379251988E-2</v>
      </c>
      <c r="K43" s="68">
        <f>K41-K42</f>
        <v>1205</v>
      </c>
      <c r="L43" s="44">
        <f>+K43/$K$20</f>
        <v>0.12961170269979563</v>
      </c>
      <c r="M43" s="68">
        <f>M41-M42</f>
        <v>1542.48</v>
      </c>
      <c r="N43" s="44">
        <f>+M43/$M$20</f>
        <v>0.15984546862014007</v>
      </c>
      <c r="O43" s="44">
        <f>IF(K43=0,"",(M43-K43)/ABS(K43)+1)</f>
        <v>1.2800663900414939</v>
      </c>
      <c r="P43" s="68">
        <f>P41-P42</f>
        <v>1707.3599999999997</v>
      </c>
      <c r="Q43" s="44">
        <f>+P43/$P$20</f>
        <v>0.17542997997416879</v>
      </c>
      <c r="R43" s="44">
        <f>IF(P43=0,"",(M43-P43)/ABS(P43))</f>
        <v>-9.6570143379251988E-2</v>
      </c>
      <c r="S43" s="44"/>
      <c r="T43" s="135"/>
      <c r="U43" s="137"/>
      <c r="V43" s="137"/>
      <c r="W43" s="137"/>
      <c r="X43" s="137"/>
      <c r="Y43" s="137"/>
      <c r="Z43" s="137"/>
      <c r="AA43" s="137"/>
      <c r="AB43" s="137"/>
    </row>
    <row r="44" spans="1:34" x14ac:dyDescent="0.2">
      <c r="J44" s="33"/>
      <c r="R44" s="33"/>
      <c r="S44" s="33"/>
      <c r="T44" s="137"/>
      <c r="U44" s="137"/>
      <c r="V44" s="137"/>
      <c r="W44" s="137"/>
      <c r="X44" s="137"/>
      <c r="Y44" s="137"/>
      <c r="Z44" s="137"/>
      <c r="AA44" s="137"/>
      <c r="AB44" s="137"/>
    </row>
    <row r="45" spans="1:34" x14ac:dyDescent="0.2">
      <c r="A45" s="93"/>
      <c r="B45" s="3" t="s">
        <v>60</v>
      </c>
      <c r="C45" s="31">
        <v>1493</v>
      </c>
      <c r="D45" s="33">
        <f>+C45/$C$20</f>
        <v>0.1605894374529418</v>
      </c>
      <c r="E45" s="31">
        <v>2335.8999999999996</v>
      </c>
      <c r="F45" s="33">
        <f>+E45/$E$20</f>
        <v>0.24206669139942505</v>
      </c>
      <c r="G45" s="33">
        <f>IF(C45=0,"",(E45-C45)/ABS(C45)+1)</f>
        <v>1.5645679839249831</v>
      </c>
      <c r="H45" s="31">
        <v>2601.9199999999996</v>
      </c>
      <c r="I45" s="33">
        <f>+H45/$H$20</f>
        <v>0.26734535979195323</v>
      </c>
      <c r="J45" s="33">
        <f>IF(H45=0,"",(E45-H45)/ABS(H45))</f>
        <v>-0.1022398843930636</v>
      </c>
      <c r="K45" s="31">
        <v>1493</v>
      </c>
      <c r="L45" s="33">
        <f>+K45/$K$20</f>
        <v>0.1605894374529418</v>
      </c>
      <c r="M45" s="31">
        <v>2335.8999999999996</v>
      </c>
      <c r="N45" s="33">
        <f>+M45/$M$20</f>
        <v>0.24206669139942505</v>
      </c>
      <c r="O45" s="33">
        <f>IF(K45=0,"",(M45-K45)/ABS(K45)+1)</f>
        <v>1.5645679839249831</v>
      </c>
      <c r="P45" s="31">
        <v>2601.9199999999996</v>
      </c>
      <c r="Q45" s="33">
        <f>+P45/$P$20</f>
        <v>0.26734535979195323</v>
      </c>
      <c r="R45" s="33">
        <f>IF(P45=0,"",(M45-P45)/ABS(P45))</f>
        <v>-0.1022398843930636</v>
      </c>
      <c r="S45" s="33"/>
      <c r="T45" s="135"/>
      <c r="U45" s="137"/>
      <c r="V45" s="137"/>
      <c r="W45" s="137"/>
      <c r="X45" s="137"/>
      <c r="Y45" s="137"/>
      <c r="Z45" s="137"/>
      <c r="AA45" s="137"/>
      <c r="AB45" s="137"/>
    </row>
    <row r="46" spans="1:34" x14ac:dyDescent="0.2">
      <c r="B46" s="3" t="s">
        <v>35</v>
      </c>
      <c r="C46" s="31">
        <v>5935</v>
      </c>
      <c r="D46" s="33">
        <f>+C46/$C$20</f>
        <v>0.63837797138861996</v>
      </c>
      <c r="E46" s="31">
        <v>5548.05</v>
      </c>
      <c r="F46" s="33">
        <f>+E46/$E$20</f>
        <v>0.57493818537547858</v>
      </c>
      <c r="G46" s="33">
        <f>IF(C46=0,"",(E46-C46)/ABS(C46)+1)</f>
        <v>0.93480202190395956</v>
      </c>
      <c r="H46" s="31">
        <v>5486.16</v>
      </c>
      <c r="I46" s="33">
        <f>+H46/$H$20</f>
        <v>0.56369889123271366</v>
      </c>
      <c r="J46" s="33">
        <f>IF(H46=0,"",(E46-H46)/ABS(H46))</f>
        <v>1.1281114659433981E-2</v>
      </c>
      <c r="K46" s="31">
        <v>5935</v>
      </c>
      <c r="L46" s="33">
        <f>+K46/$K$20</f>
        <v>0.63837797138861996</v>
      </c>
      <c r="M46" s="31">
        <v>5548.05</v>
      </c>
      <c r="N46" s="33">
        <f>+M46/$M$20</f>
        <v>0.57493818537547858</v>
      </c>
      <c r="O46" s="33">
        <f>IF(K46=0,"",(M46-K46)/ABS(K46)+1)</f>
        <v>0.93480202190395956</v>
      </c>
      <c r="P46" s="31">
        <v>5486.16</v>
      </c>
      <c r="Q46" s="33">
        <f>+P46/$P$20</f>
        <v>0.56369889123271366</v>
      </c>
      <c r="R46" s="33">
        <f>IF(P46=0,"",(M46-P46)/ABS(P46))</f>
        <v>1.1281114659433981E-2</v>
      </c>
      <c r="S46" s="33"/>
      <c r="T46" s="137"/>
      <c r="U46" s="137"/>
      <c r="V46" s="137"/>
      <c r="W46" s="137"/>
      <c r="X46" s="137"/>
      <c r="Y46" s="137"/>
      <c r="Z46" s="137"/>
      <c r="AA46" s="137"/>
      <c r="AB46" s="137"/>
    </row>
    <row r="47" spans="1:34" x14ac:dyDescent="0.2">
      <c r="B47" s="3"/>
      <c r="C47" s="2" t="s">
        <v>61</v>
      </c>
      <c r="E47" s="2" t="s">
        <v>61</v>
      </c>
      <c r="K47" s="2" t="s">
        <v>61</v>
      </c>
      <c r="M47" s="2" t="s">
        <v>61</v>
      </c>
      <c r="T47" s="137"/>
      <c r="U47" s="137"/>
      <c r="V47" s="137"/>
      <c r="W47" s="137"/>
      <c r="X47" s="137"/>
      <c r="Y47" s="137"/>
      <c r="Z47" s="137"/>
      <c r="AA47" s="137"/>
      <c r="AB47" s="137"/>
    </row>
    <row r="49" spans="2:19" x14ac:dyDescent="0.2">
      <c r="M49" s="54"/>
    </row>
    <row r="55" spans="2:19" x14ac:dyDescent="0.2">
      <c r="H55" s="54"/>
    </row>
    <row r="56" spans="2:19" x14ac:dyDescent="0.2">
      <c r="B56" s="2" t="s">
        <v>115</v>
      </c>
      <c r="C56" s="54" t="s">
        <v>116</v>
      </c>
      <c r="E56" s="54" t="s">
        <v>117</v>
      </c>
      <c r="N56" s="54" t="s">
        <v>118</v>
      </c>
      <c r="R56" s="54" t="s">
        <v>119</v>
      </c>
      <c r="S56" s="54"/>
    </row>
    <row r="57" spans="2:19" x14ac:dyDescent="0.2">
      <c r="B57" s="2" t="s">
        <v>109</v>
      </c>
      <c r="C57" s="54">
        <f>+C36</f>
        <v>1205</v>
      </c>
      <c r="E57" s="54">
        <f>+E36</f>
        <v>2063.66</v>
      </c>
      <c r="N57" s="54">
        <f>+K36</f>
        <v>1205</v>
      </c>
      <c r="R57" s="54">
        <f>+M36</f>
        <v>2063.66</v>
      </c>
      <c r="S57" s="54"/>
    </row>
    <row r="58" spans="2:19" x14ac:dyDescent="0.2">
      <c r="B58" s="2" t="s">
        <v>120</v>
      </c>
      <c r="C58" s="54">
        <f>+'VENEZUELA USD'!C36</f>
        <v>0</v>
      </c>
      <c r="E58" s="54">
        <f>+'VENEZUELA USD'!E36</f>
        <v>78.490786400207625</v>
      </c>
      <c r="N58" s="54">
        <f>+'VENEZUELA USD'!K36</f>
        <v>0</v>
      </c>
      <c r="R58" s="54" t="str">
        <f>+'VENEZUELA USD'!O36</f>
        <v/>
      </c>
      <c r="S58" s="54"/>
    </row>
    <row r="59" spans="2:19" x14ac:dyDescent="0.2">
      <c r="B59" s="2" t="s">
        <v>121</v>
      </c>
      <c r="C59" s="54">
        <f>+'PANAMA USD'!C36</f>
        <v>0</v>
      </c>
      <c r="E59" s="54">
        <f>+'PANAMA USD'!E36</f>
        <v>0</v>
      </c>
      <c r="N59" s="54">
        <f>+'PANAMA USD'!K36</f>
        <v>0</v>
      </c>
      <c r="R59" s="54">
        <f>+'PANAMA USD'!M36</f>
        <v>0</v>
      </c>
      <c r="S59" s="54"/>
    </row>
    <row r="60" spans="2:19" x14ac:dyDescent="0.2">
      <c r="B60" s="2" t="s">
        <v>122</v>
      </c>
      <c r="C60" s="54">
        <f>SUM(C57:C59)</f>
        <v>1205</v>
      </c>
      <c r="E60" s="54">
        <f>SUM(E57:E59)</f>
        <v>2142.1507864002074</v>
      </c>
      <c r="N60" s="54">
        <f>SUM(N57:N59)</f>
        <v>1205</v>
      </c>
      <c r="R60" s="54">
        <f>SUM(R57:R59)</f>
        <v>2063.66</v>
      </c>
      <c r="S60" s="54"/>
    </row>
    <row r="61" spans="2:19" x14ac:dyDescent="0.2">
      <c r="B61" s="2" t="s">
        <v>123</v>
      </c>
      <c r="C61" s="54">
        <f>+C60-C58</f>
        <v>1205</v>
      </c>
      <c r="E61" s="54">
        <f>+E60-E58</f>
        <v>2063.66</v>
      </c>
    </row>
    <row r="62" spans="2:19" x14ac:dyDescent="0.2">
      <c r="B62" s="78" t="s">
        <v>124</v>
      </c>
    </row>
    <row r="63" spans="2:19" x14ac:dyDescent="0.2">
      <c r="B63" s="2" t="s">
        <v>109</v>
      </c>
      <c r="C63" s="54">
        <f>+C43</f>
        <v>1205</v>
      </c>
      <c r="E63" s="54">
        <f>+E43</f>
        <v>1542.48</v>
      </c>
      <c r="K63" s="2">
        <f>+E63/C63</f>
        <v>1.2800663900414937</v>
      </c>
    </row>
    <row r="64" spans="2:19" x14ac:dyDescent="0.2">
      <c r="B64" s="2" t="s">
        <v>125</v>
      </c>
      <c r="C64" s="54">
        <f>+'VENEZUELA USD'!C43</f>
        <v>0</v>
      </c>
      <c r="E64" s="54">
        <f>+'VENEZUELA USD'!E43</f>
        <v>82.799117570724107</v>
      </c>
    </row>
    <row r="65" spans="2:6" x14ac:dyDescent="0.2">
      <c r="B65" s="2" t="s">
        <v>121</v>
      </c>
      <c r="C65" s="54">
        <f>+'PANAMA USD'!C43</f>
        <v>0</v>
      </c>
      <c r="E65" s="54">
        <f>+'PANAMA USD'!E43</f>
        <v>0</v>
      </c>
    </row>
    <row r="66" spans="2:6" x14ac:dyDescent="0.2">
      <c r="B66" s="2" t="s">
        <v>126</v>
      </c>
      <c r="C66" s="54">
        <f>SUM(C63:C65)</f>
        <v>1205</v>
      </c>
      <c r="E66" s="54">
        <f>SUM(E63:E65)</f>
        <v>1625.2791175707241</v>
      </c>
    </row>
    <row r="68" spans="2:6" x14ac:dyDescent="0.2">
      <c r="B68" s="78" t="s">
        <v>127</v>
      </c>
      <c r="C68" s="96">
        <f>+C63+C65</f>
        <v>1205</v>
      </c>
      <c r="D68" s="78"/>
      <c r="E68" s="96">
        <f>+E63+E65</f>
        <v>1542.48</v>
      </c>
      <c r="F68" s="95">
        <f>+E68/C68</f>
        <v>1.2800663900414937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7004F-8E8A-4F21-BECF-9D730C38A7B6}">
  <sheetPr>
    <tabColor theme="0" tint="-0.14999847407452621"/>
  </sheetPr>
  <dimension ref="A1:AH48"/>
  <sheetViews>
    <sheetView showGridLines="0" zoomScale="98" zoomScaleNormal="98" workbookViewId="0">
      <selection activeCell="A36" sqref="A36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2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3" customFormat="1" ht="19.5" customHeight="1" x14ac:dyDescent="0.2">
      <c r="B1" s="49"/>
      <c r="S1" s="62"/>
    </row>
    <row r="2" spans="1:34" ht="13.5" customHeight="1" x14ac:dyDescent="0.2">
      <c r="A2" s="53"/>
      <c r="X2" s="53"/>
      <c r="Y2" s="53"/>
    </row>
    <row r="3" spans="1:34" ht="25.5" customHeight="1" x14ac:dyDescent="0.25">
      <c r="B3" s="15" t="s">
        <v>128</v>
      </c>
      <c r="T3" s="17" t="s">
        <v>128</v>
      </c>
    </row>
    <row r="4" spans="1:34" x14ac:dyDescent="0.2">
      <c r="B4" s="3" t="s">
        <v>102</v>
      </c>
      <c r="C4" s="90"/>
      <c r="S4" s="97"/>
      <c r="T4" s="3" t="s">
        <v>21</v>
      </c>
    </row>
    <row r="5" spans="1:34" ht="15.75" customHeight="1" thickBot="1" x14ac:dyDescent="0.25">
      <c r="B5" s="3" t="s">
        <v>129</v>
      </c>
      <c r="T5" s="3" t="s">
        <v>129</v>
      </c>
      <c r="X5" s="20" t="s">
        <v>23</v>
      </c>
      <c r="Y5" s="20"/>
      <c r="Z5" s="20"/>
      <c r="AA5" s="20"/>
      <c r="AB5" s="20"/>
      <c r="AC5" s="20"/>
    </row>
    <row r="6" spans="1:34" ht="13.5" thickBot="1" x14ac:dyDescent="0.25">
      <c r="B6" s="78" t="str">
        <f>+'COL. CONS.$'!B6</f>
        <v>ENERO de 2024</v>
      </c>
      <c r="K6" s="98" t="s">
        <v>23</v>
      </c>
      <c r="L6" s="98"/>
      <c r="M6" s="98"/>
      <c r="N6" s="98"/>
      <c r="O6" s="98"/>
      <c r="P6" s="98"/>
      <c r="Q6" s="98"/>
      <c r="R6" s="98"/>
      <c r="T6" s="19" t="str">
        <f>+B6</f>
        <v>ENERO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0" t="str">
        <f>+'COL. CONS.$'!C7:C7</f>
        <v>Ppto 2024</v>
      </c>
      <c r="D7" s="60"/>
      <c r="E7" s="60" t="str">
        <f>+'COL. CONS.$'!E7:E7</f>
        <v>Real 2024</v>
      </c>
      <c r="F7" s="60"/>
      <c r="G7" s="60" t="s">
        <v>24</v>
      </c>
      <c r="H7" s="60" t="str">
        <f>+'COL. CONS.$'!H7:H7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66"/>
      <c r="AE7" s="66"/>
      <c r="AG7" s="66"/>
    </row>
    <row r="8" spans="1:34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66"/>
      <c r="AE8" s="66"/>
      <c r="AG8" s="66"/>
      <c r="AH8" s="66"/>
    </row>
    <row r="9" spans="1:34" x14ac:dyDescent="0.2">
      <c r="AD9" s="66"/>
      <c r="AE9" s="66"/>
      <c r="AG9" s="66"/>
      <c r="AH9" s="66"/>
    </row>
    <row r="10" spans="1:34" x14ac:dyDescent="0.2">
      <c r="B10" s="3" t="str">
        <f>+'COLOMB$ '!B10</f>
        <v>Musical Experience  (Ambiental)</v>
      </c>
      <c r="C10" s="31"/>
      <c r="D10" s="67" t="str">
        <f t="shared" ref="D10:D20" si="0">IF($C$20=0," ",C10/$C$20)</f>
        <v xml:space="preserve"> </v>
      </c>
      <c r="E10" s="31">
        <v>98882</v>
      </c>
      <c r="F10" s="67">
        <f t="shared" ref="F10:F15" si="1">+E10/$E$20</f>
        <v>0.4776996136982038</v>
      </c>
      <c r="G10" s="67" t="str">
        <f t="shared" ref="G10:G15" si="2">IF(C10=0,"",(E10-C10)/ABS(C10)+1)</f>
        <v/>
      </c>
      <c r="H10" s="31">
        <v>64890</v>
      </c>
      <c r="I10" s="67">
        <f t="shared" ref="I10:I15" si="3">+H10/$H$20</f>
        <v>0.50684181778517234</v>
      </c>
      <c r="J10" s="67">
        <f t="shared" ref="J10:J15" si="4">IF(H10=0,"",(E10-H10)/ABS(H10))</f>
        <v>0.52384034519956846</v>
      </c>
      <c r="K10" s="31"/>
      <c r="L10" s="67" t="str">
        <f t="shared" ref="L10:L20" si="5">IF($K$20=0," ",K10/$K$20)</f>
        <v xml:space="preserve"> </v>
      </c>
      <c r="M10" s="31">
        <v>98882</v>
      </c>
      <c r="N10" s="67">
        <f t="shared" ref="N10:N15" si="6">+M10/$M$20</f>
        <v>0.4776996136982038</v>
      </c>
      <c r="O10" s="67" t="str">
        <f>IF(K10=0,"",(M10-K10)/ABS(K10)+1)</f>
        <v/>
      </c>
      <c r="P10" s="31">
        <v>64890</v>
      </c>
      <c r="Q10" s="67">
        <f t="shared" ref="Q10:Q15" si="7">+P10/$P$20</f>
        <v>0.50684181778517234</v>
      </c>
      <c r="R10" s="67">
        <f t="shared" ref="R10:R15" si="8">IF(P10=0,"",(M10-P10)/ABS(P10))</f>
        <v>0.52384034519956846</v>
      </c>
      <c r="T10" s="3" t="s">
        <v>31</v>
      </c>
      <c r="U10" s="31">
        <v>236652</v>
      </c>
      <c r="V10" s="31">
        <v>253979</v>
      </c>
      <c r="W10" s="31">
        <v>37026</v>
      </c>
      <c r="X10" s="31">
        <v>236652</v>
      </c>
      <c r="Y10" s="31">
        <v>253979</v>
      </c>
      <c r="Z10" s="62">
        <f>+Y10-X10</f>
        <v>17327</v>
      </c>
      <c r="AA10" s="67">
        <f>IF(X10=0,"",(Y10-X10)/ABS(X10)+1)</f>
        <v>1.073217213461116</v>
      </c>
      <c r="AB10" s="31">
        <v>37026</v>
      </c>
      <c r="AC10" s="67">
        <f>IF(W10=0,"",(Y10-AB10)/ABS(AB10))</f>
        <v>5.8594771241830061</v>
      </c>
      <c r="AD10" s="66"/>
      <c r="AE10" s="66"/>
      <c r="AF10" s="66"/>
      <c r="AG10" s="66"/>
      <c r="AH10" s="66"/>
    </row>
    <row r="11" spans="1:34" ht="13.5" customHeight="1" x14ac:dyDescent="0.2">
      <c r="B11" s="3" t="str">
        <f>+'COLOMB$ '!B11</f>
        <v>Instalaciones</v>
      </c>
      <c r="C11" s="31"/>
      <c r="D11" s="67" t="str">
        <f t="shared" si="0"/>
        <v xml:space="preserve"> </v>
      </c>
      <c r="E11" s="31">
        <v>24546.01</v>
      </c>
      <c r="F11" s="67">
        <f t="shared" si="1"/>
        <v>0.11858194104925313</v>
      </c>
      <c r="G11" s="67" t="str">
        <f t="shared" si="2"/>
        <v/>
      </c>
      <c r="H11" s="31">
        <v>14060.16</v>
      </c>
      <c r="I11" s="67">
        <f t="shared" si="3"/>
        <v>0.10982088230467513</v>
      </c>
      <c r="J11" s="67">
        <f t="shared" si="4"/>
        <v>0.74578454299239827</v>
      </c>
      <c r="K11" s="31"/>
      <c r="L11" s="67" t="str">
        <f t="shared" si="5"/>
        <v xml:space="preserve"> </v>
      </c>
      <c r="M11" s="31">
        <v>24546.01</v>
      </c>
      <c r="N11" s="67">
        <f t="shared" si="6"/>
        <v>0.11858194104925313</v>
      </c>
      <c r="O11" s="67" t="str">
        <f>IF(K11=0,"",(M11-K11)/ABS(K11)+1)</f>
        <v/>
      </c>
      <c r="P11" s="31">
        <v>14060.16</v>
      </c>
      <c r="Q11" s="67">
        <f t="shared" si="7"/>
        <v>0.10982088230467513</v>
      </c>
      <c r="R11" s="67">
        <f t="shared" si="8"/>
        <v>0.74578454299239827</v>
      </c>
      <c r="T11" s="3" t="s">
        <v>32</v>
      </c>
      <c r="U11" s="31"/>
      <c r="V11" s="31">
        <v>207334</v>
      </c>
      <c r="W11" s="31">
        <v>132258</v>
      </c>
      <c r="X11" s="31">
        <f>+AD8+U11</f>
        <v>0</v>
      </c>
      <c r="Y11" s="31">
        <v>207334</v>
      </c>
      <c r="Z11" s="62">
        <f>+Y11-X11</f>
        <v>207334</v>
      </c>
      <c r="AA11" s="67" t="str">
        <f>IF(X11=0,"",(Y11-X11)/ABS(X11)+1)</f>
        <v/>
      </c>
      <c r="AB11" s="31">
        <v>132258</v>
      </c>
      <c r="AC11" s="67">
        <f>IF(AB11=0,"",(Y11-AB11)/ABS(AB11))</f>
        <v>0.56764808177955206</v>
      </c>
      <c r="AD11" s="66"/>
      <c r="AE11" s="66"/>
      <c r="AF11" s="66"/>
      <c r="AG11" s="66"/>
      <c r="AH11" s="66"/>
    </row>
    <row r="12" spans="1:34" x14ac:dyDescent="0.2">
      <c r="B12" s="3" t="str">
        <f>+'COLOMB$ '!B12</f>
        <v>Voice Experience (Publihold)</v>
      </c>
      <c r="C12" s="31"/>
      <c r="D12" s="67" t="str">
        <f t="shared" si="0"/>
        <v xml:space="preserve"> </v>
      </c>
      <c r="E12" s="31">
        <v>30566</v>
      </c>
      <c r="F12" s="67">
        <f t="shared" si="1"/>
        <v>0.1476645536326055</v>
      </c>
      <c r="G12" s="67" t="str">
        <f t="shared" si="2"/>
        <v/>
      </c>
      <c r="H12" s="31">
        <v>31882.25</v>
      </c>
      <c r="I12" s="67">
        <f t="shared" si="3"/>
        <v>0.24902538981478364</v>
      </c>
      <c r="J12" s="67">
        <f t="shared" si="4"/>
        <v>-4.1284727395337534E-2</v>
      </c>
      <c r="K12" s="31"/>
      <c r="L12" s="67" t="str">
        <f t="shared" si="5"/>
        <v xml:space="preserve"> </v>
      </c>
      <c r="M12" s="31">
        <v>30566</v>
      </c>
      <c r="N12" s="67">
        <f t="shared" si="6"/>
        <v>0.1476645536326055</v>
      </c>
      <c r="O12" s="67" t="str">
        <f>IF(K12=0,"",(M12-K12)/ABS(K12)+1)</f>
        <v/>
      </c>
      <c r="P12" s="31">
        <v>31882.25</v>
      </c>
      <c r="Q12" s="67">
        <f t="shared" si="7"/>
        <v>0.24902538981478364</v>
      </c>
      <c r="R12" s="67">
        <f t="shared" si="8"/>
        <v>-4.1284727395337534E-2</v>
      </c>
      <c r="AF12" s="66"/>
      <c r="AG12" s="66"/>
      <c r="AH12" s="66"/>
    </row>
    <row r="13" spans="1:34" x14ac:dyDescent="0.2">
      <c r="B13" s="3" t="str">
        <f>+'COLOMB$ '!B13</f>
        <v>Service &amp; Equipment Experience</v>
      </c>
      <c r="C13" s="31"/>
      <c r="D13" s="67" t="str">
        <f t="shared" si="0"/>
        <v xml:space="preserve"> </v>
      </c>
      <c r="E13" s="31">
        <v>16369.18</v>
      </c>
      <c r="F13" s="67">
        <f t="shared" si="1"/>
        <v>7.9079619774644158E-2</v>
      </c>
      <c r="G13" s="67" t="str">
        <f t="shared" si="2"/>
        <v/>
      </c>
      <c r="H13" s="31">
        <v>248.76</v>
      </c>
      <c r="I13" s="67">
        <f t="shared" si="3"/>
        <v>1.9430107966133374E-3</v>
      </c>
      <c r="J13" s="67">
        <f t="shared" si="4"/>
        <v>64.803103392828433</v>
      </c>
      <c r="K13" s="31"/>
      <c r="L13" s="67" t="str">
        <f t="shared" si="5"/>
        <v xml:space="preserve"> </v>
      </c>
      <c r="M13" s="31">
        <v>16369.18</v>
      </c>
      <c r="N13" s="67">
        <f t="shared" si="6"/>
        <v>7.9079619774644158E-2</v>
      </c>
      <c r="O13" s="67" t="str">
        <f>IF(K13=0,"",(M13-K13)/ABS(K13)+1)</f>
        <v/>
      </c>
      <c r="P13" s="31">
        <v>248.76</v>
      </c>
      <c r="Q13" s="67">
        <f t="shared" si="7"/>
        <v>1.9430107966133374E-3</v>
      </c>
      <c r="R13" s="67">
        <f t="shared" si="8"/>
        <v>64.803103392828433</v>
      </c>
      <c r="T13" s="3" t="s">
        <v>33</v>
      </c>
      <c r="U13" s="31"/>
      <c r="V13" s="31"/>
      <c r="W13" s="31"/>
      <c r="X13" s="31">
        <f>+AD9+U13</f>
        <v>0</v>
      </c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D13" s="66"/>
      <c r="AE13" s="66"/>
      <c r="AG13" s="66"/>
      <c r="AH13" s="66"/>
    </row>
    <row r="14" spans="1:34" x14ac:dyDescent="0.2">
      <c r="B14" s="3" t="str">
        <f>+'COLOMB$ '!B14</f>
        <v>POP Satelital</v>
      </c>
      <c r="C14" s="31"/>
      <c r="D14" s="67" t="str">
        <f t="shared" si="0"/>
        <v xml:space="preserve"> </v>
      </c>
      <c r="E14" s="31"/>
      <c r="F14" s="67">
        <f t="shared" si="1"/>
        <v>0</v>
      </c>
      <c r="G14" s="67" t="str">
        <f t="shared" si="2"/>
        <v/>
      </c>
      <c r="H14" s="31"/>
      <c r="I14" s="67">
        <f t="shared" si="3"/>
        <v>0</v>
      </c>
      <c r="J14" s="67" t="str">
        <f t="shared" si="4"/>
        <v/>
      </c>
      <c r="K14" s="31"/>
      <c r="L14" s="67" t="str">
        <f t="shared" si="5"/>
        <v xml:space="preserve"> </v>
      </c>
      <c r="M14" s="31"/>
      <c r="N14" s="67">
        <f t="shared" si="6"/>
        <v>0</v>
      </c>
      <c r="O14" s="67" t="str">
        <f>IF(K14=0,"",(M14-K14)/ABS(K14)+1)</f>
        <v/>
      </c>
      <c r="P14" s="31"/>
      <c r="Q14" s="67">
        <f t="shared" si="7"/>
        <v>0</v>
      </c>
      <c r="R14" s="67" t="str">
        <f t="shared" si="8"/>
        <v/>
      </c>
      <c r="T14" s="3" t="s">
        <v>34</v>
      </c>
      <c r="U14" s="31"/>
      <c r="V14" s="31"/>
      <c r="W14" s="31"/>
      <c r="X14" s="31">
        <f>+AD10+U14</f>
        <v>0</v>
      </c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D14" s="66"/>
      <c r="AE14" s="66"/>
      <c r="AF14" s="66"/>
      <c r="AG14" s="66"/>
      <c r="AH14" s="66"/>
    </row>
    <row r="15" spans="1:34" x14ac:dyDescent="0.2">
      <c r="B15" s="3" t="str">
        <f>+'COLOMB$ '!B15</f>
        <v>Voice Experience (Audicóm)</v>
      </c>
      <c r="C15" s="31"/>
      <c r="D15" s="67" t="str">
        <f t="shared" si="0"/>
        <v xml:space="preserve"> </v>
      </c>
      <c r="E15" s="31">
        <v>36633</v>
      </c>
      <c r="F15" s="67">
        <f t="shared" si="1"/>
        <v>0.17697427184529338</v>
      </c>
      <c r="G15" s="67" t="str">
        <f t="shared" si="2"/>
        <v/>
      </c>
      <c r="H15" s="31">
        <v>16946.939999999999</v>
      </c>
      <c r="I15" s="67">
        <f t="shared" si="3"/>
        <v>0.13236889929875556</v>
      </c>
      <c r="J15" s="67">
        <f t="shared" si="4"/>
        <v>1.1616291790730364</v>
      </c>
      <c r="K15" s="31"/>
      <c r="L15" s="67" t="str">
        <f t="shared" si="5"/>
        <v xml:space="preserve"> </v>
      </c>
      <c r="M15" s="31">
        <v>36633</v>
      </c>
      <c r="N15" s="67">
        <f t="shared" si="6"/>
        <v>0.17697427184529338</v>
      </c>
      <c r="O15" s="67"/>
      <c r="P15" s="31">
        <v>16946.939999999999</v>
      </c>
      <c r="Q15" s="67">
        <f t="shared" si="7"/>
        <v>0.13236889929875556</v>
      </c>
      <c r="R15" s="67">
        <f t="shared" si="8"/>
        <v>1.1616291790730364</v>
      </c>
      <c r="T15" s="3" t="s">
        <v>35</v>
      </c>
      <c r="U15" s="31"/>
      <c r="V15" s="31">
        <v>92431</v>
      </c>
      <c r="W15" s="31">
        <v>34365.199999999997</v>
      </c>
      <c r="X15" s="31">
        <f>+AD11+U15</f>
        <v>0</v>
      </c>
      <c r="Y15" s="31">
        <v>92431</v>
      </c>
      <c r="Z15" s="62">
        <f>+X15-Y15</f>
        <v>-92431</v>
      </c>
      <c r="AA15" s="67" t="str">
        <f>IF(X15=0,"",(Y15-X15)/ABS(X15)+1)</f>
        <v/>
      </c>
      <c r="AB15" s="31">
        <v>34365.199999999997</v>
      </c>
      <c r="AC15" s="67">
        <f>IF(AB15=0,"",(Y15-AB15)/ABS(AB15))</f>
        <v>1.6896686182533496</v>
      </c>
      <c r="AD15" s="66"/>
      <c r="AE15" s="66"/>
      <c r="AF15" s="66"/>
      <c r="AG15" s="66"/>
      <c r="AH15" s="66"/>
    </row>
    <row r="16" spans="1:34" x14ac:dyDescent="0.2">
      <c r="B16" s="3" t="str">
        <f>+'COLOMB$ '!B16</f>
        <v>Fact. Servicio Satelital</v>
      </c>
      <c r="C16" s="31"/>
      <c r="D16" s="67" t="str">
        <f t="shared" si="0"/>
        <v xml:space="preserve"> </v>
      </c>
      <c r="E16" s="31"/>
      <c r="F16" s="67"/>
      <c r="G16" s="67"/>
      <c r="H16" s="31"/>
      <c r="I16" s="67"/>
      <c r="J16" s="67"/>
      <c r="K16" s="31"/>
      <c r="L16" s="67" t="str">
        <f t="shared" si="5"/>
        <v xml:space="preserve"> </v>
      </c>
      <c r="M16" s="31"/>
      <c r="N16" s="67"/>
      <c r="O16" s="67"/>
      <c r="P16" s="31"/>
      <c r="Q16" s="67"/>
      <c r="R16" s="67"/>
      <c r="T16" s="3" t="s">
        <v>36</v>
      </c>
      <c r="U16" s="31"/>
      <c r="V16" s="31">
        <v>118777</v>
      </c>
      <c r="W16" s="31">
        <v>52050.2</v>
      </c>
      <c r="X16" s="31">
        <f>+AD13+U16</f>
        <v>0</v>
      </c>
      <c r="Y16" s="31">
        <v>118777</v>
      </c>
      <c r="Z16" s="62">
        <f>+X16-Y16</f>
        <v>-118777</v>
      </c>
      <c r="AA16" s="67" t="str">
        <f>IF(X16=0,"",(Y16-X16)/ABS(X16)+1)</f>
        <v/>
      </c>
      <c r="AB16" s="31">
        <v>52050.2</v>
      </c>
      <c r="AC16" s="67">
        <f>IF(AB16=0,"",(Y16-AB16)/ABS(AB16))</f>
        <v>1.2819700980976059</v>
      </c>
      <c r="AD16" s="66"/>
      <c r="AE16" s="66"/>
      <c r="AF16" s="66"/>
      <c r="AG16" s="66"/>
      <c r="AH16" s="66"/>
    </row>
    <row r="17" spans="2:34" x14ac:dyDescent="0.2">
      <c r="B17" s="3" t="str">
        <f>+'COLOMB$ '!B17</f>
        <v>Visual Experience</v>
      </c>
      <c r="C17" s="31"/>
      <c r="D17" s="67" t="str">
        <f t="shared" si="0"/>
        <v xml:space="preserve"> </v>
      </c>
      <c r="E17" s="31"/>
      <c r="F17" s="67"/>
      <c r="G17" s="67"/>
      <c r="H17" s="31"/>
      <c r="I17" s="67"/>
      <c r="J17" s="67"/>
      <c r="K17" s="31"/>
      <c r="L17" s="67" t="str">
        <f t="shared" si="5"/>
        <v xml:space="preserve"> </v>
      </c>
      <c r="M17" s="31"/>
      <c r="N17" s="67"/>
      <c r="O17" s="67"/>
      <c r="P17" s="31"/>
      <c r="Q17" s="67"/>
      <c r="R17" s="67"/>
      <c r="T17" s="3" t="s">
        <v>37</v>
      </c>
      <c r="U17" s="31">
        <f t="shared" ref="U17" si="9">U13+U14+U15+U16</f>
        <v>0</v>
      </c>
      <c r="V17" s="31">
        <f>V13+V14+V15+V16</f>
        <v>211208</v>
      </c>
      <c r="W17" s="31">
        <v>86415.4</v>
      </c>
      <c r="X17" s="31">
        <f>X13+X14+X15+X16</f>
        <v>0</v>
      </c>
      <c r="Y17" s="31">
        <f>Y13+Y14+Y15+Y16</f>
        <v>211208</v>
      </c>
      <c r="Z17" s="62">
        <f>+Y17-X17</f>
        <v>211208</v>
      </c>
      <c r="AA17" s="67" t="str">
        <f>IF(X17=0,"",(Y17-X17)/ABS(X17)+1)</f>
        <v/>
      </c>
      <c r="AB17" s="31">
        <v>86415.4</v>
      </c>
      <c r="AC17" s="67">
        <f>IF(AB17=0,"",(Y17-AB17)/ABS(AB17))</f>
        <v>1.4441013985933064</v>
      </c>
      <c r="AD17" s="66"/>
      <c r="AE17" s="66"/>
      <c r="AF17" s="66"/>
      <c r="AG17" s="66"/>
      <c r="AH17" s="66"/>
    </row>
    <row r="18" spans="2:34" x14ac:dyDescent="0.2">
      <c r="B18" s="3" t="s">
        <v>130</v>
      </c>
      <c r="C18" s="31"/>
      <c r="D18" s="67" t="str">
        <f t="shared" si="0"/>
        <v xml:space="preserve"> </v>
      </c>
      <c r="E18" s="31"/>
      <c r="F18" s="67"/>
      <c r="G18" s="67"/>
      <c r="H18" s="31"/>
      <c r="I18" s="67"/>
      <c r="J18" s="67"/>
      <c r="K18" s="31"/>
      <c r="L18" s="67" t="str">
        <f t="shared" si="5"/>
        <v xml:space="preserve"> </v>
      </c>
      <c r="M18" s="31"/>
      <c r="N18" s="67"/>
      <c r="O18" s="67"/>
      <c r="P18" s="31"/>
      <c r="Q18" s="67"/>
      <c r="R18" s="67"/>
      <c r="AF18" s="66"/>
      <c r="AG18" s="66"/>
      <c r="AH18" s="66"/>
    </row>
    <row r="19" spans="2:34" x14ac:dyDescent="0.2">
      <c r="B19" s="3" t="str">
        <f>+'COLOMB$ '!B19</f>
        <v>Locutor virtual</v>
      </c>
      <c r="C19" s="31"/>
      <c r="D19" s="67" t="str">
        <f t="shared" si="0"/>
        <v xml:space="preserve"> </v>
      </c>
      <c r="E19" s="31"/>
      <c r="F19" s="67"/>
      <c r="G19" s="67"/>
      <c r="H19" s="31"/>
      <c r="I19" s="67"/>
      <c r="J19" s="67"/>
      <c r="K19" s="31"/>
      <c r="L19" s="67" t="str">
        <f t="shared" si="5"/>
        <v xml:space="preserve"> </v>
      </c>
      <c r="M19" s="31"/>
      <c r="N19" s="67"/>
      <c r="O19" s="67"/>
      <c r="P19" s="31"/>
      <c r="Q19" s="67"/>
      <c r="R19" s="67"/>
      <c r="T19" s="3" t="s">
        <v>38</v>
      </c>
      <c r="U19" s="31">
        <f>+U11-U17</f>
        <v>0</v>
      </c>
      <c r="V19" s="31">
        <f>+V11-V17</f>
        <v>-3874</v>
      </c>
      <c r="W19" s="31">
        <v>45842.600000000006</v>
      </c>
      <c r="X19" s="31">
        <f>X11-X17</f>
        <v>0</v>
      </c>
      <c r="Y19" s="31">
        <f>+Y11-Y17</f>
        <v>-3874</v>
      </c>
      <c r="Z19" s="62">
        <f>+Y19-X19</f>
        <v>-3874</v>
      </c>
      <c r="AA19" s="67" t="str">
        <f>IF(X19=0,"",(Y19-X19)/ABS(X19)+1)</f>
        <v/>
      </c>
      <c r="AB19" s="31">
        <v>45842.600000000006</v>
      </c>
      <c r="AC19" s="67">
        <f>IF(AB19=0,"",(Y19-AB19)/ABS(AB19))</f>
        <v>-1.0845065506755724</v>
      </c>
      <c r="AD19" s="66"/>
      <c r="AE19" s="66"/>
      <c r="AF19" s="66"/>
      <c r="AG19" s="66"/>
      <c r="AH19" s="66"/>
    </row>
    <row r="20" spans="2:34" x14ac:dyDescent="0.2">
      <c r="B20" s="3" t="s">
        <v>39</v>
      </c>
      <c r="C20" s="31">
        <f>SUM(C10:C16)</f>
        <v>0</v>
      </c>
      <c r="D20" s="67" t="str">
        <f t="shared" si="0"/>
        <v xml:space="preserve"> </v>
      </c>
      <c r="E20" s="31">
        <f>SUM(E10:E16)</f>
        <v>206996.19</v>
      </c>
      <c r="F20" s="67">
        <f>+E20/$E$20</f>
        <v>1</v>
      </c>
      <c r="G20" s="67" t="str">
        <f>IF(C20=0,"",(E20-C20)/ABS(C20)+1)</f>
        <v/>
      </c>
      <c r="H20" s="31">
        <v>128028.11</v>
      </c>
      <c r="I20" s="67">
        <f>+H20/$H$20</f>
        <v>1</v>
      </c>
      <c r="J20" s="67">
        <f>IF(H20=0,"",(E20-H20)/ABS(H20))</f>
        <v>0.61680266935128547</v>
      </c>
      <c r="K20" s="31">
        <f>SUM(K10:K16)</f>
        <v>0</v>
      </c>
      <c r="L20" s="67" t="str">
        <f t="shared" si="5"/>
        <v xml:space="preserve"> </v>
      </c>
      <c r="M20" s="31">
        <f>SUM(M10:M19)</f>
        <v>206996.19</v>
      </c>
      <c r="N20" s="67">
        <f>+M20/$M$20</f>
        <v>1</v>
      </c>
      <c r="O20" s="67" t="str">
        <f>IF(K20=0,"",(M20-K20)/ABS(K20)+1)</f>
        <v/>
      </c>
      <c r="P20" s="31">
        <v>128028.11</v>
      </c>
      <c r="Q20" s="67">
        <f>+P20/$P$20</f>
        <v>1</v>
      </c>
      <c r="R20" s="67">
        <f>IF(P20=0,"",(M20-P20)/ABS(P20))</f>
        <v>0.61680266935128547</v>
      </c>
      <c r="T20" s="3"/>
      <c r="U20" s="31"/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6"/>
      <c r="AE20" s="66"/>
      <c r="AF20" s="66"/>
      <c r="AG20" s="66"/>
      <c r="AH20" s="66"/>
    </row>
    <row r="21" spans="2:34" x14ac:dyDescent="0.2">
      <c r="T21" s="3" t="s">
        <v>40</v>
      </c>
      <c r="U21" s="31">
        <f>+U10+U19</f>
        <v>236652</v>
      </c>
      <c r="V21" s="31">
        <f>+V10+V19</f>
        <v>250105</v>
      </c>
      <c r="W21" s="31">
        <v>82868.600000000006</v>
      </c>
      <c r="X21" s="31">
        <f>+X10+X19</f>
        <v>236652</v>
      </c>
      <c r="Y21" s="31">
        <f>+Y10+Y19</f>
        <v>250105</v>
      </c>
      <c r="Z21" s="62">
        <f>+Y21-X21</f>
        <v>13453</v>
      </c>
      <c r="AA21" s="67">
        <f>IF(X21=0,"",(Y21-X21)/ABS(X21)+1)</f>
        <v>1.0568471848959653</v>
      </c>
      <c r="AB21" s="31">
        <v>82868.600000000006</v>
      </c>
      <c r="AC21" s="67">
        <f>IF(AB21=0,"",(Y21-AB21)/ABS(AB21))</f>
        <v>2.0180912915145179</v>
      </c>
      <c r="AD21" s="66"/>
      <c r="AE21" s="66"/>
      <c r="AG21" s="66"/>
      <c r="AH21" s="66"/>
    </row>
    <row r="22" spans="2:34" x14ac:dyDescent="0.2">
      <c r="B22" s="3" t="s">
        <v>41</v>
      </c>
      <c r="C22" s="31"/>
      <c r="D22" s="67" t="str">
        <f>IF($C$20=0," ",C22/$C$20)</f>
        <v xml:space="preserve"> </v>
      </c>
      <c r="E22" s="31">
        <v>0</v>
      </c>
      <c r="F22" s="67">
        <f>+E22/$E$20</f>
        <v>0</v>
      </c>
      <c r="G22" s="67" t="str">
        <f>IF(C22=0,"",(E22-C22)/ABS(C22)+1)</f>
        <v/>
      </c>
      <c r="H22" s="31">
        <v>0</v>
      </c>
      <c r="I22" s="67">
        <f>+H22/$H$20</f>
        <v>0</v>
      </c>
      <c r="J22" s="67" t="str">
        <f>IF(H22=0,"",(E22-H22)/ABS(H22))</f>
        <v/>
      </c>
      <c r="K22" s="31">
        <f>+S18+C22</f>
        <v>0</v>
      </c>
      <c r="L22" s="67" t="str">
        <f>IF($K$20=0," ",K22/$K$20)</f>
        <v xml:space="preserve"> </v>
      </c>
      <c r="M22" s="31">
        <v>0</v>
      </c>
      <c r="N22" s="67">
        <f>+M22/$M$20</f>
        <v>0</v>
      </c>
      <c r="O22" s="67" t="str">
        <f>IF(K22=0,"",(M22-K22)/ABS(K22)+1)</f>
        <v/>
      </c>
      <c r="P22" s="31">
        <v>0</v>
      </c>
      <c r="Q22" s="67">
        <f>+P22/$P$20</f>
        <v>0</v>
      </c>
      <c r="R22" s="67" t="str">
        <f>IF(P22=0,"",(M22-P22)/ABS(P22))</f>
        <v/>
      </c>
      <c r="AF22" s="66"/>
      <c r="AG22" s="66"/>
      <c r="AH22" s="66"/>
    </row>
    <row r="23" spans="2:34" x14ac:dyDescent="0.2">
      <c r="T23" s="3" t="s">
        <v>42</v>
      </c>
      <c r="U23" s="31"/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/>
      <c r="AC23" s="67" t="str">
        <f>IF(AB23=0,"",(Y23-AB23)/ABS(AB23))</f>
        <v/>
      </c>
      <c r="AD23" s="66"/>
      <c r="AE23" s="66"/>
      <c r="AG23" s="54"/>
    </row>
    <row r="24" spans="2:34" x14ac:dyDescent="0.2">
      <c r="B24" s="3" t="s">
        <v>43</v>
      </c>
      <c r="C24" s="31">
        <f>+C20-C22</f>
        <v>0</v>
      </c>
      <c r="D24" s="67" t="str">
        <f>IF($C$20=0," ",C24/$C$20)</f>
        <v xml:space="preserve"> </v>
      </c>
      <c r="E24" s="31">
        <f>+E20-E22</f>
        <v>206996.19</v>
      </c>
      <c r="F24" s="67">
        <f>+E24/$E$20</f>
        <v>1</v>
      </c>
      <c r="G24" s="67" t="str">
        <f>IF(C24=0,"",(E24-C24)/ABS(C24)+1)</f>
        <v/>
      </c>
      <c r="H24" s="31">
        <v>128028.11</v>
      </c>
      <c r="I24" s="67">
        <f>+H24/$H$20</f>
        <v>1</v>
      </c>
      <c r="J24" s="67">
        <f>IF(H24=0,"",(E24-H24)/ABS(H24))</f>
        <v>0.61680266935128547</v>
      </c>
      <c r="K24" s="31">
        <f>+K20-K22</f>
        <v>0</v>
      </c>
      <c r="L24" s="67" t="str">
        <f>IF($K$20=0," ",K24/$K$20)</f>
        <v xml:space="preserve"> </v>
      </c>
      <c r="M24" s="31">
        <f>+M20-M22</f>
        <v>206996.19</v>
      </c>
      <c r="N24" s="67">
        <f>+M24/$M$20</f>
        <v>1</v>
      </c>
      <c r="O24" s="67" t="str">
        <f>IF(K24=0,"",(M24-K24)/ABS(K24)+1)</f>
        <v/>
      </c>
      <c r="P24" s="31">
        <v>128028.11</v>
      </c>
      <c r="Q24" s="67">
        <f>+P24/$P$20</f>
        <v>1</v>
      </c>
      <c r="R24" s="67">
        <f>IF(P24=0,"",(M24-P24)/ABS(P24))</f>
        <v>0.61680266935128547</v>
      </c>
    </row>
    <row r="25" spans="2:34" x14ac:dyDescent="0.2">
      <c r="T25" s="3" t="s">
        <v>44</v>
      </c>
      <c r="U25" s="31"/>
      <c r="V25" s="31">
        <v>10112</v>
      </c>
      <c r="W25" s="31">
        <v>12837.94</v>
      </c>
      <c r="X25" s="31">
        <f>+AD22+U25</f>
        <v>0</v>
      </c>
      <c r="Y25" s="31">
        <v>10112</v>
      </c>
      <c r="Z25" s="62">
        <f>+Y25-X25</f>
        <v>10112</v>
      </c>
      <c r="AA25" s="67" t="str">
        <f>IF(X25=0,"",(Y25-X25)/ABS(X25)+1)</f>
        <v/>
      </c>
      <c r="AB25" s="31">
        <v>12837.94</v>
      </c>
      <c r="AC25" s="67">
        <f>IF(AB25=0,"",(Y25-AB25)/ABS(AB25))</f>
        <v>-0.21233468921026274</v>
      </c>
      <c r="AD25" s="66"/>
      <c r="AE25" s="66"/>
      <c r="AF25" s="66"/>
    </row>
    <row r="26" spans="2:34" x14ac:dyDescent="0.2">
      <c r="B26" s="3" t="s">
        <v>45</v>
      </c>
      <c r="C26" s="31"/>
      <c r="D26" s="67" t="str">
        <f>IF($C$20=0," ",C26/$C$20)</f>
        <v xml:space="preserve"> </v>
      </c>
      <c r="E26" s="31">
        <v>3659.2799999999997</v>
      </c>
      <c r="F26" s="67">
        <f>+E26/$E$20</f>
        <v>1.767800653722177E-2</v>
      </c>
      <c r="G26" s="67" t="str">
        <f>IF(C26=0,"",(E26-C26)/ABS(C26)+1)</f>
        <v/>
      </c>
      <c r="H26" s="31">
        <v>2154.4700000000003</v>
      </c>
      <c r="I26" s="67">
        <f>+H26/$H$20</f>
        <v>1.6828101266198495E-2</v>
      </c>
      <c r="J26" s="67">
        <f>IF(H26=0,"",(E26-H26)/ABS(H26))</f>
        <v>0.69845948191434526</v>
      </c>
      <c r="K26" s="31"/>
      <c r="L26" s="67" t="str">
        <f>IF($K$20=0," ",K26/$K$20)</f>
        <v xml:space="preserve"> </v>
      </c>
      <c r="M26" s="31">
        <v>3659.2799999999997</v>
      </c>
      <c r="N26" s="67">
        <f>+M26/$M$20</f>
        <v>1.767800653722177E-2</v>
      </c>
      <c r="O26" s="67" t="str">
        <f>IF(K26=0,"",(M26-K26)/ABS(K26)+1)</f>
        <v/>
      </c>
      <c r="P26" s="31">
        <v>2154.4700000000003</v>
      </c>
      <c r="Q26" s="67">
        <f>+P26/$P$20</f>
        <v>1.6828101266198495E-2</v>
      </c>
      <c r="R26" s="67">
        <f>IF(P26=0,"",(M26-P26)/ABS(P26))</f>
        <v>0.69845948191434526</v>
      </c>
      <c r="AF26" s="66"/>
    </row>
    <row r="27" spans="2:34" x14ac:dyDescent="0.2">
      <c r="B27" s="3" t="s">
        <v>46</v>
      </c>
      <c r="C27" s="31"/>
      <c r="D27" s="67" t="str">
        <f>IF($C$20=0," ",C27/$C$20)</f>
        <v xml:space="preserve"> </v>
      </c>
      <c r="E27" s="31">
        <v>22503.239999999998</v>
      </c>
      <c r="F27" s="67">
        <f>+E27/$E$20</f>
        <v>0.10871330530286571</v>
      </c>
      <c r="G27" s="67" t="str">
        <f>IF(C27=0,"",(E27-C27)/ABS(C27)+1)</f>
        <v/>
      </c>
      <c r="H27" s="31">
        <v>9371.2799999999988</v>
      </c>
      <c r="I27" s="67">
        <f>+H27/$H$20</f>
        <v>7.3197050241544603E-2</v>
      </c>
      <c r="J27" s="67">
        <f>IF(H27=0,"",(E27-H27)/ABS(H27))</f>
        <v>1.4012984352190949</v>
      </c>
      <c r="K27" s="31"/>
      <c r="L27" s="67" t="str">
        <f>IF($K$20=0," ",K27/$K$20)</f>
        <v xml:space="preserve"> </v>
      </c>
      <c r="M27" s="31">
        <v>22503.239999999998</v>
      </c>
      <c r="N27" s="67">
        <f>+M27/$M$20</f>
        <v>0.10871330530286571</v>
      </c>
      <c r="O27" s="67" t="str">
        <f>IF(K27=0,"",(M27-K27)/ABS(K27)+1)</f>
        <v/>
      </c>
      <c r="P27" s="31">
        <v>9371.2799999999988</v>
      </c>
      <c r="Q27" s="67">
        <f>+P27/$P$20</f>
        <v>7.3197050241544603E-2</v>
      </c>
      <c r="R27" s="67">
        <f>IF(P27=0,"",(M27-P27)/ABS(P27))</f>
        <v>1.4012984352190949</v>
      </c>
      <c r="T27" s="3" t="s">
        <v>47</v>
      </c>
      <c r="U27" s="31"/>
      <c r="V27" s="31"/>
      <c r="W27" s="31"/>
      <c r="X27" s="31">
        <f>+AD21+U27</f>
        <v>0</v>
      </c>
      <c r="Y27" s="31"/>
      <c r="Z27" s="62">
        <f>+Y27-X27</f>
        <v>0</v>
      </c>
      <c r="AA27" s="67" t="str">
        <f>IF(X27=0,"",(Y27-X27)/ABS(X27)+1)</f>
        <v/>
      </c>
      <c r="AB27" s="31"/>
      <c r="AC27" s="67" t="str">
        <f>IF(AB27=0,"",(Y27-AB27)/ABS(AB27))</f>
        <v/>
      </c>
      <c r="AD27" s="54"/>
      <c r="AE27" s="54"/>
    </row>
    <row r="28" spans="2:34" x14ac:dyDescent="0.2">
      <c r="B28" s="3" t="s">
        <v>48</v>
      </c>
      <c r="C28" s="31">
        <f>SUM(C26:C27)</f>
        <v>0</v>
      </c>
      <c r="D28" s="67" t="str">
        <f>IF($C$20=0," ",C28/$C$20)</f>
        <v xml:space="preserve"> </v>
      </c>
      <c r="E28" s="31">
        <f>SUM(E26:E27)</f>
        <v>26162.519999999997</v>
      </c>
      <c r="F28" s="67">
        <f>+E28/$E$20</f>
        <v>0.12639131184008748</v>
      </c>
      <c r="G28" s="67" t="str">
        <f>IF(C28=0,"",(E28-C28)/ABS(C28)+1)</f>
        <v/>
      </c>
      <c r="H28" s="31">
        <v>11525.75</v>
      </c>
      <c r="I28" s="67">
        <f>+H28/$H$20</f>
        <v>9.0025151507743109E-2</v>
      </c>
      <c r="J28" s="67">
        <f>IF(H28=0,"",(E28-H28)/ABS(H28))</f>
        <v>1.2699190942021124</v>
      </c>
      <c r="K28" s="31">
        <f>+K26+K27</f>
        <v>0</v>
      </c>
      <c r="L28" s="67" t="str">
        <f>IF($K$20=0," ",K28/$K$20)</f>
        <v xml:space="preserve"> </v>
      </c>
      <c r="M28" s="31">
        <f>SUM(M26:M27)</f>
        <v>26162.519999999997</v>
      </c>
      <c r="N28" s="67">
        <f>+M28/$M$20</f>
        <v>0.12639131184008748</v>
      </c>
      <c r="O28" s="67" t="str">
        <f>IF(K28=0,"",(M28-K28)/ABS(K28)+1)</f>
        <v/>
      </c>
      <c r="P28" s="31">
        <v>11525.75</v>
      </c>
      <c r="Q28" s="67">
        <f>+P28/$P$20</f>
        <v>9.0025151507743109E-2</v>
      </c>
      <c r="R28" s="67">
        <f>IF(P28=0,"",(M28-P28)/ABS(P28))</f>
        <v>1.2699190942021124</v>
      </c>
      <c r="T28" s="3" t="s">
        <v>49</v>
      </c>
      <c r="U28" s="31"/>
      <c r="V28" s="31"/>
      <c r="W28" s="31"/>
      <c r="X28" s="31"/>
      <c r="Y28" s="31"/>
      <c r="Z28" s="62">
        <f>+Y28-X28</f>
        <v>0</v>
      </c>
      <c r="AA28" s="67" t="str">
        <f>IF(X28=0,"",(Y28-X28)/ABS(X28)+1)</f>
        <v/>
      </c>
      <c r="AB28" s="31"/>
      <c r="AC28" s="67" t="str">
        <f>IF(AB28=0,"",(Y28-AB28)/ABS(AB28))</f>
        <v/>
      </c>
      <c r="AD28" s="54"/>
      <c r="AF28" s="66"/>
    </row>
    <row r="29" spans="2:34" x14ac:dyDescent="0.2">
      <c r="AD29" s="54"/>
    </row>
    <row r="30" spans="2:34" x14ac:dyDescent="0.2">
      <c r="B30" s="3" t="s">
        <v>50</v>
      </c>
      <c r="C30" s="31"/>
      <c r="D30" s="67" t="str">
        <f>IF($C$20=0," ",C30/$C$20)</f>
        <v xml:space="preserve"> </v>
      </c>
      <c r="E30" s="31">
        <v>143546.99000000002</v>
      </c>
      <c r="F30" s="67">
        <f>+E30/$E$20</f>
        <v>0.69347648379421867</v>
      </c>
      <c r="G30" s="67" t="str">
        <f>IF(C30=0,"",(E30-C30)/ABS(C30)+1)</f>
        <v/>
      </c>
      <c r="H30" s="31">
        <v>87987</v>
      </c>
      <c r="I30" s="67">
        <f>+H30/$H$20</f>
        <v>0.68724751150352836</v>
      </c>
      <c r="J30" s="67">
        <f>IF(H30=0,"",(E30-H30)/ABS(H30))</f>
        <v>0.63145680611908594</v>
      </c>
      <c r="K30" s="31"/>
      <c r="L30" s="67" t="str">
        <f>IF($K$20=0," ",K30/$K$20)</f>
        <v xml:space="preserve"> </v>
      </c>
      <c r="M30" s="31">
        <v>143546.99000000002</v>
      </c>
      <c r="N30" s="67">
        <f>+M30/$M$20</f>
        <v>0.69347648379421867</v>
      </c>
      <c r="O30" s="67" t="str">
        <f>IF(K30=0,"",(M30-K30)/ABS(K30)+1)</f>
        <v/>
      </c>
      <c r="P30" s="31">
        <v>87987</v>
      </c>
      <c r="Q30" s="67">
        <f>+P30/$P$20</f>
        <v>0.68724751150352836</v>
      </c>
      <c r="R30" s="67">
        <f>IF(P30=0,"",(M30-P30)/ABS(P30))</f>
        <v>0.63145680611908594</v>
      </c>
      <c r="T30" s="3" t="s">
        <v>51</v>
      </c>
      <c r="U30" s="31">
        <f>+U21-U25-U23+U27</f>
        <v>236652</v>
      </c>
      <c r="V30" s="31">
        <f>+V21-V25-V23+V27</f>
        <v>239993</v>
      </c>
      <c r="W30" s="31">
        <v>70030.66</v>
      </c>
      <c r="X30" s="31">
        <f>+X21-X25-X23-X27</f>
        <v>236652</v>
      </c>
      <c r="Y30" s="31">
        <f>+Y21-Y25-Y23+Y27</f>
        <v>239993</v>
      </c>
      <c r="Z30" s="62">
        <f>+Y30-X30</f>
        <v>3341</v>
      </c>
      <c r="AA30" s="67">
        <f>IF(U30=0,"",(V30-U30)/ABS(U30)+1)</f>
        <v>1.0141177763128983</v>
      </c>
      <c r="AB30" s="31">
        <v>70030.66</v>
      </c>
      <c r="AC30" s="67">
        <f>IF(AB30=0,"",(Y30-AB30)/ABS(AB30))</f>
        <v>2.4269704155294267</v>
      </c>
      <c r="AD30" s="54"/>
      <c r="AF30" s="66"/>
    </row>
    <row r="31" spans="2:34" x14ac:dyDescent="0.2">
      <c r="B31" s="3" t="s">
        <v>52</v>
      </c>
      <c r="C31" s="31"/>
      <c r="D31" s="67" t="str">
        <f>IF($C$20=0," ",C31/$C$20)</f>
        <v xml:space="preserve"> </v>
      </c>
      <c r="E31" s="31">
        <v>34262.43</v>
      </c>
      <c r="F31" s="67">
        <f>+E31/$E$20</f>
        <v>0.16552203207218452</v>
      </c>
      <c r="G31" s="67" t="str">
        <f>IF(C31=0,"",(E31-C31)/ABS(C31)+1)</f>
        <v/>
      </c>
      <c r="H31" s="31">
        <v>15146</v>
      </c>
      <c r="I31" s="67">
        <f>+H31/$H$20</f>
        <v>0.1183021447399325</v>
      </c>
      <c r="J31" s="67">
        <f>IF(H31=0,"",(E31-H31)/ABS(H31))</f>
        <v>1.262143800343325</v>
      </c>
      <c r="K31" s="31"/>
      <c r="L31" s="67" t="str">
        <f>IF($K$20=0," ",K31/$K$20)</f>
        <v xml:space="preserve"> </v>
      </c>
      <c r="M31" s="31">
        <v>34262.43</v>
      </c>
      <c r="N31" s="67">
        <f>+M31/$M$20</f>
        <v>0.16552203207218452</v>
      </c>
      <c r="O31" s="67" t="str">
        <f>IF(K31=0,"",(M31-K31)/ABS(K31)+1)</f>
        <v/>
      </c>
      <c r="P31" s="31">
        <v>15146</v>
      </c>
      <c r="Q31" s="67">
        <f>+P31/$P$20</f>
        <v>0.1183021447399325</v>
      </c>
      <c r="R31" s="67">
        <f>IF(P31=0,"",(M31-P31)/ABS(P31))</f>
        <v>1.262143800343325</v>
      </c>
      <c r="T31" s="60"/>
      <c r="U31" s="60"/>
      <c r="V31" s="60" t="s">
        <v>61</v>
      </c>
      <c r="W31" s="60"/>
      <c r="X31" s="31"/>
      <c r="Y31" s="31" t="s">
        <v>61</v>
      </c>
      <c r="Z31" s="60"/>
      <c r="AA31" s="60"/>
      <c r="AB31" s="31"/>
      <c r="AC31" s="60"/>
      <c r="AD31" s="54"/>
    </row>
    <row r="32" spans="2:34" x14ac:dyDescent="0.2">
      <c r="B32" s="3" t="s">
        <v>53</v>
      </c>
      <c r="C32" s="31">
        <f>SUM(C30:C31)</f>
        <v>0</v>
      </c>
      <c r="D32" s="67" t="str">
        <f>IF($C$20=0," ",C32/$C$20)</f>
        <v xml:space="preserve"> </v>
      </c>
      <c r="E32" s="31">
        <f>SUM(E30:E31)</f>
        <v>177809.42</v>
      </c>
      <c r="F32" s="67">
        <f>+E32/$E$20</f>
        <v>0.85899851586640319</v>
      </c>
      <c r="G32" s="67" t="str">
        <f>IF(C32=0,"",(E32-C32)/ABS(C32)+1)</f>
        <v/>
      </c>
      <c r="H32" s="31">
        <v>103133</v>
      </c>
      <c r="I32" s="67">
        <f>+H32/$H$20</f>
        <v>0.80554965624346087</v>
      </c>
      <c r="J32" s="67">
        <f>IF(H32=0,"",(E32-H32)/ABS(H32))</f>
        <v>0.72407881085588521</v>
      </c>
      <c r="K32" s="31">
        <f>+K30+K31</f>
        <v>0</v>
      </c>
      <c r="L32" s="67" t="str">
        <f>IF($K$20=0," ",K32/$K$20)</f>
        <v xml:space="preserve"> </v>
      </c>
      <c r="M32" s="31">
        <f>+M30+M31</f>
        <v>177809.42</v>
      </c>
      <c r="N32" s="67">
        <f>+M32/$M$20</f>
        <v>0.85899851586640319</v>
      </c>
      <c r="O32" s="67" t="str">
        <f>IF(K32=0,"",(M32-K32)/ABS(K32)+1)</f>
        <v/>
      </c>
      <c r="P32" s="31">
        <v>103133</v>
      </c>
      <c r="Q32" s="67">
        <f>+P32/$P$20</f>
        <v>0.80554965624346087</v>
      </c>
      <c r="R32" s="67">
        <f>IF(P32=0,"",(M32-P32)/ABS(P32))</f>
        <v>0.72407881085588521</v>
      </c>
      <c r="AD32" s="54"/>
    </row>
    <row r="33" spans="2:30" x14ac:dyDescent="0.2">
      <c r="Y33" s="54"/>
      <c r="AD33" s="54"/>
    </row>
    <row r="34" spans="2:30" x14ac:dyDescent="0.2">
      <c r="B34" s="3" t="s">
        <v>54</v>
      </c>
      <c r="C34" s="31">
        <f>C28+C32</f>
        <v>0</v>
      </c>
      <c r="D34" s="67" t="str">
        <f>IF($C$20=0," ",C34/$C$20)</f>
        <v xml:space="preserve"> </v>
      </c>
      <c r="E34" s="31">
        <f>E28+E32</f>
        <v>203971.94</v>
      </c>
      <c r="F34" s="67">
        <f>+E34/$E$20</f>
        <v>0.98538982770649064</v>
      </c>
      <c r="G34" s="67" t="str">
        <f>IF(C34=0,"",(E34-C34)/ABS(C34)+1)</f>
        <v/>
      </c>
      <c r="H34" s="31">
        <v>114658.75</v>
      </c>
      <c r="I34" s="67">
        <f>+H34/$H$20</f>
        <v>0.89557480775120402</v>
      </c>
      <c r="J34" s="67">
        <f>IF(H34=0,"",(E34-H34)/ABS(H34))</f>
        <v>0.77894787794215448</v>
      </c>
      <c r="K34" s="31">
        <f>K28+K32</f>
        <v>0</v>
      </c>
      <c r="L34" s="67" t="str">
        <f>IF($K$20=0," ",K34/$K$20)</f>
        <v xml:space="preserve"> </v>
      </c>
      <c r="M34" s="31">
        <f>M28+M32</f>
        <v>203971.94</v>
      </c>
      <c r="N34" s="67">
        <f>+M34/$M$20</f>
        <v>0.98538982770649064</v>
      </c>
      <c r="O34" s="67" t="str">
        <f>IF(K34=0,"",(M34-K34)/ABS(K34)+1)</f>
        <v/>
      </c>
      <c r="P34" s="31">
        <v>114658.75</v>
      </c>
      <c r="Q34" s="67">
        <f>+P34/$P$20</f>
        <v>0.89557480775120402</v>
      </c>
      <c r="R34" s="67">
        <f>IF(P34=0,"",(M34-P34)/ABS(P34))</f>
        <v>0.77894787794215448</v>
      </c>
      <c r="AD34" s="54"/>
    </row>
    <row r="35" spans="2:30" x14ac:dyDescent="0.2">
      <c r="T35" s="62"/>
      <c r="AD35" s="54"/>
    </row>
    <row r="36" spans="2:30" x14ac:dyDescent="0.2">
      <c r="B36" s="3" t="s">
        <v>55</v>
      </c>
      <c r="C36" s="31">
        <f>C24-C34</f>
        <v>0</v>
      </c>
      <c r="D36" s="67" t="str">
        <f>IF($C$20=0," ",C36/$C$20)</f>
        <v xml:space="preserve"> </v>
      </c>
      <c r="E36" s="31">
        <f>E24-E34</f>
        <v>3024.25</v>
      </c>
      <c r="F36" s="67">
        <f>+E36/$E$20</f>
        <v>1.4610172293509364E-2</v>
      </c>
      <c r="G36" s="67" t="str">
        <f>IF(C36=0,"",(E36-C36)/ABS(C36)+1)</f>
        <v/>
      </c>
      <c r="H36" s="31">
        <v>13369.36</v>
      </c>
      <c r="I36" s="67">
        <f>+H36/$H$20</f>
        <v>0.104425192248796</v>
      </c>
      <c r="J36" s="67">
        <f>IF(H36=0,"",(E36-H36)/ABS(H36))</f>
        <v>-0.77379246276560731</v>
      </c>
      <c r="K36" s="31">
        <f>K24-K34</f>
        <v>0</v>
      </c>
      <c r="L36" s="67" t="str">
        <f>IF($K$20=0," ",K36/$K$20)</f>
        <v xml:space="preserve"> </v>
      </c>
      <c r="M36" s="31">
        <f>M24-M34</f>
        <v>3024.25</v>
      </c>
      <c r="N36" s="67">
        <f>+M36/$M$20</f>
        <v>1.4610172293509364E-2</v>
      </c>
      <c r="O36" s="67" t="str">
        <f>IF(K36=0,"",(M36-K36)/ABS(K36)+1)</f>
        <v/>
      </c>
      <c r="P36" s="31">
        <v>13369.36</v>
      </c>
      <c r="Q36" s="67">
        <f>+P36/$P$20</f>
        <v>0.104425192248796</v>
      </c>
      <c r="R36" s="67">
        <f>IF(P36=0,"",(M36-P36)/ABS(P36))</f>
        <v>-0.77379246276560731</v>
      </c>
      <c r="AD36" s="54"/>
    </row>
    <row r="37" spans="2:30" x14ac:dyDescent="0.2">
      <c r="AD37" s="54"/>
    </row>
    <row r="38" spans="2:30" x14ac:dyDescent="0.2">
      <c r="B38" s="3" t="s">
        <v>56</v>
      </c>
      <c r="C38" s="31"/>
      <c r="D38" s="67" t="str">
        <f>IF($C$20=0," ",C38/$C$20)</f>
        <v xml:space="preserve"> </v>
      </c>
      <c r="E38" s="31">
        <v>4382</v>
      </c>
      <c r="F38" s="67">
        <f>+E38/$E$20</f>
        <v>2.1169471766605944E-2</v>
      </c>
      <c r="G38" s="67" t="str">
        <f>IF(C38=0,"",(E38-C38)/ABS(C38)+1)</f>
        <v/>
      </c>
      <c r="H38" s="31">
        <v>70941</v>
      </c>
      <c r="I38" s="67">
        <f>+H38/$H$20</f>
        <v>0.55410487587452473</v>
      </c>
      <c r="J38" s="67">
        <f>IF(H38=0,"",(E38-H38)/ABS(H38))</f>
        <v>-0.9382303604403659</v>
      </c>
      <c r="K38" s="31">
        <f>+S28+C38</f>
        <v>0</v>
      </c>
      <c r="L38" s="67" t="str">
        <f>IF($K$20=0," ",K38/$K$20)</f>
        <v xml:space="preserve"> </v>
      </c>
      <c r="M38" s="31">
        <v>4382</v>
      </c>
      <c r="N38" s="67">
        <f>+M38/$M$20</f>
        <v>2.1169471766605944E-2</v>
      </c>
      <c r="O38" s="67" t="str">
        <f>IF(K38=0,"",(M38-K38)/ABS(K38)+1)</f>
        <v/>
      </c>
      <c r="P38" s="31">
        <v>70941</v>
      </c>
      <c r="Q38" s="67">
        <f>+P38/$P$20</f>
        <v>0.55410487587452473</v>
      </c>
      <c r="R38" s="67">
        <f>IF(P38=0,"",(M38-P38)/ABS(P38))</f>
        <v>-0.9382303604403659</v>
      </c>
      <c r="AD38" s="54"/>
    </row>
    <row r="39" spans="2:30" x14ac:dyDescent="0.2">
      <c r="B39" s="3" t="s">
        <v>57</v>
      </c>
      <c r="C39" s="31"/>
      <c r="D39" s="67" t="str">
        <f>IF($C$20=0," ",C39/$C$20)</f>
        <v xml:space="preserve"> </v>
      </c>
      <c r="E39" s="31">
        <v>4216</v>
      </c>
      <c r="F39" s="67">
        <f>+E39/$E$20</f>
        <v>2.0367524638980068E-2</v>
      </c>
      <c r="G39" s="67" t="str">
        <f>IF(C39=0,"",(E39-C39)/ABS(C39)+1)</f>
        <v/>
      </c>
      <c r="H39" s="31">
        <v>1595</v>
      </c>
      <c r="I39" s="67">
        <f>+H39/$H$20</f>
        <v>1.2458201562141315E-2</v>
      </c>
      <c r="J39" s="67">
        <f>IF(H39=0,"",(E39-H39)/ABS(H39))</f>
        <v>1.6432601880877742</v>
      </c>
      <c r="K39" s="31"/>
      <c r="L39" s="67" t="str">
        <f>IF($K$20=0," ",K39/$K$20)</f>
        <v xml:space="preserve"> </v>
      </c>
      <c r="M39" s="31">
        <v>4216</v>
      </c>
      <c r="N39" s="67">
        <f>+M39/$M$20</f>
        <v>2.0367524638980068E-2</v>
      </c>
      <c r="O39" s="67" t="str">
        <f>IF(K39=0,"",(M39-K39)/ABS(K39)+1)</f>
        <v/>
      </c>
      <c r="P39" s="31">
        <v>1595</v>
      </c>
      <c r="Q39" s="67">
        <f>+P39/$P$20</f>
        <v>1.2458201562141315E-2</v>
      </c>
      <c r="R39" s="67">
        <f>IF(P39=0,"",(M39-P39)/ABS(P39))</f>
        <v>1.6432601880877742</v>
      </c>
    </row>
    <row r="41" spans="2:30" x14ac:dyDescent="0.2">
      <c r="B41" s="3" t="s">
        <v>58</v>
      </c>
      <c r="C41" s="31">
        <f>C36+C38-C39</f>
        <v>0</v>
      </c>
      <c r="D41" s="67" t="str">
        <f>IF($C$20=0," ",C41/$C$20)</f>
        <v xml:space="preserve"> </v>
      </c>
      <c r="E41" s="31">
        <f>E36+E38-E39</f>
        <v>3190.25</v>
      </c>
      <c r="F41" s="67">
        <f>+E41/$E$20</f>
        <v>1.541211942113524E-2</v>
      </c>
      <c r="G41" s="67" t="str">
        <f>IF(C41=0,"",(E41-C41)/ABS(C41)+1)</f>
        <v/>
      </c>
      <c r="H41" s="31">
        <v>82715.360000000001</v>
      </c>
      <c r="I41" s="67">
        <f>+H41/$H$20</f>
        <v>0.64607186656117943</v>
      </c>
      <c r="J41" s="67">
        <f>IF(H41=0,"",(E41-H41)/ABS(H41))</f>
        <v>-0.96143098452330977</v>
      </c>
      <c r="K41" s="31">
        <f>K36+K38-K39</f>
        <v>0</v>
      </c>
      <c r="L41" s="67" t="str">
        <f>IF($K$20=0," ",K41/$K$20)</f>
        <v xml:space="preserve"> </v>
      </c>
      <c r="M41" s="31">
        <f>M36+M38-M39</f>
        <v>3190.25</v>
      </c>
      <c r="N41" s="67">
        <f>+M41/$M$20</f>
        <v>1.541211942113524E-2</v>
      </c>
      <c r="O41" s="67" t="str">
        <f>IF(K41=0,"",(M41-K41)/ABS(K41)+1)</f>
        <v/>
      </c>
      <c r="P41" s="31">
        <v>82715.360000000001</v>
      </c>
      <c r="Q41" s="67">
        <f>+P41/$P$20</f>
        <v>0.64607186656117943</v>
      </c>
      <c r="R41" s="67">
        <f>IF(P41=0,"",(M41-P41)/ABS(P41))</f>
        <v>-0.96143098452330977</v>
      </c>
    </row>
    <row r="42" spans="2:30" x14ac:dyDescent="0.2">
      <c r="B42" s="3" t="s">
        <v>44</v>
      </c>
      <c r="C42" s="31"/>
      <c r="D42" s="67" t="str">
        <f>IF($C$20=0," ",C42/$C$20)</f>
        <v xml:space="preserve"> </v>
      </c>
      <c r="E42" s="31">
        <v>0</v>
      </c>
      <c r="F42" s="67">
        <f>+E42/$E$20</f>
        <v>0</v>
      </c>
      <c r="G42" s="67" t="str">
        <f>IF(C42=0,"",(E42-C42)/ABS(C42)+1)</f>
        <v/>
      </c>
      <c r="H42" s="31"/>
      <c r="I42" s="67">
        <f>+H42/$H$20</f>
        <v>0</v>
      </c>
      <c r="J42" s="67" t="str">
        <f>IF(H42=0,"",(E42-H42)/ABS(H42))</f>
        <v/>
      </c>
      <c r="K42" s="31">
        <f>+S31+C42</f>
        <v>0</v>
      </c>
      <c r="L42" s="67" t="str">
        <f>IF($K$20=0," ",K42/$K$20)</f>
        <v xml:space="preserve"> </v>
      </c>
      <c r="M42" s="31">
        <v>0</v>
      </c>
      <c r="N42" s="67">
        <f>+M42/$M$20</f>
        <v>0</v>
      </c>
      <c r="O42" s="67" t="str">
        <f>IF(K42=0,"",(M42-K42)/ABS(K42)+1)</f>
        <v/>
      </c>
      <c r="P42" s="31"/>
      <c r="Q42" s="67">
        <f>+P42/$P$20</f>
        <v>0</v>
      </c>
      <c r="R42" s="67" t="str">
        <f>IF(P42=0,"",(M42-P42)/ABS(P42))</f>
        <v/>
      </c>
    </row>
    <row r="43" spans="2:30" x14ac:dyDescent="0.2">
      <c r="B43" s="19" t="s">
        <v>59</v>
      </c>
      <c r="C43" s="68">
        <f>C41-C42</f>
        <v>0</v>
      </c>
      <c r="D43" s="71" t="str">
        <f>IF($C$20=0," ",C43/$C$20)</f>
        <v xml:space="preserve"> </v>
      </c>
      <c r="E43" s="68">
        <f>+E41-E42</f>
        <v>3190.25</v>
      </c>
      <c r="F43" s="71">
        <f>+E43/$E$20</f>
        <v>1.541211942113524E-2</v>
      </c>
      <c r="G43" s="71" t="str">
        <f>IF(C43=0,"",(E43-C43)/ABS(C43)+1)</f>
        <v/>
      </c>
      <c r="H43" s="68">
        <v>82715.360000000001</v>
      </c>
      <c r="I43" s="71">
        <f>+H43/$H$20</f>
        <v>0.64607186656117943</v>
      </c>
      <c r="J43" s="71">
        <f>IF(H43=0,"",(E43-H43)/ABS(H43))</f>
        <v>-0.96143098452330977</v>
      </c>
      <c r="K43" s="68">
        <f>+K41-K42</f>
        <v>0</v>
      </c>
      <c r="L43" s="71" t="str">
        <f>IF($K$20=0," ",K43/$K$20)</f>
        <v xml:space="preserve"> </v>
      </c>
      <c r="M43" s="68">
        <f>+M41-M42</f>
        <v>3190.25</v>
      </c>
      <c r="N43" s="71">
        <f>+M43/$M$20</f>
        <v>1.541211942113524E-2</v>
      </c>
      <c r="O43" s="71" t="str">
        <f>IF(K43=0,"",(M43-K43)/ABS(K43)+1)</f>
        <v/>
      </c>
      <c r="P43" s="68">
        <v>82715.360000000001</v>
      </c>
      <c r="Q43" s="71">
        <f>+P43/$P$20</f>
        <v>0.64607186656117943</v>
      </c>
      <c r="R43" s="71">
        <f>IF(P43=0,"",(M43-P43)/ABS(P43))</f>
        <v>-0.96143098452330977</v>
      </c>
    </row>
    <row r="45" spans="2:30" x14ac:dyDescent="0.2">
      <c r="B45" s="3" t="s">
        <v>60</v>
      </c>
      <c r="C45" s="31">
        <f>+C43</f>
        <v>0</v>
      </c>
      <c r="D45" s="67" t="str">
        <f>IF($C$20=0," ",C45/$C$20)</f>
        <v xml:space="preserve"> </v>
      </c>
      <c r="E45" s="31">
        <f>+E43</f>
        <v>3190.25</v>
      </c>
      <c r="F45" s="67">
        <f>+E45/$E$20</f>
        <v>1.541211942113524E-2</v>
      </c>
      <c r="G45" s="67" t="str">
        <f>IF(C45=0,"",(E45-C45)/ABS(C45)+1)</f>
        <v/>
      </c>
      <c r="H45" s="31">
        <v>82715.360000000001</v>
      </c>
      <c r="I45" s="67">
        <f>+H45/$H$20</f>
        <v>0.64607186656117943</v>
      </c>
      <c r="J45" s="67">
        <f>IF(H45=0,"",(E45-H45)/ABS(H45))</f>
        <v>-0.96143098452330977</v>
      </c>
      <c r="K45" s="31">
        <f>+K43</f>
        <v>0</v>
      </c>
      <c r="L45" s="67" t="str">
        <f>IF($K$20=0," ",K45/$K$20)</f>
        <v xml:space="preserve"> </v>
      </c>
      <c r="M45" s="31">
        <f>+M43</f>
        <v>3190.25</v>
      </c>
      <c r="N45" s="67">
        <f>+M45/$M$20</f>
        <v>1.541211942113524E-2</v>
      </c>
      <c r="O45" s="67" t="str">
        <f>IF(K45=0,"",(M45-K45)/ABS(K45)+1)</f>
        <v/>
      </c>
      <c r="P45" s="31">
        <v>82715.360000000001</v>
      </c>
      <c r="Q45" s="67">
        <f>+P45/$P$20</f>
        <v>0.64607186656117943</v>
      </c>
      <c r="R45" s="67">
        <f>IF(P45=0,"",(M45-P45)/ABS(P45))</f>
        <v>-0.96143098452330977</v>
      </c>
    </row>
    <row r="46" spans="2:30" x14ac:dyDescent="0.2">
      <c r="B46" s="3" t="s">
        <v>35</v>
      </c>
      <c r="C46" s="31"/>
      <c r="D46" s="67"/>
      <c r="E46" s="31">
        <v>100600</v>
      </c>
      <c r="F46" s="67">
        <f>+E46/$E$20</f>
        <v>0.48599928336845233</v>
      </c>
      <c r="G46" s="67"/>
      <c r="H46" s="31">
        <v>52281</v>
      </c>
      <c r="I46" s="67">
        <f>+H46/$H$20</f>
        <v>0.40835563377448908</v>
      </c>
      <c r="J46" s="67"/>
      <c r="K46" s="99"/>
      <c r="L46" s="67"/>
      <c r="M46" s="31">
        <v>100600</v>
      </c>
      <c r="N46" s="67">
        <f>+M46/$M$20</f>
        <v>0.48599928336845233</v>
      </c>
      <c r="O46" s="67" t="str">
        <f>IF(K46=0,"",(M46-K46)/ABS(K46)+1)</f>
        <v/>
      </c>
      <c r="P46" s="31">
        <v>52281</v>
      </c>
      <c r="Q46" s="67"/>
      <c r="R46" s="67">
        <f>IF(P46=0,"",(M46-P46)/ABS(P46))</f>
        <v>0.92421721084141462</v>
      </c>
    </row>
    <row r="47" spans="2:30" x14ac:dyDescent="0.2"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31"/>
      <c r="N47" s="60"/>
      <c r="O47" s="60"/>
      <c r="P47" s="60"/>
      <c r="Q47" s="60"/>
      <c r="R47" s="60"/>
    </row>
    <row r="48" spans="2:30" x14ac:dyDescent="0.2">
      <c r="H48" s="66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95775-EFB3-4F62-87D1-D582D1E2B368}">
  <sheetPr>
    <tabColor theme="2" tint="-0.249977111117893"/>
  </sheetPr>
  <dimension ref="A1:AY82"/>
  <sheetViews>
    <sheetView showGridLines="0" zoomScaleNormal="100" workbookViewId="0">
      <selection activeCell="C10" sqref="C10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50" customFormat="1" ht="18.75" customHeight="1" x14ac:dyDescent="0.2">
      <c r="B1" s="49"/>
    </row>
    <row r="2" spans="1:35" ht="18.75" customHeight="1" x14ac:dyDescent="0.2">
      <c r="A2" s="50"/>
      <c r="Y2" s="53"/>
      <c r="Z2" s="53"/>
      <c r="AA2" s="53"/>
      <c r="AB2" s="53"/>
    </row>
    <row r="3" spans="1:35" ht="18" x14ac:dyDescent="0.25">
      <c r="B3" s="15" t="s">
        <v>128</v>
      </c>
      <c r="S3" s="53"/>
      <c r="T3" s="17" t="s">
        <v>128</v>
      </c>
      <c r="AF3" s="2" t="str">
        <f>+B6</f>
        <v>ENERO de 2024</v>
      </c>
      <c r="AG3" s="2" t="s">
        <v>131</v>
      </c>
      <c r="AH3" s="100">
        <f>_xlfn.XLOOKUP(Paramet!E3,'VENEZUELA USD'!AL69:AL80,'VENEZUELA USD'!AM69:AM80,0,0)</f>
        <v>38.53</v>
      </c>
      <c r="AI3" s="2" t="s">
        <v>132</v>
      </c>
    </row>
    <row r="4" spans="1:35" x14ac:dyDescent="0.2">
      <c r="B4" s="2" t="s">
        <v>86</v>
      </c>
      <c r="S4" s="53"/>
      <c r="T4" s="3" t="s">
        <v>21</v>
      </c>
      <c r="AG4" s="2" t="s">
        <v>133</v>
      </c>
      <c r="AH4" s="100">
        <f>+AM52</f>
        <v>23.11</v>
      </c>
    </row>
    <row r="5" spans="1:35" ht="13.5" thickBot="1" x14ac:dyDescent="0.25">
      <c r="B5" s="3" t="s">
        <v>134</v>
      </c>
      <c r="S5" s="53"/>
      <c r="T5" s="3" t="s">
        <v>135</v>
      </c>
      <c r="X5" s="20" t="s">
        <v>23</v>
      </c>
      <c r="Y5" s="20"/>
      <c r="Z5" s="20"/>
      <c r="AA5" s="20"/>
      <c r="AB5" s="20"/>
      <c r="AC5" s="20"/>
    </row>
    <row r="6" spans="1:35" ht="13.5" thickBot="1" x14ac:dyDescent="0.25">
      <c r="B6" s="19" t="str">
        <f>+'VZLA BFS'!B6</f>
        <v>ENERO de 2024</v>
      </c>
      <c r="C6" s="90"/>
      <c r="K6" s="98" t="s">
        <v>23</v>
      </c>
      <c r="L6" s="98"/>
      <c r="M6" s="98"/>
      <c r="N6" s="98"/>
      <c r="O6" s="98"/>
      <c r="P6" s="98"/>
      <c r="Q6" s="98"/>
      <c r="R6" s="98"/>
      <c r="T6" s="19" t="str">
        <f>+B6</f>
        <v>ENERO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0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0"/>
      <c r="R7" s="50" t="s">
        <v>25</v>
      </c>
      <c r="S7" s="50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53" t="str">
        <f>+U7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  <c r="AD7" s="53"/>
      <c r="AE7" s="53"/>
      <c r="AH7" s="2">
        <v>2819322440</v>
      </c>
      <c r="AI7" s="101">
        <f>1/AH4</f>
        <v>4.3271311120726956E-2</v>
      </c>
    </row>
    <row r="8" spans="1:35" ht="13.5" thickBot="1" x14ac:dyDescent="0.25">
      <c r="B8" s="28"/>
      <c r="C8" s="29" t="s">
        <v>28</v>
      </c>
      <c r="D8" s="29" t="s">
        <v>29</v>
      </c>
      <c r="E8" s="29" t="s">
        <v>28</v>
      </c>
      <c r="F8" s="29" t="s">
        <v>29</v>
      </c>
      <c r="G8" s="29" t="s">
        <v>30</v>
      </c>
      <c r="H8" s="29" t="s">
        <v>28</v>
      </c>
      <c r="I8" s="29" t="s">
        <v>29</v>
      </c>
      <c r="J8" s="29" t="s">
        <v>30</v>
      </c>
      <c r="K8" s="29" t="s">
        <v>28</v>
      </c>
      <c r="L8" s="29" t="s">
        <v>29</v>
      </c>
      <c r="M8" s="29" t="s">
        <v>28</v>
      </c>
      <c r="N8" s="29" t="s">
        <v>29</v>
      </c>
      <c r="O8" s="29" t="s">
        <v>30</v>
      </c>
      <c r="P8" s="29" t="s">
        <v>28</v>
      </c>
      <c r="Q8" s="29" t="s">
        <v>29</v>
      </c>
      <c r="R8" s="29" t="s">
        <v>30</v>
      </c>
      <c r="S8" s="53"/>
      <c r="T8" s="28"/>
      <c r="U8" s="29"/>
      <c r="V8" s="29"/>
      <c r="W8" s="29"/>
      <c r="X8" s="28"/>
      <c r="Y8" s="28"/>
      <c r="Z8" s="29"/>
      <c r="AA8" s="29" t="s">
        <v>30</v>
      </c>
      <c r="AB8" s="28"/>
      <c r="AC8" s="29" t="s">
        <v>30</v>
      </c>
      <c r="AD8" s="53"/>
      <c r="AE8" s="53"/>
      <c r="AI8" s="102">
        <f>+AI7*AH7</f>
        <v>121995778.45088705</v>
      </c>
    </row>
    <row r="9" spans="1:35" x14ac:dyDescent="0.2">
      <c r="S9" s="67"/>
      <c r="AD9" s="67"/>
      <c r="AE9" s="67"/>
      <c r="AH9" s="2">
        <f>+AH7/AH4</f>
        <v>121995778.45088707</v>
      </c>
    </row>
    <row r="10" spans="1:35" x14ac:dyDescent="0.2">
      <c r="B10" s="3" t="s">
        <v>65</v>
      </c>
      <c r="C10" s="31">
        <f>'VZLA BFS'!C10/'VENEZUELA USD'!$AH$3</f>
        <v>0</v>
      </c>
      <c r="D10" s="33" t="str">
        <f t="shared" ref="D10:D20" si="0">IF(DD19&lt;=0," ",C10/$C$20)</f>
        <v xml:space="preserve"> </v>
      </c>
      <c r="E10" s="31">
        <f>'VZLA BFS'!E10/'VENEZUELA USD'!$AH$3</f>
        <v>2566.3638723072931</v>
      </c>
      <c r="F10" s="33">
        <f t="shared" ref="F10:F20" si="1">+E10/$E$20</f>
        <v>0.4776996136982038</v>
      </c>
      <c r="G10" s="33" t="str">
        <f>IF(C10=0,"",(E10-C10)/ABS(C10)+1)</f>
        <v/>
      </c>
      <c r="H10" s="62">
        <f>+'VZLA BFS'!H10/'VENEZUELA USD'!$AH$4</f>
        <v>2807.8753786239722</v>
      </c>
      <c r="I10" s="33">
        <f t="shared" ref="I10:I20" si="2">IF($H$20&lt;=0," ",H10/$H$20)</f>
        <v>0.50684181778517234</v>
      </c>
      <c r="J10" s="33">
        <f>IF(E10=0,"",(E10-H10)/ABS(H10))</f>
        <v>-8.6012188487878768E-2</v>
      </c>
      <c r="K10" s="31">
        <f>'VZLA BFS'!K10/'VENEZUELA USD'!$AH$3</f>
        <v>0</v>
      </c>
      <c r="L10" s="33" t="str">
        <f t="shared" ref="L10:L22" si="3">IF($K$20&lt;=0," ",K10/$K$20)</f>
        <v xml:space="preserve"> </v>
      </c>
      <c r="M10" s="31">
        <f>'VZLA BFS'!M10/'VENEZUELA USD'!$AH$3</f>
        <v>2566.3638723072931</v>
      </c>
      <c r="N10" s="33">
        <f t="shared" ref="N10:N15" si="4">+M10/$M$20</f>
        <v>0.4776996136982038</v>
      </c>
      <c r="O10" s="33" t="str">
        <f>IF(K10=0,"",(M10-K10)/ABS(K10)+1)</f>
        <v/>
      </c>
      <c r="P10" s="62">
        <f>+'VZLA BFS'!P10/'VENEZUELA USD'!$AH$4</f>
        <v>2807.8753786239722</v>
      </c>
      <c r="Q10" s="33">
        <f t="shared" ref="Q10:Q22" si="5">IF($P$20&lt;=0," ",P10/$P$20)</f>
        <v>0.50684181778517234</v>
      </c>
      <c r="R10" s="33">
        <f>IF(M10=0,"",(M10-P10)/ABS(P10))</f>
        <v>-8.6012188487878768E-2</v>
      </c>
      <c r="S10" s="67"/>
      <c r="T10" s="3" t="s">
        <v>31</v>
      </c>
      <c r="U10" s="31">
        <f>+'VZLA BFS'!U10/'VENEZUELA USD'!$AH$3</f>
        <v>6142.0192058136518</v>
      </c>
      <c r="V10" s="31">
        <f>+'VZLA BFS'!V10/'VENEZUELA USD'!$AH$3</f>
        <v>6591.7207370879833</v>
      </c>
      <c r="W10" s="31">
        <f>+'VZLA BFS'!W10/'VENEZUELA USD'!$AH$3</f>
        <v>960.96548144303142</v>
      </c>
      <c r="X10" s="31">
        <f>+'VZLA BFS'!X10/'VENEZUELA USD'!$AH$3</f>
        <v>6142.0192058136518</v>
      </c>
      <c r="Y10" s="31">
        <f>+'VZLA BFS'!Y10/'VENEZUELA USD'!$AH$3</f>
        <v>6591.7207370879833</v>
      </c>
      <c r="Z10" s="62">
        <f>+Y10-X10</f>
        <v>449.7015312743315</v>
      </c>
      <c r="AA10" s="67">
        <f>IF(X10=0,"",(Y10-X10)/ABS(X10)+1)</f>
        <v>1.073217213461116</v>
      </c>
      <c r="AB10" s="31">
        <f>+'VZLA BFS'!AB10/'VENEZUELA USD'!$AH$3</f>
        <v>960.96548144303142</v>
      </c>
      <c r="AC10" s="67">
        <f>IF(W10=0,"",(Y10-AB10)/ABS(AB10))</f>
        <v>5.8594771241830061</v>
      </c>
      <c r="AD10" s="67"/>
      <c r="AE10" s="67"/>
    </row>
    <row r="11" spans="1:35" x14ac:dyDescent="0.2">
      <c r="B11" s="3" t="s">
        <v>67</v>
      </c>
      <c r="C11" s="31">
        <f>'VZLA BFS'!C11/'VENEZUELA USD'!$AH$3</f>
        <v>0</v>
      </c>
      <c r="D11" s="33" t="str">
        <f t="shared" si="0"/>
        <v xml:space="preserve"> </v>
      </c>
      <c r="E11" s="31">
        <f>'VZLA BFS'!E11/'VENEZUELA USD'!$AH$3</f>
        <v>637.06228912535676</v>
      </c>
      <c r="F11" s="33">
        <f t="shared" si="1"/>
        <v>0.1185819410492531</v>
      </c>
      <c r="G11" s="33" t="str">
        <f t="shared" ref="G11:G22" si="6">IF(C11=0,"",(E11-C11)/ABS(C11)+1)</f>
        <v/>
      </c>
      <c r="H11" s="62">
        <f>+'VZLA BFS'!H11/'VENEZUELA USD'!$AH$4</f>
        <v>608.4015577672003</v>
      </c>
      <c r="I11" s="33">
        <f t="shared" si="2"/>
        <v>0.10982088230467511</v>
      </c>
      <c r="J11" s="33">
        <f t="shared" ref="J11:J20" si="7">IF(E11=0,"",(E11-H11)/ABS(H11))</f>
        <v>4.7108247821290493E-2</v>
      </c>
      <c r="K11" s="31">
        <f>'VZLA BFS'!K11/'VENEZUELA USD'!$AH$3</f>
        <v>0</v>
      </c>
      <c r="L11" s="33" t="str">
        <f t="shared" si="3"/>
        <v xml:space="preserve"> </v>
      </c>
      <c r="M11" s="31">
        <f>'VZLA BFS'!M11/'VENEZUELA USD'!$AH$3</f>
        <v>637.06228912535676</v>
      </c>
      <c r="N11" s="33">
        <f t="shared" si="4"/>
        <v>0.1185819410492531</v>
      </c>
      <c r="O11" s="33" t="str">
        <f t="shared" ref="O11:O22" si="8">IF(K11=0,"",(M11-K11)/ABS(K11)+1)</f>
        <v/>
      </c>
      <c r="P11" s="62">
        <f>+'VZLA BFS'!P11/'VENEZUELA USD'!$AH$4</f>
        <v>608.4015577672003</v>
      </c>
      <c r="Q11" s="33">
        <f t="shared" si="5"/>
        <v>0.10982088230467511</v>
      </c>
      <c r="R11" s="33">
        <f t="shared" ref="R11:R22" si="9">IF(M11=0,"",(M11-P11)/ABS(P11))</f>
        <v>4.7108247821290493E-2</v>
      </c>
      <c r="S11" s="67"/>
      <c r="T11" s="3" t="s">
        <v>32</v>
      </c>
      <c r="U11" s="31">
        <f>+'VZLA BFS'!U11/'VENEZUELA USD'!$AH$3</f>
        <v>0</v>
      </c>
      <c r="V11" s="31">
        <f>+'VZLA BFS'!V11/'VENEZUELA USD'!$AH$3</f>
        <v>5381.1056319750842</v>
      </c>
      <c r="W11" s="31">
        <f>+'VZLA BFS'!W11/'VENEZUELA USD'!$AH$3</f>
        <v>3432.5979756034258</v>
      </c>
      <c r="X11" s="31">
        <f>+'VZLA BFS'!X11/'VENEZUELA USD'!$AH$3</f>
        <v>0</v>
      </c>
      <c r="Y11" s="31">
        <f>+'VZLA BFS'!Y11/'VENEZUELA USD'!$AH$3</f>
        <v>5381.1056319750842</v>
      </c>
      <c r="Z11" s="62">
        <f>+Y11-X11</f>
        <v>5381.1056319750842</v>
      </c>
      <c r="AA11" s="67" t="str">
        <f>IF(X11=0,"",(Y11-X11)/ABS(X11)+1)</f>
        <v/>
      </c>
      <c r="AB11" s="31">
        <f>+'VZLA BFS'!AB11/'VENEZUELA USD'!$AH$3</f>
        <v>3432.5979756034258</v>
      </c>
      <c r="AC11" s="67">
        <f>IF(AB11=0,"",(Y11-AB11)/ABS(AB11))</f>
        <v>0.56764808177955206</v>
      </c>
      <c r="AD11" s="67"/>
      <c r="AE11" s="67"/>
    </row>
    <row r="12" spans="1:35" x14ac:dyDescent="0.2">
      <c r="B12" s="3" t="s">
        <v>69</v>
      </c>
      <c r="C12" s="31">
        <f>'VZLA BFS'!C12/'VENEZUELA USD'!$AH$3</f>
        <v>0</v>
      </c>
      <c r="D12" s="33" t="str">
        <f t="shared" si="0"/>
        <v xml:space="preserve"> </v>
      </c>
      <c r="E12" s="31">
        <f>'VZLA BFS'!E12/'VENEZUELA USD'!$AH$3</f>
        <v>793.30391902413703</v>
      </c>
      <c r="F12" s="33">
        <f t="shared" si="1"/>
        <v>0.1476645536326055</v>
      </c>
      <c r="G12" s="33" t="str">
        <f t="shared" si="6"/>
        <v/>
      </c>
      <c r="H12" s="62">
        <f>+'VZLA BFS'!H12/'VENEZUELA USD'!$AH$4</f>
        <v>1379.586758978797</v>
      </c>
      <c r="I12" s="33">
        <f t="shared" si="2"/>
        <v>0.24902538981478364</v>
      </c>
      <c r="J12" s="33">
        <f t="shared" si="7"/>
        <v>-0.42496989488985853</v>
      </c>
      <c r="K12" s="31">
        <f>'VZLA BFS'!K12/'VENEZUELA USD'!$AH$3</f>
        <v>0</v>
      </c>
      <c r="L12" s="33" t="str">
        <f t="shared" si="3"/>
        <v xml:space="preserve"> </v>
      </c>
      <c r="M12" s="31">
        <f>'VZLA BFS'!M12/'VENEZUELA USD'!$AH$3</f>
        <v>793.30391902413703</v>
      </c>
      <c r="N12" s="33">
        <f t="shared" si="4"/>
        <v>0.1476645536326055</v>
      </c>
      <c r="O12" s="33" t="str">
        <f t="shared" si="8"/>
        <v/>
      </c>
      <c r="P12" s="62">
        <f>+'VZLA BFS'!P12/'VENEZUELA USD'!$AH$4</f>
        <v>1379.586758978797</v>
      </c>
      <c r="Q12" s="33">
        <f t="shared" si="5"/>
        <v>0.24902538981478364</v>
      </c>
      <c r="R12" s="33">
        <f t="shared" si="9"/>
        <v>-0.42496989488985853</v>
      </c>
      <c r="S12" s="67"/>
      <c r="U12" s="31">
        <f>+'VZLA BFS'!U12/'VENEZUELA USD'!$AH$3</f>
        <v>0</v>
      </c>
      <c r="AD12" s="67"/>
      <c r="AE12" s="67"/>
    </row>
    <row r="13" spans="1:35" x14ac:dyDescent="0.2">
      <c r="B13" s="3" t="s">
        <v>71</v>
      </c>
      <c r="C13" s="31">
        <f>'VZLA BFS'!C13/'VENEZUELA USD'!$AH$3</f>
        <v>0</v>
      </c>
      <c r="D13" s="33" t="str">
        <f t="shared" si="0"/>
        <v xml:space="preserve"> </v>
      </c>
      <c r="E13" s="31">
        <f>'VZLA BFS'!E13/'VENEZUELA USD'!$AH$3</f>
        <v>424.84246042045157</v>
      </c>
      <c r="F13" s="33">
        <f t="shared" si="1"/>
        <v>7.9079619774644158E-2</v>
      </c>
      <c r="G13" s="33" t="str">
        <f t="shared" si="6"/>
        <v/>
      </c>
      <c r="H13" s="62">
        <f>+'VZLA BFS'!H13/'VENEZUELA USD'!$AH$4</f>
        <v>10.764171354392039</v>
      </c>
      <c r="I13" s="33">
        <f t="shared" si="2"/>
        <v>1.9430107966133376E-3</v>
      </c>
      <c r="J13" s="33">
        <f t="shared" si="7"/>
        <v>38.468199309843364</v>
      </c>
      <c r="K13" s="31">
        <f>'VZLA BFS'!K13/'VENEZUELA USD'!$AH$3</f>
        <v>0</v>
      </c>
      <c r="L13" s="33" t="str">
        <f t="shared" si="3"/>
        <v xml:space="preserve"> </v>
      </c>
      <c r="M13" s="31">
        <f>'VZLA BFS'!M13/'VENEZUELA USD'!$AH$3</f>
        <v>424.84246042045157</v>
      </c>
      <c r="N13" s="33">
        <f t="shared" si="4"/>
        <v>7.9079619774644158E-2</v>
      </c>
      <c r="O13" s="33" t="str">
        <f t="shared" si="8"/>
        <v/>
      </c>
      <c r="P13" s="62">
        <f>+'VZLA BFS'!P13/'VENEZUELA USD'!$AH$4</f>
        <v>10.764171354392039</v>
      </c>
      <c r="Q13" s="33">
        <f t="shared" si="5"/>
        <v>1.9430107966133376E-3</v>
      </c>
      <c r="R13" s="33">
        <f t="shared" si="9"/>
        <v>38.468199309843364</v>
      </c>
      <c r="S13" s="67"/>
      <c r="T13" s="3" t="s">
        <v>33</v>
      </c>
      <c r="U13" s="31">
        <f>+'VZLA BFS'!U13/'VENEZUELA USD'!$AH$3</f>
        <v>0</v>
      </c>
      <c r="V13" s="31">
        <f>+'VZLA BFS'!V13/'VENEZUELA USD'!$AH$3</f>
        <v>0</v>
      </c>
      <c r="W13" s="31">
        <f>+'VZLA BFS'!W13/'VENEZUELA USD'!$AH$3</f>
        <v>0</v>
      </c>
      <c r="X13" s="31">
        <f>+'VZLA BFS'!X13/'VENEZUELA USD'!$AH$3</f>
        <v>0</v>
      </c>
      <c r="Y13" s="31">
        <f>+'VZLA BFS'!Y13/'VENEZUELA USD'!$AH$3</f>
        <v>0</v>
      </c>
      <c r="Z13" s="62">
        <f>+X13-Y13</f>
        <v>0</v>
      </c>
      <c r="AA13" s="67" t="str">
        <f>IF(X13=0,"",(Y13-X13)/ABS(X13)+1)</f>
        <v/>
      </c>
      <c r="AB13" s="31">
        <f>+'VZLA BFS'!AB13/'VENEZUELA USD'!$AH$3</f>
        <v>0</v>
      </c>
      <c r="AC13" s="67" t="str">
        <f>IF(AB13=0,"",(Y13-AB13)/ABS(AB13))</f>
        <v/>
      </c>
      <c r="AD13" s="67"/>
      <c r="AE13" s="67"/>
    </row>
    <row r="14" spans="1:35" x14ac:dyDescent="0.2">
      <c r="B14" s="3" t="s">
        <v>72</v>
      </c>
      <c r="C14" s="31">
        <f>'VZLA BFS'!C14/'VENEZUELA USD'!$AH$3</f>
        <v>0</v>
      </c>
      <c r="D14" s="33" t="str">
        <f t="shared" si="0"/>
        <v xml:space="preserve"> </v>
      </c>
      <c r="E14" s="31">
        <f>'VZLA BFS'!E14/'VENEZUELA USD'!$AH$3</f>
        <v>0</v>
      </c>
      <c r="F14" s="33">
        <f t="shared" si="1"/>
        <v>0</v>
      </c>
      <c r="G14" s="33" t="str">
        <f t="shared" si="6"/>
        <v/>
      </c>
      <c r="H14" s="62">
        <f>+'VZLA BFS'!H14/'VENEZUELA USD'!$AH$4</f>
        <v>0</v>
      </c>
      <c r="I14" s="33">
        <f t="shared" si="2"/>
        <v>0</v>
      </c>
      <c r="J14" s="33" t="str">
        <f t="shared" si="7"/>
        <v/>
      </c>
      <c r="K14" s="31">
        <f>'VZLA BFS'!K14/'VENEZUELA USD'!$AH$3</f>
        <v>0</v>
      </c>
      <c r="L14" s="33" t="str">
        <f t="shared" si="3"/>
        <v xml:space="preserve"> </v>
      </c>
      <c r="M14" s="31">
        <f>'VZLA BFS'!M14/'VENEZUELA USD'!$AH$3</f>
        <v>0</v>
      </c>
      <c r="N14" s="33">
        <f t="shared" si="4"/>
        <v>0</v>
      </c>
      <c r="O14" s="33" t="str">
        <f t="shared" si="8"/>
        <v/>
      </c>
      <c r="P14" s="62">
        <f>+'VZLA BFS'!P14/'VENEZUELA USD'!$AH$4</f>
        <v>0</v>
      </c>
      <c r="Q14" s="33">
        <f t="shared" si="5"/>
        <v>0</v>
      </c>
      <c r="R14" s="33" t="str">
        <f t="shared" si="9"/>
        <v/>
      </c>
      <c r="S14" s="67"/>
      <c r="T14" s="3" t="s">
        <v>34</v>
      </c>
      <c r="U14" s="31">
        <f>+'VZLA BFS'!U14/'VENEZUELA USD'!$AH$3</f>
        <v>0</v>
      </c>
      <c r="V14" s="31">
        <f>+'VZLA BFS'!V14/'VENEZUELA USD'!$AH$3</f>
        <v>0</v>
      </c>
      <c r="W14" s="31">
        <f>+'VZLA BFS'!W14/'VENEZUELA USD'!$AH$3</f>
        <v>0</v>
      </c>
      <c r="X14" s="31">
        <f>+'VZLA BFS'!X14/'VENEZUELA USD'!$AH$3</f>
        <v>0</v>
      </c>
      <c r="Y14" s="31">
        <f>+'VZLA BFS'!Y14/'VENEZUELA USD'!$AH$3</f>
        <v>0</v>
      </c>
      <c r="Z14" s="62">
        <f>+X14-Y14</f>
        <v>0</v>
      </c>
      <c r="AA14" s="67" t="str">
        <f>IF(X14=0,"",(Y14-X14)/ABS(X14)+1)</f>
        <v/>
      </c>
      <c r="AB14" s="31">
        <f>+'VZLA BFS'!AB14/'VENEZUELA USD'!$AH$3</f>
        <v>0</v>
      </c>
      <c r="AC14" s="67" t="str">
        <f>IF(AB14=0,"",(Y14-AB14)/ABS(AB14))</f>
        <v/>
      </c>
      <c r="AD14" s="67"/>
      <c r="AE14" s="67"/>
    </row>
    <row r="15" spans="1:35" x14ac:dyDescent="0.2">
      <c r="B15" s="3" t="s">
        <v>74</v>
      </c>
      <c r="C15" s="31">
        <f>'VZLA BFS'!C15/'VENEZUELA USD'!$AH$3</f>
        <v>0</v>
      </c>
      <c r="D15" s="33" t="str">
        <f t="shared" si="0"/>
        <v xml:space="preserve"> </v>
      </c>
      <c r="E15" s="31">
        <f>'VZLA BFS'!E15/'VENEZUELA USD'!$AH$3</f>
        <v>950.76563716584474</v>
      </c>
      <c r="F15" s="33">
        <f t="shared" si="1"/>
        <v>0.17697427184529335</v>
      </c>
      <c r="G15" s="33" t="str">
        <f t="shared" si="6"/>
        <v/>
      </c>
      <c r="H15" s="62">
        <f>+'VZLA BFS'!H15/'VENEZUELA USD'!$AH$4</f>
        <v>733.31631328429251</v>
      </c>
      <c r="I15" s="33">
        <f t="shared" si="2"/>
        <v>0.13236889929875556</v>
      </c>
      <c r="J15" s="33">
        <f t="shared" si="7"/>
        <v>0.29652868747412053</v>
      </c>
      <c r="K15" s="31">
        <f>'VZLA BFS'!K15/'VENEZUELA USD'!$AH$3</f>
        <v>0</v>
      </c>
      <c r="L15" s="33" t="str">
        <f t="shared" si="3"/>
        <v xml:space="preserve"> </v>
      </c>
      <c r="M15" s="31">
        <f>'VZLA BFS'!M15/'VENEZUELA USD'!$AH$3</f>
        <v>950.76563716584474</v>
      </c>
      <c r="N15" s="33">
        <f t="shared" si="4"/>
        <v>0.17697427184529335</v>
      </c>
      <c r="O15" s="33" t="str">
        <f t="shared" si="8"/>
        <v/>
      </c>
      <c r="P15" s="62">
        <f>+'VZLA BFS'!P15/'VENEZUELA USD'!$AH$4</f>
        <v>733.31631328429251</v>
      </c>
      <c r="Q15" s="33">
        <f t="shared" si="5"/>
        <v>0.13236889929875556</v>
      </c>
      <c r="R15" s="33">
        <f t="shared" si="9"/>
        <v>0.29652868747412053</v>
      </c>
      <c r="S15" s="67"/>
      <c r="T15" s="3" t="s">
        <v>35</v>
      </c>
      <c r="U15" s="31">
        <f>+'VZLA BFS'!U15/'VENEZUELA USD'!$AH$3</f>
        <v>0</v>
      </c>
      <c r="V15" s="31">
        <f>+'VZLA BFS'!V15/'VENEZUELA USD'!$AH$3</f>
        <v>2398.935894108487</v>
      </c>
      <c r="W15" s="31">
        <f>+'VZLA BFS'!W15/'VENEZUELA USD'!$AH$3</f>
        <v>891.90760446405386</v>
      </c>
      <c r="X15" s="31">
        <f>+'VZLA BFS'!X15/'VENEZUELA USD'!$AH$3</f>
        <v>0</v>
      </c>
      <c r="Y15" s="31">
        <f>+'VZLA BFS'!Y15/'VENEZUELA USD'!$AH$3</f>
        <v>2398.935894108487</v>
      </c>
      <c r="Z15" s="62">
        <f>+X15-Y15</f>
        <v>-2398.935894108487</v>
      </c>
      <c r="AA15" s="67" t="str">
        <f>IF(X15=0,"",(Y15-X15)/ABS(X15)+1)</f>
        <v/>
      </c>
      <c r="AB15" s="31">
        <f>+'VZLA BFS'!AB15/'VENEZUELA USD'!$AH$3</f>
        <v>891.90760446405386</v>
      </c>
      <c r="AC15" s="67">
        <f>IF(AB15=0,"",(Y15-AB15)/ABS(AB15))</f>
        <v>1.68966861825335</v>
      </c>
      <c r="AD15" s="67"/>
      <c r="AE15" s="67"/>
      <c r="AG15" s="54"/>
    </row>
    <row r="16" spans="1:35" x14ac:dyDescent="0.2">
      <c r="B16" s="3" t="s">
        <v>75</v>
      </c>
      <c r="C16" s="31">
        <f>'VZLA BFS'!C16/'VENEZUELA USD'!$AH$3</f>
        <v>0</v>
      </c>
      <c r="D16" s="33" t="str">
        <f t="shared" si="0"/>
        <v xml:space="preserve"> </v>
      </c>
      <c r="E16" s="31">
        <f>'VZLA BFS'!E16/'VENEZUELA USD'!$AH$3</f>
        <v>0</v>
      </c>
      <c r="F16" s="33">
        <f t="shared" si="1"/>
        <v>0</v>
      </c>
      <c r="G16" s="33" t="str">
        <f t="shared" si="6"/>
        <v/>
      </c>
      <c r="H16" s="62">
        <f>+'VZLA BFS'!H16/'VENEZUELA USD'!$AH$4</f>
        <v>0</v>
      </c>
      <c r="I16" s="33">
        <f t="shared" si="2"/>
        <v>0</v>
      </c>
      <c r="J16" s="33" t="str">
        <f t="shared" si="7"/>
        <v/>
      </c>
      <c r="K16" s="31">
        <f>'VZLA BFS'!K16/'VENEZUELA USD'!$AH$3</f>
        <v>0</v>
      </c>
      <c r="L16" s="33" t="str">
        <f t="shared" si="3"/>
        <v xml:space="preserve"> </v>
      </c>
      <c r="M16" s="31">
        <f>'VZLA BFS'!M16/'VENEZUELA USD'!$AH$3</f>
        <v>0</v>
      </c>
      <c r="N16" s="33"/>
      <c r="O16" s="33" t="str">
        <f t="shared" si="8"/>
        <v/>
      </c>
      <c r="P16" s="62">
        <f>+'VZLA BFS'!P16/'VENEZUELA USD'!$AH$4</f>
        <v>0</v>
      </c>
      <c r="Q16" s="33">
        <f t="shared" si="5"/>
        <v>0</v>
      </c>
      <c r="R16" s="33" t="str">
        <f t="shared" si="9"/>
        <v/>
      </c>
      <c r="S16" s="67"/>
      <c r="T16" s="3" t="s">
        <v>36</v>
      </c>
      <c r="U16" s="31">
        <f>+'VZLA BFS'!U16/'VENEZUELA USD'!$AH$3</f>
        <v>0</v>
      </c>
      <c r="V16" s="31">
        <f>+'VZLA BFS'!V16/'VENEZUELA USD'!$AH$3</f>
        <v>3082.7147677134699</v>
      </c>
      <c r="W16" s="31">
        <f>+'VZLA BFS'!W16/'VENEZUELA USD'!$AH$3</f>
        <v>1350.9005969374512</v>
      </c>
      <c r="X16" s="31">
        <f>+'VZLA BFS'!X16/'VENEZUELA USD'!$AH$3</f>
        <v>0</v>
      </c>
      <c r="Y16" s="31">
        <f>+'VZLA BFS'!Y16/'VENEZUELA USD'!$AH$3</f>
        <v>3082.7147677134699</v>
      </c>
      <c r="Z16" s="62">
        <f>+X16-Y16</f>
        <v>-3082.7147677134699</v>
      </c>
      <c r="AA16" s="67" t="str">
        <f>IF(X16=0,"",(Y16-X16)/ABS(X16)+1)</f>
        <v/>
      </c>
      <c r="AB16" s="31">
        <f>+'VZLA BFS'!AB16/'VENEZUELA USD'!$AH$3</f>
        <v>1350.9005969374512</v>
      </c>
      <c r="AC16" s="67">
        <f>IF(AB16=0,"",(Y16-AB16)/ABS(AB16))</f>
        <v>1.2819700980976059</v>
      </c>
      <c r="AD16" s="67"/>
      <c r="AE16" s="67"/>
    </row>
    <row r="17" spans="2:33" x14ac:dyDescent="0.2">
      <c r="B17" s="3" t="s">
        <v>76</v>
      </c>
      <c r="C17" s="31">
        <f>'VZLA BFS'!C17/'VENEZUELA USD'!$AH$3</f>
        <v>0</v>
      </c>
      <c r="D17" s="33" t="str">
        <f t="shared" si="0"/>
        <v xml:space="preserve"> </v>
      </c>
      <c r="E17" s="31">
        <f>'VZLA BFS'!E17/'VENEZUELA USD'!$AH$3</f>
        <v>0</v>
      </c>
      <c r="F17" s="33">
        <f t="shared" si="1"/>
        <v>0</v>
      </c>
      <c r="G17" s="33" t="str">
        <f t="shared" si="6"/>
        <v/>
      </c>
      <c r="H17" s="62">
        <f>+'VZLA BFS'!H17/'VENEZUELA USD'!$AH$4</f>
        <v>0</v>
      </c>
      <c r="I17" s="33">
        <f t="shared" si="2"/>
        <v>0</v>
      </c>
      <c r="J17" s="33" t="str">
        <f t="shared" si="7"/>
        <v/>
      </c>
      <c r="K17" s="31">
        <f>'VZLA BFS'!K17/'VENEZUELA USD'!$AH$3</f>
        <v>0</v>
      </c>
      <c r="L17" s="33" t="str">
        <f t="shared" si="3"/>
        <v xml:space="preserve"> </v>
      </c>
      <c r="M17" s="31">
        <f>'VZLA BFS'!M17/'VENEZUELA USD'!$AH$3</f>
        <v>0</v>
      </c>
      <c r="N17" s="33"/>
      <c r="O17" s="33" t="str">
        <f t="shared" si="8"/>
        <v/>
      </c>
      <c r="P17" s="62">
        <f>+'VZLA BFS'!P17/'VENEZUELA USD'!$AH$4</f>
        <v>0</v>
      </c>
      <c r="Q17" s="33">
        <f t="shared" si="5"/>
        <v>0</v>
      </c>
      <c r="R17" s="33" t="str">
        <f t="shared" si="9"/>
        <v/>
      </c>
      <c r="S17" s="67"/>
      <c r="T17" s="3" t="s">
        <v>37</v>
      </c>
      <c r="U17" s="31">
        <f>+'VZLA BFS'!U17/'VENEZUELA USD'!$AH$3</f>
        <v>0</v>
      </c>
      <c r="V17" s="31">
        <f>+'VZLA BFS'!V17/'VENEZUELA USD'!$AH$3</f>
        <v>5481.6506618219564</v>
      </c>
      <c r="W17" s="31">
        <f>+'VZLA BFS'!W17/'VENEZUELA USD'!$AH$3</f>
        <v>2242.8082014015049</v>
      </c>
      <c r="X17" s="31">
        <f>+'VZLA BFS'!X17/'VENEZUELA USD'!$AH$3</f>
        <v>0</v>
      </c>
      <c r="Y17" s="31">
        <f>+'VZLA BFS'!Y17/'VENEZUELA USD'!$AH$3</f>
        <v>5481.6506618219564</v>
      </c>
      <c r="Z17" s="62">
        <f>+Y17-X17</f>
        <v>5481.6506618219564</v>
      </c>
      <c r="AA17" s="67" t="str">
        <f>IF(X17=0,"",(Y17-X17)/ABS(X17)+1)</f>
        <v/>
      </c>
      <c r="AB17" s="31">
        <f>+'VZLA BFS'!AB17/'VENEZUELA USD'!$AH$3</f>
        <v>2242.8082014015049</v>
      </c>
      <c r="AC17" s="67">
        <f>IF(AB17=0,"",(Y17-AB17)/ABS(AB17))</f>
        <v>1.4441013985933064</v>
      </c>
      <c r="AD17" s="67"/>
      <c r="AE17" s="67"/>
    </row>
    <row r="18" spans="2:33" x14ac:dyDescent="0.2">
      <c r="B18" s="3" t="s">
        <v>130</v>
      </c>
      <c r="C18" s="31">
        <f>'VZLA BFS'!C18/'VENEZUELA USD'!$AH$3</f>
        <v>0</v>
      </c>
      <c r="D18" s="33" t="str">
        <f t="shared" si="0"/>
        <v xml:space="preserve"> </v>
      </c>
      <c r="E18" s="31">
        <f>'VZLA BFS'!E18/'VENEZUELA USD'!$AH$3</f>
        <v>0</v>
      </c>
      <c r="F18" s="33">
        <f t="shared" si="1"/>
        <v>0</v>
      </c>
      <c r="G18" s="33" t="str">
        <f t="shared" si="6"/>
        <v/>
      </c>
      <c r="H18" s="62">
        <f>+'VZLA BFS'!H18/'VENEZUELA USD'!$AH$4</f>
        <v>0</v>
      </c>
      <c r="I18" s="33">
        <f t="shared" si="2"/>
        <v>0</v>
      </c>
      <c r="J18" s="33" t="str">
        <f t="shared" si="7"/>
        <v/>
      </c>
      <c r="K18" s="31">
        <f>'VZLA BFS'!K18/'VENEZUELA USD'!$AH$3</f>
        <v>0</v>
      </c>
      <c r="L18" s="33" t="str">
        <f t="shared" si="3"/>
        <v xml:space="preserve"> </v>
      </c>
      <c r="M18" s="31">
        <f>'VZLA BFS'!M18/'VENEZUELA USD'!$AH$3</f>
        <v>0</v>
      </c>
      <c r="N18" s="33"/>
      <c r="O18" s="33" t="str">
        <f t="shared" si="8"/>
        <v/>
      </c>
      <c r="P18" s="62">
        <f>+'VZLA BFS'!P18/'VENEZUELA USD'!$AH$4</f>
        <v>0</v>
      </c>
      <c r="Q18" s="33">
        <f t="shared" si="5"/>
        <v>0</v>
      </c>
      <c r="R18" s="33" t="str">
        <f t="shared" si="9"/>
        <v/>
      </c>
      <c r="S18" s="67"/>
      <c r="U18" s="31">
        <f>+'VZLA BFS'!U18/'VENEZUELA USD'!$AH$3</f>
        <v>0</v>
      </c>
      <c r="AD18" s="67"/>
      <c r="AE18" s="67"/>
    </row>
    <row r="19" spans="2:33" x14ac:dyDescent="0.2">
      <c r="B19" s="3" t="s">
        <v>80</v>
      </c>
      <c r="C19" s="31">
        <f>'VZLA BFS'!C19/'VENEZUELA USD'!$AH$3</f>
        <v>0</v>
      </c>
      <c r="D19" s="33" t="str">
        <f t="shared" si="0"/>
        <v xml:space="preserve"> </v>
      </c>
      <c r="E19" s="31">
        <f>'VZLA BFS'!E19/'VENEZUELA USD'!$AH$3</f>
        <v>0</v>
      </c>
      <c r="F19" s="33">
        <f t="shared" si="1"/>
        <v>0</v>
      </c>
      <c r="G19" s="33" t="str">
        <f t="shared" si="6"/>
        <v/>
      </c>
      <c r="H19" s="62">
        <f>+'VZLA BFS'!H19/'VENEZUELA USD'!$AH$4</f>
        <v>0</v>
      </c>
      <c r="I19" s="33">
        <f t="shared" si="2"/>
        <v>0</v>
      </c>
      <c r="J19" s="33" t="str">
        <f t="shared" si="7"/>
        <v/>
      </c>
      <c r="K19" s="31">
        <f>'VZLA BFS'!K19/'VENEZUELA USD'!$AH$3</f>
        <v>0</v>
      </c>
      <c r="L19" s="33" t="str">
        <f t="shared" si="3"/>
        <v xml:space="preserve"> </v>
      </c>
      <c r="M19" s="31">
        <f>'VZLA BFS'!M19/'VENEZUELA USD'!$AH$3</f>
        <v>0</v>
      </c>
      <c r="N19" s="33"/>
      <c r="O19" s="33" t="str">
        <f t="shared" si="8"/>
        <v/>
      </c>
      <c r="P19" s="62">
        <f>+'VZLA BFS'!P19/'VENEZUELA USD'!$AH$4</f>
        <v>0</v>
      </c>
      <c r="Q19" s="33">
        <f t="shared" si="5"/>
        <v>0</v>
      </c>
      <c r="R19" s="33" t="str">
        <f t="shared" si="9"/>
        <v/>
      </c>
      <c r="S19" s="67"/>
      <c r="T19" s="3" t="s">
        <v>38</v>
      </c>
      <c r="U19" s="31">
        <f>+'VZLA BFS'!U19/'VENEZUELA USD'!$AH$3</f>
        <v>0</v>
      </c>
      <c r="V19" s="31">
        <f>+V11-V17</f>
        <v>-100.54502984687224</v>
      </c>
      <c r="W19" s="31">
        <f>+'VZLA BFS'!W19/'VENEZUELA USD'!$AH$3</f>
        <v>1189.7897742019206</v>
      </c>
      <c r="X19" s="31">
        <f>+'VZLA BFS'!X19/'VENEZUELA USD'!$AH$3</f>
        <v>0</v>
      </c>
      <c r="Y19" s="31">
        <f>Y11-Y17</f>
        <v>-100.54502984687224</v>
      </c>
      <c r="Z19" s="62">
        <f>+Y19-X19</f>
        <v>-100.54502984687224</v>
      </c>
      <c r="AA19" s="67" t="str">
        <f>IF(X19=0,"",(Y19-X19)/ABS(X19)+1)</f>
        <v/>
      </c>
      <c r="AB19" s="31">
        <f>+'VZLA BFS'!AB19/'VENEZUELA USD'!$AH$3</f>
        <v>1189.7897742019206</v>
      </c>
      <c r="AC19" s="67">
        <f>IF(AB19=0,"",(Y19-AB19)/ABS(AB19))</f>
        <v>-1.0845065506755722</v>
      </c>
      <c r="AD19" s="67"/>
      <c r="AE19" s="67"/>
      <c r="AG19" s="54"/>
    </row>
    <row r="20" spans="2:33" x14ac:dyDescent="0.2">
      <c r="B20" s="3" t="s">
        <v>39</v>
      </c>
      <c r="C20" s="31">
        <f>'VZLA BFS'!C20/'VENEZUELA USD'!$AH$3</f>
        <v>0</v>
      </c>
      <c r="D20" s="33" t="str">
        <f t="shared" si="0"/>
        <v xml:space="preserve"> </v>
      </c>
      <c r="E20" s="31">
        <f>'VZLA BFS'!E20/'VENEZUELA USD'!$AH$3</f>
        <v>5372.3381780430836</v>
      </c>
      <c r="F20" s="33">
        <f t="shared" si="1"/>
        <v>1</v>
      </c>
      <c r="G20" s="33" t="str">
        <f t="shared" si="6"/>
        <v/>
      </c>
      <c r="H20" s="62">
        <f>+'VZLA BFS'!H20/'VENEZUELA USD'!$AH$4</f>
        <v>5539.9441800086543</v>
      </c>
      <c r="I20" s="33">
        <f t="shared" si="2"/>
        <v>1</v>
      </c>
      <c r="J20" s="33">
        <f t="shared" si="7"/>
        <v>-3.0254095803057133E-2</v>
      </c>
      <c r="K20" s="31">
        <f>'VZLA BFS'!K20/'VENEZUELA USD'!$AH$3</f>
        <v>0</v>
      </c>
      <c r="L20" s="33" t="str">
        <f t="shared" si="3"/>
        <v xml:space="preserve"> </v>
      </c>
      <c r="M20" s="31">
        <f>'VZLA BFS'!M20/'VENEZUELA USD'!$AH$3</f>
        <v>5372.3381780430836</v>
      </c>
      <c r="N20" s="33">
        <f>+M20/$M$20</f>
        <v>1</v>
      </c>
      <c r="O20" s="33" t="str">
        <f t="shared" si="8"/>
        <v/>
      </c>
      <c r="P20" s="62">
        <f>+'VZLA BFS'!P20/'VENEZUELA USD'!$AH$4</f>
        <v>5539.9441800086543</v>
      </c>
      <c r="Q20" s="33">
        <f t="shared" si="5"/>
        <v>1</v>
      </c>
      <c r="R20" s="33">
        <f t="shared" si="9"/>
        <v>-3.0254095803057133E-2</v>
      </c>
      <c r="S20" s="67"/>
      <c r="T20" s="3"/>
      <c r="U20" s="31">
        <f>+'VZLA BFS'!U20/'VENEZUELA USD'!$AH$3</f>
        <v>0</v>
      </c>
      <c r="V20" s="31"/>
      <c r="W20" s="31"/>
      <c r="X20" s="31"/>
      <c r="Y20" s="31"/>
      <c r="Z20" s="62"/>
      <c r="AA20" s="67"/>
      <c r="AB20" s="31"/>
      <c r="AC20" s="67" t="str">
        <f>IF(AB20=0,"",(Y20-AB20)/ABS(AB20))</f>
        <v/>
      </c>
      <c r="AD20" s="67"/>
      <c r="AE20" s="67"/>
    </row>
    <row r="21" spans="2:33" x14ac:dyDescent="0.2">
      <c r="E21" s="31">
        <f>'VZLA BFS'!E21/'VENEZUELA USD'!$AH$3</f>
        <v>0</v>
      </c>
      <c r="G21" s="33" t="str">
        <f t="shared" si="6"/>
        <v/>
      </c>
      <c r="H21" s="62">
        <f>+'VZLA BFS'!H21/'VENEZUELA USD'!$AH$4</f>
        <v>0</v>
      </c>
      <c r="L21" s="33" t="str">
        <f t="shared" si="3"/>
        <v xml:space="preserve"> </v>
      </c>
      <c r="M21" s="31">
        <f>'VZLA BFS'!M21/'VENEZUELA USD'!$AH$3</f>
        <v>0</v>
      </c>
      <c r="O21" s="33" t="str">
        <f t="shared" si="8"/>
        <v/>
      </c>
      <c r="P21" s="62">
        <f>+'VZLA BFS'!P21/'VENEZUELA USD'!$AH$4</f>
        <v>0</v>
      </c>
      <c r="Q21" s="33">
        <f t="shared" si="5"/>
        <v>0</v>
      </c>
      <c r="R21" s="33" t="str">
        <f t="shared" si="9"/>
        <v/>
      </c>
      <c r="S21" s="67"/>
      <c r="T21" s="3" t="s">
        <v>40</v>
      </c>
      <c r="U21" s="31">
        <f>+'VZLA BFS'!U21/'VENEZUELA USD'!$AH$3</f>
        <v>6142.0192058136518</v>
      </c>
      <c r="V21" s="31">
        <f>+V10+V19</f>
        <v>6491.175707241111</v>
      </c>
      <c r="W21" s="31">
        <f>+'VZLA BFS'!W21/'VENEZUELA USD'!$AH$3</f>
        <v>2150.7552556449523</v>
      </c>
      <c r="X21" s="31">
        <f>+'VZLA BFS'!X21/'VENEZUELA USD'!$AH$3</f>
        <v>6142.0192058136518</v>
      </c>
      <c r="Y21" s="31">
        <f>+Y10+Y19</f>
        <v>6491.175707241111</v>
      </c>
      <c r="Z21" s="62">
        <f>+Y21-X21</f>
        <v>349.15650142745926</v>
      </c>
      <c r="AA21" s="67">
        <f>IF(X21=0,"",(Y21-X21)/ABS(X21)+1)</f>
        <v>1.0568471848959655</v>
      </c>
      <c r="AB21" s="31">
        <f>+'VZLA BFS'!AB21/'VENEZUELA USD'!$AH$3</f>
        <v>2150.7552556449523</v>
      </c>
      <c r="AC21" s="67">
        <f>IF(AB21=0,"",(Y21-AB21)/ABS(AB21))</f>
        <v>2.0180912915145179</v>
      </c>
      <c r="AD21" s="67"/>
      <c r="AE21" s="67"/>
      <c r="AG21" s="54"/>
    </row>
    <row r="22" spans="2:33" x14ac:dyDescent="0.2">
      <c r="B22" s="3" t="s">
        <v>41</v>
      </c>
      <c r="C22" s="31">
        <f>'VZLA BFS'!C21/'VENEZUELA USD'!$AH$3</f>
        <v>0</v>
      </c>
      <c r="D22" s="33" t="str">
        <f>IF(DD30&lt;=0," ",C22/$C$20)</f>
        <v xml:space="preserve"> </v>
      </c>
      <c r="E22" s="31">
        <f>'VZLA BFS'!E22/'VENEZUELA USD'!$AH$3</f>
        <v>0</v>
      </c>
      <c r="F22" s="33">
        <f>+E22/$E$20</f>
        <v>0</v>
      </c>
      <c r="G22" s="33" t="str">
        <f t="shared" si="6"/>
        <v/>
      </c>
      <c r="H22" s="62">
        <f>+'VZLA BFS'!H22/'VENEZUELA USD'!$AH$4</f>
        <v>0</v>
      </c>
      <c r="I22" s="33">
        <f>IF($H$20&lt;=0," ",H22/$H$20)</f>
        <v>0</v>
      </c>
      <c r="J22" s="33" t="str">
        <f>IF(E22=0,"",(E22-H22)/ABS(H22))</f>
        <v/>
      </c>
      <c r="K22" s="31">
        <f>'VZLA BFS'!K21/'VENEZUELA USD'!$AH$3</f>
        <v>0</v>
      </c>
      <c r="L22" s="33" t="str">
        <f t="shared" si="3"/>
        <v xml:space="preserve"> </v>
      </c>
      <c r="M22" s="31">
        <f>'VZLA BFS'!M22/'VENEZUELA USD'!$AH$3</f>
        <v>0</v>
      </c>
      <c r="N22" s="33">
        <f>+M22/$M$20</f>
        <v>0</v>
      </c>
      <c r="O22" s="33" t="str">
        <f t="shared" si="8"/>
        <v/>
      </c>
      <c r="P22" s="62">
        <f>+'VZLA BFS'!P22/'VENEZUELA USD'!$AH$4</f>
        <v>0</v>
      </c>
      <c r="Q22" s="33">
        <f t="shared" si="5"/>
        <v>0</v>
      </c>
      <c r="R22" s="33" t="str">
        <f t="shared" si="9"/>
        <v/>
      </c>
      <c r="S22" s="67"/>
      <c r="U22" s="31">
        <f>+'VZLA BFS'!U22/'VENEZUELA USD'!$AH$3</f>
        <v>0</v>
      </c>
      <c r="AD22" s="67"/>
      <c r="AE22" s="67"/>
    </row>
    <row r="23" spans="2:33" x14ac:dyDescent="0.2">
      <c r="E23" s="31">
        <f>'VZLA BFS'!E23/'VENEZUELA USD'!$AH$3</f>
        <v>0</v>
      </c>
      <c r="H23" s="62">
        <f>+'VZLA BFS'!H23/'VENEZUELA USD'!$AH$4</f>
        <v>0</v>
      </c>
      <c r="M23" s="31">
        <f>'VZLA BFS'!M23/'VENEZUELA USD'!$AH$3</f>
        <v>0</v>
      </c>
      <c r="P23" s="62">
        <f>+'VZLA BFS'!P23/'VENEZUELA USD'!$AH$4</f>
        <v>0</v>
      </c>
      <c r="S23" s="67"/>
      <c r="T23" s="3" t="s">
        <v>42</v>
      </c>
      <c r="U23" s="31">
        <f>+'VZLA BFS'!U23/'VENEZUELA USD'!$AH$3</f>
        <v>0</v>
      </c>
      <c r="V23" s="31"/>
      <c r="W23" s="31"/>
      <c r="X23" s="31"/>
      <c r="Y23" s="31"/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7"/>
      <c r="AE23" s="67"/>
    </row>
    <row r="24" spans="2:33" x14ac:dyDescent="0.2">
      <c r="B24" s="3" t="s">
        <v>43</v>
      </c>
      <c r="C24" s="31">
        <f>'VZLA BFS'!C22/'VENEZUELA USD'!$AH$3</f>
        <v>0</v>
      </c>
      <c r="D24" s="33" t="str">
        <f>IF(DD31&lt;=0," ",C24/$C$20)</f>
        <v xml:space="preserve"> </v>
      </c>
      <c r="E24" s="31">
        <f>'VZLA BFS'!E24/'VENEZUELA USD'!$AH$3</f>
        <v>5372.3381780430836</v>
      </c>
      <c r="F24" s="33">
        <f>+E24/$E$20</f>
        <v>1</v>
      </c>
      <c r="G24" s="33" t="str">
        <f>IF(C24=0,"",(E24-C24)/ABS(C24)+1)</f>
        <v/>
      </c>
      <c r="H24" s="62">
        <f>+'VZLA BFS'!H24/'VENEZUELA USD'!$AH$4</f>
        <v>5539.9441800086543</v>
      </c>
      <c r="I24" s="33">
        <f>IF($H$20&lt;=0," ",H24/$H$20)</f>
        <v>1</v>
      </c>
      <c r="J24" s="33">
        <f>IF(E24=0,"",(E24-H24)/ABS(H24))</f>
        <v>-3.0254095803057133E-2</v>
      </c>
      <c r="K24" s="31">
        <f>'VZLA BFS'!K22/'VENEZUELA USD'!$AH$3</f>
        <v>0</v>
      </c>
      <c r="L24" s="33" t="str">
        <f>IF($K$20&lt;=0," ",K24/$K$20)</f>
        <v xml:space="preserve"> </v>
      </c>
      <c r="M24" s="31">
        <f>'VZLA BFS'!M24/'VENEZUELA USD'!$AH$3</f>
        <v>5372.3381780430836</v>
      </c>
      <c r="N24" s="33">
        <f>+M24/$M$20</f>
        <v>1</v>
      </c>
      <c r="O24" s="33" t="str">
        <f>IF(K24=0,"",(M24-K24)/ABS(K24)+1)</f>
        <v/>
      </c>
      <c r="P24" s="62">
        <f>+'VZLA BFS'!P24/'VENEZUELA USD'!$AH$4</f>
        <v>5539.9441800086543</v>
      </c>
      <c r="Q24" s="33">
        <f>IF($P$20&lt;=0," ",P24/$P$20)</f>
        <v>1</v>
      </c>
      <c r="R24" s="33">
        <f>IF(M24=0,"",(M24-P24)/ABS(P24))</f>
        <v>-3.0254095803057133E-2</v>
      </c>
      <c r="S24" s="67"/>
      <c r="U24" s="31">
        <f>+'VZLA BFS'!U24/'VENEZUELA USD'!$AH$3</f>
        <v>0</v>
      </c>
      <c r="AD24" s="67"/>
      <c r="AE24" s="67"/>
    </row>
    <row r="25" spans="2:33" x14ac:dyDescent="0.2">
      <c r="E25" s="31">
        <f>'VZLA BFS'!E25/'VENEZUELA USD'!$AH$3</f>
        <v>0</v>
      </c>
      <c r="H25" s="62">
        <f>+'VZLA BFS'!H25/'VENEZUELA USD'!$AH$4</f>
        <v>0</v>
      </c>
      <c r="M25" s="31">
        <f>'VZLA BFS'!M25/'VENEZUELA USD'!$AH$3</f>
        <v>0</v>
      </c>
      <c r="P25" s="62">
        <f>+'VZLA BFS'!P25/'VENEZUELA USD'!$AH$4</f>
        <v>0</v>
      </c>
      <c r="S25" s="67"/>
      <c r="T25" s="3" t="s">
        <v>44</v>
      </c>
      <c r="U25" s="31">
        <f>+'VZLA BFS'!U25/'VENEZUELA USD'!$AH$3</f>
        <v>0</v>
      </c>
      <c r="V25" s="31">
        <v>1736.09</v>
      </c>
      <c r="W25" s="31">
        <f>+'VZLA BFS'!W25/'VENEZUELA USD'!$AH$3</f>
        <v>333.19335582662859</v>
      </c>
      <c r="X25" s="31">
        <f>+'VZLA BFS'!X25/'VENEZUELA USD'!$AH$3</f>
        <v>0</v>
      </c>
      <c r="Y25" s="31">
        <f>+'VZLA BFS'!Y25/'VENEZUELA USD'!$AH$3</f>
        <v>262.44484817025693</v>
      </c>
      <c r="Z25" s="62">
        <f>+Y25-X25</f>
        <v>262.44484817025693</v>
      </c>
      <c r="AA25" s="67" t="str">
        <f>IF(X25=0,"",(Y25-X25)/ABS(X25)+1)</f>
        <v/>
      </c>
      <c r="AB25" s="31">
        <f>+'VZLA BFS'!AB25/'VENEZUELA USD'!$AH$3</f>
        <v>333.19335582662859</v>
      </c>
      <c r="AC25" s="67">
        <f>IF(AB25=0,"",(Y25-AB25)/ABS(AB25))</f>
        <v>-0.21233468921026272</v>
      </c>
    </row>
    <row r="26" spans="2:33" x14ac:dyDescent="0.2">
      <c r="B26" s="3" t="s">
        <v>45</v>
      </c>
      <c r="C26" s="31">
        <f>'VZLA BFS'!C23/'VENEZUELA USD'!$AH$3</f>
        <v>0</v>
      </c>
      <c r="D26" s="33" t="str">
        <f>IF(DD32&lt;=0," ",C26/$C$20)</f>
        <v xml:space="preserve"> </v>
      </c>
      <c r="E26" s="31">
        <f>'VZLA BFS'!E26/'VENEZUELA USD'!$AH$3</f>
        <v>94.972229431611723</v>
      </c>
      <c r="F26" s="33">
        <f>+E26/$E$20</f>
        <v>1.767800653722177E-2</v>
      </c>
      <c r="G26" s="33" t="str">
        <f>IF(C26=0,"",(E26-C26)/ABS(C26)+1)</f>
        <v/>
      </c>
      <c r="H26" s="62">
        <f>+'VZLA BFS'!H26/'VENEZUELA USD'!$AH$4</f>
        <v>93.226741670272617</v>
      </c>
      <c r="I26" s="33">
        <f>IF($H$20&lt;=0," ",H26/$H$20)</f>
        <v>1.6828101266198495E-2</v>
      </c>
      <c r="J26" s="33">
        <f>IF(E26=0,"",(E26-H26)/ABS(H26))</f>
        <v>1.8723037296665416E-2</v>
      </c>
      <c r="K26" s="31">
        <f>'VZLA BFS'!K23/'VENEZUELA USD'!$AH$3</f>
        <v>0</v>
      </c>
      <c r="L26" s="33" t="str">
        <f>IF($K$20&lt;=0," ",K26/$K$20)</f>
        <v xml:space="preserve"> </v>
      </c>
      <c r="M26" s="31">
        <f>'VZLA BFS'!M26/'VENEZUELA USD'!$AH$3</f>
        <v>94.972229431611723</v>
      </c>
      <c r="N26" s="33">
        <f>+M26/$M$20</f>
        <v>1.767800653722177E-2</v>
      </c>
      <c r="O26" s="33" t="str">
        <f>IF(K26=0,"",(M26-K26)/ABS(K26)+1)</f>
        <v/>
      </c>
      <c r="P26" s="62">
        <f>+'VZLA BFS'!P26/'VENEZUELA USD'!$AH$4</f>
        <v>93.226741670272617</v>
      </c>
      <c r="Q26" s="33">
        <f>IF($P$20&lt;=0," ",P26/$P$20)</f>
        <v>1.6828101266198495E-2</v>
      </c>
      <c r="R26" s="33">
        <f>IF(M26=0,"",(M26-P26)/ABS(P26))</f>
        <v>1.8723037296665416E-2</v>
      </c>
      <c r="S26" s="67"/>
      <c r="U26" s="31">
        <f>+'VZLA BFS'!U26/'VENEZUELA USD'!$AH$3</f>
        <v>0</v>
      </c>
    </row>
    <row r="27" spans="2:33" x14ac:dyDescent="0.2">
      <c r="B27" s="3" t="s">
        <v>46</v>
      </c>
      <c r="C27" s="31">
        <f>'VZLA BFS'!C24/'VENEZUELA USD'!$AH$3</f>
        <v>0</v>
      </c>
      <c r="D27" s="33" t="str">
        <f>IF(DD33&lt;=0," ",C27/$C$20)</f>
        <v xml:space="preserve"> </v>
      </c>
      <c r="E27" s="31">
        <f>'VZLA BFS'!E27/'VENEZUELA USD'!$AH$3</f>
        <v>584.04464053983907</v>
      </c>
      <c r="F27" s="33">
        <f>+E27/$E$20</f>
        <v>0.10871330530286571</v>
      </c>
      <c r="G27" s="33" t="str">
        <f>IF(C27=0,"",(E27-C27)/ABS(C27)+1)</f>
        <v/>
      </c>
      <c r="H27" s="62">
        <f>+'VZLA BFS'!H27/'VENEZUELA USD'!$AH$4</f>
        <v>405.50757247944608</v>
      </c>
      <c r="I27" s="33">
        <f>IF($H$20&lt;=0," ",H27/$H$20)</f>
        <v>7.3197050241544603E-2</v>
      </c>
      <c r="J27" s="33">
        <f>IF(E27=0,"",(E27-H27)/ABS(H27))</f>
        <v>0.44028047853395508</v>
      </c>
      <c r="K27" s="31">
        <f>'VZLA BFS'!K24/'VENEZUELA USD'!$AH$3</f>
        <v>0</v>
      </c>
      <c r="L27" s="33" t="str">
        <f>IF($K$20&lt;=0," ",K27/$K$20)</f>
        <v xml:space="preserve"> </v>
      </c>
      <c r="M27" s="31">
        <f>'VZLA BFS'!M27/'VENEZUELA USD'!$AH$3</f>
        <v>584.04464053983907</v>
      </c>
      <c r="N27" s="33">
        <f>+M27/$M$20</f>
        <v>0.10871330530286571</v>
      </c>
      <c r="O27" s="33" t="str">
        <f>IF(K27=0,"",(M27-K27)/ABS(K27)+1)</f>
        <v/>
      </c>
      <c r="P27" s="62">
        <f>+'VZLA BFS'!P27/'VENEZUELA USD'!$AH$4</f>
        <v>405.50757247944608</v>
      </c>
      <c r="Q27" s="33">
        <f>IF($P$20&lt;=0," ",P27/$P$20)</f>
        <v>7.3197050241544603E-2</v>
      </c>
      <c r="R27" s="33">
        <f>IF(M27=0,"",(M27-P27)/ABS(P27))</f>
        <v>0.44028047853395508</v>
      </c>
      <c r="S27" s="67"/>
      <c r="T27" s="3" t="s">
        <v>47</v>
      </c>
      <c r="U27" s="31">
        <f>+'VZLA BFS'!U27/'VENEZUELA USD'!$AH$3</f>
        <v>0</v>
      </c>
      <c r="V27" s="31"/>
      <c r="W27" s="31"/>
      <c r="X27" s="31">
        <f>+'VZLA BFS'!X27/'VENEZUELA USD'!$AH$3</f>
        <v>0</v>
      </c>
      <c r="Y27" s="31">
        <f>+'VZLA BFS'!Y27/'VENEZUELA USD'!$AH$3</f>
        <v>0</v>
      </c>
      <c r="Z27" s="62">
        <f>+Y27-X27</f>
        <v>0</v>
      </c>
      <c r="AA27" s="67" t="str">
        <f>IF(X27=0,"",(Y27-X27)/ABS(X27)+1)</f>
        <v/>
      </c>
      <c r="AB27" s="31">
        <f>+'VZLA BFS'!AB27/'VENEZUELA USD'!$AH$3</f>
        <v>0</v>
      </c>
      <c r="AC27" s="67" t="str">
        <f>IF(AB27=0,"",(Y27-AB27)/ABS(AB27))</f>
        <v/>
      </c>
    </row>
    <row r="28" spans="2:33" x14ac:dyDescent="0.2">
      <c r="B28" s="3" t="s">
        <v>48</v>
      </c>
      <c r="C28" s="31">
        <f>'VZLA BFS'!C25/'VENEZUELA USD'!$AH$3</f>
        <v>0</v>
      </c>
      <c r="D28" s="33" t="str">
        <f>IF(DD34&lt;=0," ",C28/$C$20)</f>
        <v xml:space="preserve"> </v>
      </c>
      <c r="E28" s="31">
        <f>'VZLA BFS'!E28/'VENEZUELA USD'!$AH$3</f>
        <v>679.01686997145066</v>
      </c>
      <c r="F28" s="33">
        <f>+E28/$E$20</f>
        <v>0.12639131184008745</v>
      </c>
      <c r="G28" s="33" t="str">
        <f>IF(C28=0,"",(E28-C28)/ABS(C28)+1)</f>
        <v/>
      </c>
      <c r="H28" s="62">
        <f>+'VZLA BFS'!H28/'VENEZUELA USD'!$AH$4</f>
        <v>498.73431414971873</v>
      </c>
      <c r="I28" s="33">
        <f>IF($H$20&lt;=0," ",H28/$H$20)</f>
        <v>9.0025151507743109E-2</v>
      </c>
      <c r="J28" s="33">
        <f>IF(E28=0,"",(E28-H28)/ABS(H28))</f>
        <v>0.36148015227123831</v>
      </c>
      <c r="K28" s="31">
        <f>'VZLA BFS'!K25/'VENEZUELA USD'!$AH$3</f>
        <v>0</v>
      </c>
      <c r="L28" s="33" t="str">
        <f>IF($K$20&lt;=0," ",K28/$K$20)</f>
        <v xml:space="preserve"> </v>
      </c>
      <c r="M28" s="31">
        <f>'VZLA BFS'!M28/'VENEZUELA USD'!$AH$3</f>
        <v>679.01686997145066</v>
      </c>
      <c r="N28" s="33">
        <f>+M28/$M$20</f>
        <v>0.12639131184008745</v>
      </c>
      <c r="O28" s="33" t="str">
        <f>IF(K28=0,"",(M28-K28)/ABS(K28)+1)</f>
        <v/>
      </c>
      <c r="P28" s="62">
        <f>+'VZLA BFS'!P28/'VENEZUELA USD'!$AH$4</f>
        <v>498.73431414971873</v>
      </c>
      <c r="Q28" s="33">
        <f>IF($P$20&lt;=0," ",P28/$P$20)</f>
        <v>9.0025151507743109E-2</v>
      </c>
      <c r="R28" s="33">
        <f>IF(M28=0,"",(M28-P28)/ABS(P28))</f>
        <v>0.36148015227123831</v>
      </c>
      <c r="S28" s="67"/>
      <c r="T28" s="3" t="s">
        <v>49</v>
      </c>
      <c r="U28" s="31">
        <f>+'VZLA BFS'!U28/'VENEZUELA USD'!$AH$3</f>
        <v>0</v>
      </c>
      <c r="V28" s="31"/>
      <c r="W28" s="31"/>
      <c r="X28" s="31"/>
      <c r="Y28" s="31">
        <f>+'VZLA BFS'!Y28/'VENEZUELA USD'!$AH$3</f>
        <v>0</v>
      </c>
      <c r="Z28" s="62">
        <f>+Y28-X28</f>
        <v>0</v>
      </c>
      <c r="AA28" s="67" t="str">
        <f>IF(X28=0,"",(Y28-X28)/ABS(X28)+1)</f>
        <v/>
      </c>
      <c r="AB28" s="31">
        <f>+'VZLA BFS'!AB28/'VENEZUELA USD'!$AH$3</f>
        <v>0</v>
      </c>
      <c r="AC28" s="67" t="str">
        <f>IF(AB28=0,"",(Y28-AB28)/ABS(AB28))</f>
        <v/>
      </c>
    </row>
    <row r="29" spans="2:33" x14ac:dyDescent="0.2">
      <c r="E29" s="31">
        <f>'VZLA BFS'!E29/'VENEZUELA USD'!$AH$3</f>
        <v>0</v>
      </c>
      <c r="H29" s="62">
        <f>+'VZLA BFS'!H29/'VENEZUELA USD'!$AH$4</f>
        <v>0</v>
      </c>
      <c r="M29" s="31">
        <f>'VZLA BFS'!M29/'VENEZUELA USD'!$AH$3</f>
        <v>0</v>
      </c>
      <c r="P29" s="62">
        <f>+'VZLA BFS'!P29/'VENEZUELA USD'!$AH$4</f>
        <v>0</v>
      </c>
      <c r="S29" s="67"/>
      <c r="U29" s="31">
        <f>+'VZLA BFS'!U29/'VENEZUELA USD'!$AH$3</f>
        <v>0</v>
      </c>
    </row>
    <row r="30" spans="2:33" x14ac:dyDescent="0.2">
      <c r="B30" s="3" t="s">
        <v>50</v>
      </c>
      <c r="C30" s="31">
        <f>'VZLA BFS'!C26/'VENEZUELA USD'!$AH$3</f>
        <v>0</v>
      </c>
      <c r="D30" s="33" t="str">
        <f>IF(DD35&lt;=0," ",C30/$C$20)</f>
        <v xml:space="preserve"> </v>
      </c>
      <c r="E30" s="31">
        <f>'VZLA BFS'!E30/'VENEZUELA USD'!$AH$3</f>
        <v>3725.5901894627568</v>
      </c>
      <c r="F30" s="33">
        <f>+E30/$E$20</f>
        <v>0.69347648379421867</v>
      </c>
      <c r="G30" s="33" t="str">
        <f>IF(C30=0,"",(E30-C30)/ABS(C30)+1)</f>
        <v/>
      </c>
      <c r="H30" s="62">
        <f>+'VZLA BFS'!H30/'VENEZUELA USD'!$AH$4</f>
        <v>3807.3128515794028</v>
      </c>
      <c r="I30" s="33">
        <f>IF($H$20&lt;=0," ",H30/$H$20)</f>
        <v>0.68724751150352836</v>
      </c>
      <c r="J30" s="33">
        <f>IF(E30=0,"",(E30-H30)/ABS(H30))</f>
        <v>-2.1464656386917264E-2</v>
      </c>
      <c r="K30" s="31">
        <f>'VZLA BFS'!K26/'VENEZUELA USD'!$AH$3</f>
        <v>0</v>
      </c>
      <c r="L30" s="33" t="str">
        <f>IF($K$20&lt;=0," ",K30/$K$20)</f>
        <v xml:space="preserve"> </v>
      </c>
      <c r="M30" s="31">
        <f>'VZLA BFS'!M30/'VENEZUELA USD'!$AH$3</f>
        <v>3725.5901894627568</v>
      </c>
      <c r="N30" s="33">
        <f>+M30/$M$20</f>
        <v>0.69347648379421867</v>
      </c>
      <c r="O30" s="33" t="str">
        <f>IF(K30=0,"",(M30-K30)/ABS(K30)+1)</f>
        <v/>
      </c>
      <c r="P30" s="62">
        <f>+'VZLA BFS'!P30/'VENEZUELA USD'!$AH$4</f>
        <v>3807.3128515794028</v>
      </c>
      <c r="Q30" s="33">
        <f>IF($P$20&lt;=0," ",P30/$P$20)</f>
        <v>0.68724751150352836</v>
      </c>
      <c r="R30" s="33">
        <f>IF(M30=0,"",(M30-P30)/ABS(P30))</f>
        <v>-2.1464656386917264E-2</v>
      </c>
      <c r="S30" s="67"/>
      <c r="T30" s="3" t="s">
        <v>51</v>
      </c>
      <c r="U30" s="31">
        <f>+'VZLA BFS'!U30/'VENEZUELA USD'!$AH$3</f>
        <v>6142.0192058136518</v>
      </c>
      <c r="V30" s="31">
        <f>+V21-V25-V23+V27</f>
        <v>4755.0857072411109</v>
      </c>
      <c r="W30" s="31">
        <f>+W21-W25-W23+W27</f>
        <v>1817.5618998183236</v>
      </c>
      <c r="X30" s="31">
        <f>+X21-X25-X23-X27</f>
        <v>6142.0192058136518</v>
      </c>
      <c r="Y30" s="31">
        <f>+Y21-Y25-Y23+Y27</f>
        <v>6228.7308590708544</v>
      </c>
      <c r="Z30" s="62">
        <f>+Y30-X30</f>
        <v>86.71165325720267</v>
      </c>
      <c r="AA30" s="67">
        <f>IF(U30=0,"",(V30-U30)/ABS(U30)+1)</f>
        <v>0.77418932567652077</v>
      </c>
      <c r="AB30" s="31">
        <f>+AB21-AB25-AB23-AB27</f>
        <v>1817.5618998183236</v>
      </c>
      <c r="AC30" s="67">
        <f>IF(AB30=0,"",(Y30-AB30)/ABS(AB30))</f>
        <v>2.4269704155294267</v>
      </c>
    </row>
    <row r="31" spans="2:33" x14ac:dyDescent="0.2">
      <c r="B31" s="3" t="s">
        <v>52</v>
      </c>
      <c r="C31" s="31">
        <f>'VZLA BFS'!C27/'VENEZUELA USD'!$AH$3</f>
        <v>0</v>
      </c>
      <c r="D31" s="33" t="str">
        <f>IF(DD36&lt;=0," ",C31/$C$20)</f>
        <v xml:space="preserve"> </v>
      </c>
      <c r="E31" s="31">
        <f>'VZLA BFS'!E31/'VENEZUELA USD'!$AH$3</f>
        <v>889.24033220866852</v>
      </c>
      <c r="F31" s="33">
        <f>+E31/$E$20</f>
        <v>0.16552203207218449</v>
      </c>
      <c r="G31" s="33" t="str">
        <f>IF(C31=0,"",(E31-C31)/ABS(C31)+1)</f>
        <v/>
      </c>
      <c r="H31" s="62">
        <f>+'VZLA BFS'!H31/'VENEZUELA USD'!$AH$4</f>
        <v>655.38727823453053</v>
      </c>
      <c r="I31" s="33">
        <f>IF($H$20&lt;=0," ",H31/$H$20)</f>
        <v>0.1183021447399325</v>
      </c>
      <c r="J31" s="33">
        <f>IF(E31=0,"",(E31-H31)/ABS(H31))</f>
        <v>0.35681659034347873</v>
      </c>
      <c r="K31" s="31">
        <f>'VZLA BFS'!K27/'VENEZUELA USD'!$AH$3</f>
        <v>0</v>
      </c>
      <c r="L31" s="33" t="str">
        <f>IF($K$20&lt;=0," ",K31/$K$20)</f>
        <v xml:space="preserve"> </v>
      </c>
      <c r="M31" s="31">
        <f>'VZLA BFS'!M31/'VENEZUELA USD'!$AH$3</f>
        <v>889.24033220866852</v>
      </c>
      <c r="N31" s="33">
        <f>+M31/$M$20</f>
        <v>0.16552203207218449</v>
      </c>
      <c r="O31" s="33" t="str">
        <f>IF(K31=0,"",(M31-K31)/ABS(K31)+1)</f>
        <v/>
      </c>
      <c r="P31" s="62">
        <f>+'VZLA BFS'!P31/'VENEZUELA USD'!$AH$4</f>
        <v>655.38727823453053</v>
      </c>
      <c r="Q31" s="33">
        <f>IF($P$20&lt;=0," ",P31/$P$20)</f>
        <v>0.1183021447399325</v>
      </c>
      <c r="R31" s="33">
        <f>IF(M31=0,"",(M31-P31)/ABS(P31))</f>
        <v>0.35681659034347873</v>
      </c>
      <c r="S31" s="67"/>
      <c r="T31" s="67"/>
      <c r="U31" s="57"/>
    </row>
    <row r="32" spans="2:33" x14ac:dyDescent="0.2">
      <c r="B32" s="3" t="s">
        <v>53</v>
      </c>
      <c r="C32" s="31">
        <f>'VZLA BFS'!C28/'VENEZUELA USD'!$AH$3</f>
        <v>0</v>
      </c>
      <c r="D32" s="33" t="str">
        <f>IF(DD37&lt;=0," ",C32/$C$20)</f>
        <v xml:space="preserve"> </v>
      </c>
      <c r="E32" s="31">
        <f>'VZLA BFS'!E32/'VENEZUELA USD'!$AH$3</f>
        <v>4614.8305216714252</v>
      </c>
      <c r="F32" s="33">
        <f>+E32/$E$20</f>
        <v>0.85899851586640319</v>
      </c>
      <c r="G32" s="33" t="str">
        <f>IF(C32=0,"",(E32-C32)/ABS(C32)+1)</f>
        <v/>
      </c>
      <c r="H32" s="62">
        <f>+'VZLA BFS'!H32/'VENEZUELA USD'!$AH$4</f>
        <v>4462.700129813933</v>
      </c>
      <c r="I32" s="33">
        <f>IF($H$20&lt;=0," ",H32/$H$20)</f>
        <v>0.80554965624346087</v>
      </c>
      <c r="J32" s="33">
        <f>IF(E32=0,"",(E32-H32)/ABS(H32))</f>
        <v>3.4089315309616175E-2</v>
      </c>
      <c r="K32" s="31">
        <f>'VZLA BFS'!K28/'VENEZUELA USD'!$AH$3</f>
        <v>0</v>
      </c>
      <c r="L32" s="33" t="str">
        <f>IF($K$20&lt;=0," ",K32/$K$20)</f>
        <v xml:space="preserve"> </v>
      </c>
      <c r="M32" s="31">
        <f>'VZLA BFS'!M32/'VENEZUELA USD'!$AH$3</f>
        <v>4614.8305216714252</v>
      </c>
      <c r="N32" s="33">
        <f>+M32/$M$20</f>
        <v>0.85899851586640319</v>
      </c>
      <c r="O32" s="33" t="str">
        <f>IF(K32=0,"",(M32-K32)/ABS(K32)+1)</f>
        <v/>
      </c>
      <c r="P32" s="62">
        <f>+'VZLA BFS'!P32/'VENEZUELA USD'!$AH$4</f>
        <v>4462.700129813933</v>
      </c>
      <c r="Q32" s="33">
        <f>IF($P$20&lt;=0," ",P32/$P$20)</f>
        <v>0.80554965624346087</v>
      </c>
      <c r="R32" s="33">
        <f>IF(M32=0,"",(M32-P32)/ABS(P32))</f>
        <v>3.4089315309616175E-2</v>
      </c>
      <c r="S32" s="67"/>
    </row>
    <row r="33" spans="2:51" x14ac:dyDescent="0.2">
      <c r="E33" s="31">
        <f>'VZLA BFS'!E33/'VENEZUELA USD'!$AH$3</f>
        <v>0</v>
      </c>
      <c r="H33" s="62">
        <f>+'VZLA BFS'!H33/'VENEZUELA USD'!$AH$4</f>
        <v>0</v>
      </c>
      <c r="M33" s="31">
        <f>'VZLA BFS'!M33/'VENEZUELA USD'!$AH$3</f>
        <v>0</v>
      </c>
      <c r="P33" s="62">
        <f>+'VZLA BFS'!P33/'VENEZUELA USD'!$AH$4</f>
        <v>0</v>
      </c>
      <c r="S33" s="67"/>
    </row>
    <row r="34" spans="2:51" x14ac:dyDescent="0.2">
      <c r="B34" s="3" t="s">
        <v>54</v>
      </c>
      <c r="C34" s="31">
        <f>'VZLA BFS'!C29/'VENEZUELA USD'!$AH$3</f>
        <v>0</v>
      </c>
      <c r="D34" s="33" t="str">
        <f>IF(DD38&lt;=0," ",C34/$C$20)</f>
        <v xml:space="preserve"> </v>
      </c>
      <c r="E34" s="31">
        <f>'VZLA BFS'!E34/'VENEZUELA USD'!$AH$3</f>
        <v>5293.8473916428757</v>
      </c>
      <c r="F34" s="33">
        <f>+E34/$E$20</f>
        <v>0.98538982770649053</v>
      </c>
      <c r="G34" s="33" t="str">
        <f>IF(C34=0,"",(E34-C34)/ABS(C34)+1)</f>
        <v/>
      </c>
      <c r="H34" s="62">
        <f>+'VZLA BFS'!H34/'VENEZUELA USD'!$AH$4</f>
        <v>4961.4344439636525</v>
      </c>
      <c r="I34" s="33">
        <f>IF($H$20&lt;=0," ",H34/$H$20)</f>
        <v>0.89557480775120413</v>
      </c>
      <c r="J34" s="33">
        <f>IF(E34=0,"",(E34-H34)/ABS(H34))</f>
        <v>6.6999363074051022E-2</v>
      </c>
      <c r="K34" s="31">
        <f>'VZLA BFS'!K29/'VENEZUELA USD'!$AH$3</f>
        <v>0</v>
      </c>
      <c r="L34" s="33" t="str">
        <f>IF($K$20&lt;=0," ",K34/$K$20)</f>
        <v xml:space="preserve"> </v>
      </c>
      <c r="M34" s="31">
        <f>'VZLA BFS'!M34/'VENEZUELA USD'!$AH$3</f>
        <v>5293.8473916428757</v>
      </c>
      <c r="N34" s="33">
        <f>+M34/$M$20</f>
        <v>0.98538982770649053</v>
      </c>
      <c r="O34" s="33" t="str">
        <f>IF(K34=0,"",(M34-K34)/ABS(K34)+1)</f>
        <v/>
      </c>
      <c r="P34" s="62">
        <f>+'VZLA BFS'!P34/'VENEZUELA USD'!$AH$4</f>
        <v>4961.4344439636525</v>
      </c>
      <c r="Q34" s="33">
        <f>IF($P$20&lt;=0," ",P34/$P$20)</f>
        <v>0.89557480775120413</v>
      </c>
      <c r="R34" s="33">
        <f>IF(M34=0,"",(M34-P34)/ABS(P34))</f>
        <v>6.6999363074051022E-2</v>
      </c>
      <c r="S34" s="67"/>
      <c r="AL34" s="78" t="s">
        <v>136</v>
      </c>
      <c r="AT34" s="78" t="s">
        <v>137</v>
      </c>
    </row>
    <row r="35" spans="2:51" ht="15" x14ac:dyDescent="0.25">
      <c r="E35" s="31">
        <f>'VZLA BFS'!E35/'VENEZUELA USD'!$AH$3</f>
        <v>0</v>
      </c>
      <c r="H35" s="62">
        <f>+'VZLA BFS'!H35/'VENEZUELA USD'!$AH$4</f>
        <v>0</v>
      </c>
      <c r="M35" s="31">
        <f>'VZLA BFS'!M35/'VENEZUELA USD'!$AH$3</f>
        <v>0</v>
      </c>
      <c r="P35" s="62">
        <f>+'VZLA BFS'!P35/'VENEZUELA USD'!$AH$4</f>
        <v>0</v>
      </c>
      <c r="S35" s="67"/>
      <c r="AL35" s="103" t="s">
        <v>6</v>
      </c>
      <c r="AM35" s="104">
        <v>1788641</v>
      </c>
      <c r="AN35" s="105"/>
      <c r="AO35" s="105"/>
      <c r="AP35" s="105"/>
      <c r="AQ35" s="105"/>
      <c r="AT35" s="103" t="s">
        <v>6</v>
      </c>
      <c r="AU35" s="104">
        <v>4.71</v>
      </c>
      <c r="AV35" s="105"/>
      <c r="AW35" s="105"/>
      <c r="AX35" s="105"/>
      <c r="AY35" s="105"/>
    </row>
    <row r="36" spans="2:51" ht="15" x14ac:dyDescent="0.25">
      <c r="B36" s="3" t="s">
        <v>55</v>
      </c>
      <c r="C36" s="31">
        <f>'VZLA BFS'!C30/'VENEZUELA USD'!$AH$3</f>
        <v>0</v>
      </c>
      <c r="D36" s="33" t="str">
        <f>IF(DD39&lt;=0," ",C36/$C$20)</f>
        <v xml:space="preserve"> </v>
      </c>
      <c r="E36" s="31">
        <f>'VZLA BFS'!E36/'VENEZUELA USD'!$AH$3</f>
        <v>78.490786400207625</v>
      </c>
      <c r="F36" s="33">
        <f>+E36/$E$20</f>
        <v>1.4610172293509362E-2</v>
      </c>
      <c r="G36" s="33" t="str">
        <f>IF(C36=0,"",(E36-C36)/ABS(C36)+1)</f>
        <v/>
      </c>
      <c r="H36" s="62">
        <f>+'VZLA BFS'!H36/'VENEZUELA USD'!$AH$4</f>
        <v>578.50973604500223</v>
      </c>
      <c r="I36" s="33">
        <f>IF($H$20&lt;=0," ",H36/$H$20)</f>
        <v>0.104425192248796</v>
      </c>
      <c r="J36" s="33">
        <f>IF(E36=0,"",(E36-H36)/ABS(H36))</f>
        <v>-0.86432244522484258</v>
      </c>
      <c r="K36" s="31">
        <f>'VZLA BFS'!K30/'VENEZUELA USD'!$AH$3</f>
        <v>0</v>
      </c>
      <c r="L36" s="33" t="str">
        <f>IF($K$20&lt;=0," ",K36/$K$20)</f>
        <v xml:space="preserve"> </v>
      </c>
      <c r="M36" s="31">
        <f>'VZLA BFS'!M36/'VENEZUELA USD'!$AH$3</f>
        <v>78.490786400207625</v>
      </c>
      <c r="N36" s="33">
        <f>+M36/$M$20</f>
        <v>1.4610172293509362E-2</v>
      </c>
      <c r="O36" s="33" t="str">
        <f>IF(K36=0,"",(M36-K36)/ABS(K36)+1)</f>
        <v/>
      </c>
      <c r="P36" s="62">
        <f>+'VZLA BFS'!P36/'VENEZUELA USD'!$AH$4</f>
        <v>578.50973604500223</v>
      </c>
      <c r="Q36" s="33">
        <f>IF($P$20&lt;=0," ",P36/$P$20)</f>
        <v>0.104425192248796</v>
      </c>
      <c r="R36" s="33">
        <f>IF(M36=0,"",(M36-P36)/ABS(P36))</f>
        <v>-0.86432244522484258</v>
      </c>
      <c r="AL36" s="103" t="s">
        <v>8</v>
      </c>
      <c r="AM36" s="104">
        <v>1899023</v>
      </c>
      <c r="AN36" s="105"/>
      <c r="AO36" s="105"/>
      <c r="AP36" s="105"/>
      <c r="AQ36" s="105"/>
      <c r="AT36" s="103" t="s">
        <v>8</v>
      </c>
      <c r="AU36" s="104">
        <v>4.6100000000000003</v>
      </c>
      <c r="AV36" s="105"/>
      <c r="AW36" s="105"/>
      <c r="AX36" s="105"/>
      <c r="AY36" s="105"/>
    </row>
    <row r="37" spans="2:51" ht="13.5" customHeight="1" x14ac:dyDescent="0.25">
      <c r="E37" s="31">
        <f>'VZLA BFS'!E37/'VENEZUELA USD'!$AH$3</f>
        <v>0</v>
      </c>
      <c r="H37" s="62">
        <f>+'VZLA BFS'!H37/'VENEZUELA USD'!$AH$4</f>
        <v>0</v>
      </c>
      <c r="M37" s="31">
        <f>'VZLA BFS'!M37/'VENEZUELA USD'!$AH$3</f>
        <v>0</v>
      </c>
      <c r="P37" s="62">
        <f>+'VZLA BFS'!P37/'VENEZUELA USD'!$AH$4</f>
        <v>0</v>
      </c>
      <c r="AL37" s="103" t="s">
        <v>9</v>
      </c>
      <c r="AM37" s="104">
        <v>2115582</v>
      </c>
      <c r="AN37" s="105"/>
      <c r="AO37" s="105"/>
      <c r="AP37" s="105"/>
      <c r="AQ37" s="105"/>
      <c r="AT37" s="103" t="s">
        <v>9</v>
      </c>
      <c r="AU37" s="104">
        <v>4.4800000000000004</v>
      </c>
      <c r="AV37" s="105"/>
      <c r="AW37" s="105"/>
      <c r="AX37" s="105"/>
      <c r="AY37" s="105"/>
    </row>
    <row r="38" spans="2:51" ht="15" x14ac:dyDescent="0.25">
      <c r="B38" s="3" t="s">
        <v>56</v>
      </c>
      <c r="C38" s="31">
        <f>'VZLA BFS'!C31/'VENEZUELA USD'!$AH$3</f>
        <v>0</v>
      </c>
      <c r="D38" s="33" t="str">
        <f>IF(DD40&lt;=0," ",C38/$C$20)</f>
        <v xml:space="preserve"> </v>
      </c>
      <c r="E38" s="31">
        <f>'VZLA BFS'!E38/'VENEZUELA USD'!$AH$3</f>
        <v>113.72956138074227</v>
      </c>
      <c r="F38" s="33">
        <f>+E38/$E$20</f>
        <v>2.1169471766605944E-2</v>
      </c>
      <c r="G38" s="33" t="str">
        <f>IF(C38=0,"",(E38-C38)/ABS(C38)+1)</f>
        <v/>
      </c>
      <c r="H38" s="62">
        <f>+'VZLA BFS'!H38/'VENEZUELA USD'!$AH$4</f>
        <v>3069.7100822154912</v>
      </c>
      <c r="I38" s="33">
        <f>IF($H$20&lt;=0," ",H38/$H$20)</f>
        <v>0.55410487587452473</v>
      </c>
      <c r="J38" s="33">
        <f>IF(E38=0,"",(E38-H38)/ABS(H38))</f>
        <v>-0.96295104152029209</v>
      </c>
      <c r="K38" s="31">
        <f>'VZLA BFS'!K31/'VENEZUELA USD'!$AH$3</f>
        <v>0</v>
      </c>
      <c r="L38" s="33" t="str">
        <f>IF($K$20&lt;=0," ",K38/$K$20)</f>
        <v xml:space="preserve"> </v>
      </c>
      <c r="M38" s="31">
        <f>'VZLA BFS'!M38/'VENEZUELA USD'!$AH$3</f>
        <v>113.72956138074227</v>
      </c>
      <c r="N38" s="33">
        <f>+M38/$M$20</f>
        <v>2.1169471766605944E-2</v>
      </c>
      <c r="O38" s="33" t="str">
        <f>IF(K38=0,"",(M38-K38)/ABS(K38)+1)</f>
        <v/>
      </c>
      <c r="P38" s="62">
        <f>+'VZLA BFS'!P38/'VENEZUELA USD'!$AH$4</f>
        <v>3069.7100822154912</v>
      </c>
      <c r="Q38" s="33">
        <f>IF($P$20&lt;=0," ",P38/$P$20)</f>
        <v>0.55410487587452473</v>
      </c>
      <c r="R38" s="33">
        <f>IF(M38=0,"",(M38-P38)/ABS(P38))</f>
        <v>-0.96295104152029209</v>
      </c>
      <c r="AL38" s="103" t="s">
        <v>10</v>
      </c>
      <c r="AM38" s="104">
        <v>2900823</v>
      </c>
      <c r="AN38" s="105"/>
      <c r="AO38" s="105"/>
      <c r="AP38" s="105"/>
      <c r="AQ38" s="105"/>
      <c r="AT38" s="103" t="s">
        <v>10</v>
      </c>
      <c r="AU38" s="104">
        <v>4.57</v>
      </c>
      <c r="AV38" s="105"/>
      <c r="AW38" s="105"/>
      <c r="AX38" s="105"/>
      <c r="AY38" s="105"/>
    </row>
    <row r="39" spans="2:51" ht="15" x14ac:dyDescent="0.25">
      <c r="B39" s="3" t="s">
        <v>57</v>
      </c>
      <c r="C39" s="31">
        <f>'VZLA BFS'!C32/'VENEZUELA USD'!$AH$3</f>
        <v>0</v>
      </c>
      <c r="D39" s="33" t="str">
        <f>IF(DD41&lt;=0," ",C39/$C$20)</f>
        <v xml:space="preserve"> </v>
      </c>
      <c r="E39" s="31">
        <f>'VZLA BFS'!E39/'VENEZUELA USD'!$AH$3</f>
        <v>109.4212302102258</v>
      </c>
      <c r="F39" s="33">
        <f>+E39/$E$20</f>
        <v>2.0367524638980068E-2</v>
      </c>
      <c r="G39" s="33" t="str">
        <f>IF(C39=0,"",(E39-C39)/ABS(C39)+1)</f>
        <v/>
      </c>
      <c r="H39" s="62">
        <f>+'VZLA BFS'!H39/'VENEZUELA USD'!$AH$4</f>
        <v>69.017741237559505</v>
      </c>
      <c r="I39" s="33">
        <f>IF($H$20&lt;=0," ",H39/$H$20)</f>
        <v>1.2458201562141315E-2</v>
      </c>
      <c r="J39" s="33">
        <f>IF(E39=0,"",(E39-H39)/ABS(H39))</f>
        <v>0.58540729163530913</v>
      </c>
      <c r="K39" s="31">
        <f>'VZLA BFS'!K32/'VENEZUELA USD'!$AH$3</f>
        <v>0</v>
      </c>
      <c r="L39" s="33" t="str">
        <f>IF($K$20&lt;=0," ",K39/$K$20)</f>
        <v xml:space="preserve"> </v>
      </c>
      <c r="M39" s="31">
        <f>'VZLA BFS'!M39/'VENEZUELA USD'!$AH$3</f>
        <v>109.4212302102258</v>
      </c>
      <c r="N39" s="33">
        <f>+M39/$M$20</f>
        <v>2.0367524638980068E-2</v>
      </c>
      <c r="O39" s="33" t="str">
        <f>IF(K39=0,"",(M39-K39)/ABS(K39)+1)</f>
        <v/>
      </c>
      <c r="P39" s="62">
        <f>+'VZLA BFS'!P39/'VENEZUELA USD'!$AH$4</f>
        <v>69.017741237559505</v>
      </c>
      <c r="Q39" s="33">
        <f>IF($P$20&lt;=0," ",P39/$P$20)</f>
        <v>1.2458201562141315E-2</v>
      </c>
      <c r="R39" s="33">
        <f>IF(M39=0,"",(M39-P39)/ABS(P39))</f>
        <v>0.58540729163530913</v>
      </c>
      <c r="AL39" s="103" t="s">
        <v>11</v>
      </c>
      <c r="AM39" s="104">
        <v>3143738</v>
      </c>
      <c r="AN39" s="105"/>
      <c r="AO39" s="105"/>
      <c r="AP39" s="105"/>
      <c r="AQ39" s="105"/>
      <c r="AT39" s="103" t="s">
        <v>11</v>
      </c>
      <c r="AU39" s="104">
        <v>5.14</v>
      </c>
      <c r="AV39" s="105"/>
      <c r="AW39" s="105"/>
      <c r="AX39" s="105"/>
      <c r="AY39" s="105"/>
    </row>
    <row r="40" spans="2:51" ht="15" x14ac:dyDescent="0.25">
      <c r="E40" s="31">
        <f>'VZLA BFS'!E40/'VENEZUELA USD'!$AH$3</f>
        <v>0</v>
      </c>
      <c r="H40" s="62">
        <f>+'VZLA BFS'!H40/'VENEZUELA USD'!$AH$4</f>
        <v>0</v>
      </c>
      <c r="M40" s="31">
        <f>'VZLA BFS'!M40/'VENEZUELA USD'!$AH$3</f>
        <v>0</v>
      </c>
      <c r="P40" s="62">
        <f>+'VZLA BFS'!P40/'VENEZUELA USD'!$AH$4</f>
        <v>0</v>
      </c>
      <c r="AL40" s="103" t="s">
        <v>12</v>
      </c>
      <c r="AM40" s="104">
        <v>3267940</v>
      </c>
      <c r="AN40" s="105"/>
      <c r="AO40" s="105"/>
      <c r="AP40" s="105"/>
      <c r="AQ40" s="105"/>
      <c r="AT40" s="103" t="s">
        <v>12</v>
      </c>
      <c r="AU40" s="104">
        <v>5.78</v>
      </c>
      <c r="AV40" s="105"/>
      <c r="AW40" s="105"/>
      <c r="AX40" s="105"/>
      <c r="AY40" s="105"/>
    </row>
    <row r="41" spans="2:51" ht="15" x14ac:dyDescent="0.25">
      <c r="B41" s="3" t="s">
        <v>58</v>
      </c>
      <c r="C41" s="31">
        <f>'VZLA BFS'!C33/'VENEZUELA USD'!$AH$3</f>
        <v>0</v>
      </c>
      <c r="D41" s="33" t="str">
        <f>IF(DD42&lt;=0," ",C41/$C$20)</f>
        <v xml:space="preserve"> </v>
      </c>
      <c r="E41" s="31">
        <f>'VZLA BFS'!E41/'VENEZUELA USD'!$AH$3</f>
        <v>82.799117570724107</v>
      </c>
      <c r="F41" s="33">
        <f>+E41/$E$20</f>
        <v>1.5412119421135238E-2</v>
      </c>
      <c r="G41" s="33" t="str">
        <f>IF(C41=0,"",(E41-C41)/ABS(C41)+1)</f>
        <v/>
      </c>
      <c r="H41" s="62">
        <f>+'VZLA BFS'!H41/'VENEZUELA USD'!$AH$4</f>
        <v>3579.2020770229337</v>
      </c>
      <c r="I41" s="33">
        <f>IF($H$20&lt;=0," ",H41/$H$20)</f>
        <v>0.64607186656117943</v>
      </c>
      <c r="J41" s="33">
        <f>IF(E41=0,"",(E41-H41)/ABS(H41))</f>
        <v>-0.97686659881478555</v>
      </c>
      <c r="K41" s="31">
        <f>'VZLA BFS'!K33/'VENEZUELA USD'!$AH$3</f>
        <v>0</v>
      </c>
      <c r="L41" s="33" t="str">
        <f>IF($K$20&lt;=0," ",K41/$K$20)</f>
        <v xml:space="preserve"> </v>
      </c>
      <c r="M41" s="31">
        <f>'VZLA BFS'!M41/'VENEZUELA USD'!$AH$3</f>
        <v>82.799117570724107</v>
      </c>
      <c r="N41" s="33">
        <f>+M41/$M$20</f>
        <v>1.5412119421135238E-2</v>
      </c>
      <c r="O41" s="33" t="str">
        <f>IF(K41=0,"",(M41-K41)/ABS(K41)+1)</f>
        <v/>
      </c>
      <c r="P41" s="62">
        <f>+'VZLA BFS'!P41/'VENEZUELA USD'!$AH$4</f>
        <v>3579.2020770229337</v>
      </c>
      <c r="Q41" s="33">
        <f>IF($P$20&lt;=0," ",P41/$P$20)</f>
        <v>0.64607186656117943</v>
      </c>
      <c r="R41" s="33">
        <f>IF(M41=0,"",(M41-P41)/ABS(P41))</f>
        <v>-0.97686659881478555</v>
      </c>
      <c r="AL41" s="103" t="s">
        <v>13</v>
      </c>
      <c r="AM41" s="104">
        <v>4139112</v>
      </c>
      <c r="AN41" s="105"/>
      <c r="AO41" s="105"/>
      <c r="AP41" s="105"/>
      <c r="AQ41" s="105"/>
      <c r="AT41" s="103" t="s">
        <v>13</v>
      </c>
      <c r="AU41" s="104">
        <v>5.91</v>
      </c>
      <c r="AV41" s="105"/>
      <c r="AW41" s="105"/>
      <c r="AX41" s="105"/>
      <c r="AY41" s="105"/>
    </row>
    <row r="42" spans="2:51" ht="15" x14ac:dyDescent="0.25">
      <c r="B42" s="3" t="s">
        <v>44</v>
      </c>
      <c r="C42" s="31">
        <f>'VZLA BFS'!C34/'VENEZUELA USD'!$AH$3</f>
        <v>0</v>
      </c>
      <c r="D42" s="33" t="str">
        <f>IF(DD43&lt;=0," ",C42/$C$20)</f>
        <v xml:space="preserve"> </v>
      </c>
      <c r="E42" s="31">
        <f>'VZLA BFS'!E42/'VENEZUELA USD'!$AH$3</f>
        <v>0</v>
      </c>
      <c r="F42" s="33">
        <f>+E42/$E$20</f>
        <v>0</v>
      </c>
      <c r="G42" s="33" t="str">
        <f>IF(C42=0,"",(E42-C42)/ABS(C42)+1)</f>
        <v/>
      </c>
      <c r="H42" s="62">
        <f>+'VZLA BFS'!H42/'VENEZUELA USD'!$AH$4</f>
        <v>0</v>
      </c>
      <c r="I42" s="33">
        <f>IF($H$20&lt;=0," ",H42/$H$20)</f>
        <v>0</v>
      </c>
      <c r="J42" s="33" t="str">
        <f>IF(E42=0,"",(E42-H42)/ABS(H42))</f>
        <v/>
      </c>
      <c r="K42" s="31">
        <f>'VZLA BFS'!K34/'VENEZUELA USD'!$AH$3</f>
        <v>0</v>
      </c>
      <c r="L42" s="33" t="str">
        <f>IF($K$20&lt;=0," ",K42/$K$20)</f>
        <v xml:space="preserve"> </v>
      </c>
      <c r="M42" s="31">
        <f>'VZLA BFS'!M42/'VENEZUELA USD'!$AH$3</f>
        <v>0</v>
      </c>
      <c r="N42" s="33">
        <f>+M42/$M$20</f>
        <v>0</v>
      </c>
      <c r="O42" s="33" t="str">
        <f>IF(K42=0,"",(M42-K42)/ABS(K42)+1)</f>
        <v/>
      </c>
      <c r="P42" s="62">
        <f>+'VZLA BFS'!P42/'VENEZUELA USD'!$AH$4</f>
        <v>0</v>
      </c>
      <c r="Q42" s="33">
        <f>IF($P$20&lt;=0," ",P42/$P$20)</f>
        <v>0</v>
      </c>
      <c r="R42" s="33" t="str">
        <f>IF(M42=0,"",(M42-P42)/ABS(P42))</f>
        <v/>
      </c>
      <c r="AL42" s="103" t="s">
        <v>14</v>
      </c>
      <c r="AM42" s="104">
        <v>4148043</v>
      </c>
      <c r="AN42" s="105"/>
      <c r="AO42" s="105"/>
      <c r="AP42" s="105"/>
      <c r="AQ42" s="105"/>
      <c r="AT42" s="103" t="s">
        <v>14</v>
      </c>
      <c r="AU42" s="104">
        <v>8.39</v>
      </c>
      <c r="AV42" s="105"/>
      <c r="AW42" s="105"/>
      <c r="AX42" s="105"/>
      <c r="AY42" s="105"/>
    </row>
    <row r="43" spans="2:51" ht="15" x14ac:dyDescent="0.25">
      <c r="B43" s="3" t="s">
        <v>59</v>
      </c>
      <c r="C43" s="31">
        <f>'VZLA BFS'!C35/'VENEZUELA USD'!$AH$3</f>
        <v>0</v>
      </c>
      <c r="D43" s="33" t="str">
        <f>IF(DD44&lt;=0," ",C43/$C$20)</f>
        <v xml:space="preserve"> </v>
      </c>
      <c r="E43" s="31">
        <f>'VZLA BFS'!E43/'VENEZUELA USD'!$AH$3</f>
        <v>82.799117570724107</v>
      </c>
      <c r="F43" s="33">
        <f>+E43/$E$20</f>
        <v>1.5412119421135238E-2</v>
      </c>
      <c r="G43" s="33" t="str">
        <f>IF(C43=0,"",(E43-C43)/ABS(C43)+1)</f>
        <v/>
      </c>
      <c r="H43" s="62">
        <f>+'VZLA BFS'!H43/'VENEZUELA USD'!$AH$4</f>
        <v>3579.2020770229337</v>
      </c>
      <c r="I43" s="33">
        <f>IF($H$20&lt;=0," ",H43/$H$20)</f>
        <v>0.64607186656117943</v>
      </c>
      <c r="J43" s="33">
        <f>IF(E43=0,"",(E43-H43)/ABS(H43))</f>
        <v>-0.97686659881478555</v>
      </c>
      <c r="K43" s="31">
        <f>'VZLA BFS'!K35/'VENEZUELA USD'!$AH$3</f>
        <v>0</v>
      </c>
      <c r="L43" s="33" t="str">
        <f>IF($K$20&lt;=0," ",K43/$K$20)</f>
        <v xml:space="preserve"> </v>
      </c>
      <c r="M43" s="31">
        <f>'VZLA BFS'!M43/'VENEZUELA USD'!$AH$3</f>
        <v>82.799117570724107</v>
      </c>
      <c r="N43" s="33">
        <f>+M43/$M$20</f>
        <v>1.5412119421135238E-2</v>
      </c>
      <c r="O43" s="33" t="str">
        <f>IF(K43=0,"",(M43-K43)/ABS(K43)+1)</f>
        <v/>
      </c>
      <c r="P43" s="62">
        <f>+'VZLA BFS'!P43/'VENEZUELA USD'!$AH$4</f>
        <v>3579.2020770229337</v>
      </c>
      <c r="Q43" s="33">
        <f>IF($P$20&lt;=0," ",P43/$P$20)</f>
        <v>0.64607186656117943</v>
      </c>
      <c r="R43" s="33">
        <f>IF(M43=0,"",(M43-P43)/ABS(P43))</f>
        <v>-0.97686659881478555</v>
      </c>
      <c r="AL43" s="103" t="s">
        <v>15</v>
      </c>
      <c r="AM43" s="104">
        <v>4549688</v>
      </c>
      <c r="AN43" s="105"/>
      <c r="AO43" s="105"/>
      <c r="AP43" s="105"/>
      <c r="AQ43" s="105"/>
      <c r="AT43" s="103" t="s">
        <v>15</v>
      </c>
      <c r="AU43" s="104">
        <v>8.3699999999999992</v>
      </c>
      <c r="AV43" s="105"/>
      <c r="AW43" s="105"/>
      <c r="AX43" s="105"/>
      <c r="AY43" s="105"/>
    </row>
    <row r="44" spans="2:51" ht="15" x14ac:dyDescent="0.25">
      <c r="E44" s="31">
        <f>'VZLA BFS'!E44/'VENEZUELA USD'!$AH$3</f>
        <v>0</v>
      </c>
      <c r="H44" s="62">
        <f>+'VZLA BFS'!H44/'VENEZUELA USD'!$AH$4</f>
        <v>0</v>
      </c>
      <c r="M44" s="31">
        <f>'VZLA BFS'!M44/'VENEZUELA USD'!$AH$3</f>
        <v>0</v>
      </c>
      <c r="P44" s="62">
        <f>+'VZLA BFS'!P44/'VENEZUELA USD'!$AH$4</f>
        <v>0</v>
      </c>
      <c r="AL44" s="103" t="s">
        <v>16</v>
      </c>
      <c r="AM44" s="104">
        <v>4.5599999999999996</v>
      </c>
      <c r="AN44" s="105"/>
      <c r="AO44" s="105"/>
      <c r="AP44" s="105"/>
      <c r="AQ44" s="105"/>
      <c r="AT44" s="103" t="s">
        <v>16</v>
      </c>
      <c r="AU44" s="104">
        <v>9.0500000000000007</v>
      </c>
      <c r="AV44" s="105"/>
      <c r="AW44" s="105"/>
      <c r="AX44" s="105"/>
      <c r="AY44" s="105"/>
    </row>
    <row r="45" spans="2:51" ht="23.25" x14ac:dyDescent="0.25">
      <c r="B45" s="3" t="s">
        <v>60</v>
      </c>
      <c r="C45" s="31">
        <f>'VZLA BFS'!C36/'VENEZUELA USD'!$AH$3</f>
        <v>0</v>
      </c>
      <c r="D45" s="33" t="str">
        <f>IF(DD45&lt;=0," ",C45/$C$20)</f>
        <v xml:space="preserve"> </v>
      </c>
      <c r="E45" s="31">
        <f>'VZLA BFS'!E45/'VENEZUELA USD'!$AH$3</f>
        <v>82.799117570724107</v>
      </c>
      <c r="F45" s="33">
        <f>+E45/$E$20</f>
        <v>1.5412119421135238E-2</v>
      </c>
      <c r="G45" s="33" t="str">
        <f>IF(C45=0,"",(E45-C45)/ABS(C45)+1)</f>
        <v/>
      </c>
      <c r="H45" s="62">
        <f>+'VZLA BFS'!H45/'VENEZUELA USD'!$AH$4</f>
        <v>3579.2020770229337</v>
      </c>
      <c r="I45" s="33">
        <f>IF($H$20&lt;=0," ",H45/$H$20)</f>
        <v>0.64607186656117943</v>
      </c>
      <c r="J45" s="33">
        <f>IF(E45=0,"",(E45-H45)/ABS(H45))</f>
        <v>-0.97686659881478555</v>
      </c>
      <c r="K45" s="31">
        <f>'VZLA BFS'!K36/'VENEZUELA USD'!$AH$3</f>
        <v>0</v>
      </c>
      <c r="L45" s="33" t="str">
        <f>IF($K$20&lt;=0," ",K45/$K$20)</f>
        <v xml:space="preserve"> </v>
      </c>
      <c r="M45" s="31">
        <f>'VZLA BFS'!M45/'VENEZUELA USD'!$AH$3</f>
        <v>82.799117570724107</v>
      </c>
      <c r="N45" s="33">
        <f>+M45/$M$20</f>
        <v>1.5412119421135238E-2</v>
      </c>
      <c r="O45" s="33" t="str">
        <f>IF(K45=0,"",(M45-K45)/ABS(K45)+1)</f>
        <v/>
      </c>
      <c r="P45" s="62">
        <f>+'VZLA BFS'!P45/'VENEZUELA USD'!$AH$4</f>
        <v>3579.2020770229337</v>
      </c>
      <c r="Q45" s="33">
        <f>IF($P$20&lt;=0," ",P45/$P$20)</f>
        <v>0.64607186656117943</v>
      </c>
      <c r="R45" s="33">
        <f>IF(M45=0,"",(M45-P45)/ABS(P45))</f>
        <v>-0.97686659881478555</v>
      </c>
      <c r="AL45" s="103" t="s">
        <v>17</v>
      </c>
      <c r="AM45" s="104">
        <v>4.99</v>
      </c>
      <c r="AN45" s="105"/>
      <c r="AO45" s="105"/>
      <c r="AP45" s="106" t="s">
        <v>138</v>
      </c>
      <c r="AQ45" s="105" t="s">
        <v>139</v>
      </c>
      <c r="AT45" s="103" t="s">
        <v>17</v>
      </c>
      <c r="AU45" s="104">
        <v>13.1</v>
      </c>
      <c r="AV45" s="105"/>
      <c r="AW45" s="105"/>
      <c r="AX45" s="106" t="s">
        <v>138</v>
      </c>
      <c r="AY45" s="105" t="s">
        <v>139</v>
      </c>
    </row>
    <row r="46" spans="2:51" ht="15" x14ac:dyDescent="0.25">
      <c r="B46" s="3" t="s">
        <v>35</v>
      </c>
      <c r="C46" s="31">
        <f>'VZLA BFS'!C37/'VENEZUELA USD'!$AH$3</f>
        <v>0</v>
      </c>
      <c r="D46" s="33" t="str">
        <f>IF(DD46&lt;=0," ",C46/$C$20)</f>
        <v xml:space="preserve"> </v>
      </c>
      <c r="E46" s="31">
        <f>'VZLA BFS'!E46/'VENEZUELA USD'!$AH$3</f>
        <v>2610.9525045419155</v>
      </c>
      <c r="F46" s="33">
        <f>+E46/$E$20</f>
        <v>0.48599928336845233</v>
      </c>
      <c r="G46" s="33" t="str">
        <f>IF(C46=0,"",(E46-C46)/ABS(C46)+1)</f>
        <v/>
      </c>
      <c r="H46" s="62">
        <f>+'VZLA BFS'!H46/'VENEZUELA USD'!$AH$4</f>
        <v>2262.2674167027262</v>
      </c>
      <c r="I46" s="33">
        <f>IF($H$20&lt;=0," ",H46/$H$20)</f>
        <v>0.40835563377448908</v>
      </c>
      <c r="J46" s="33">
        <f>IF(E46=0,"",(E46-H46)/ABS(H46))</f>
        <v>0.15413080048131564</v>
      </c>
      <c r="K46" s="31">
        <f>'VZLA BFS'!K37/'VENEZUELA USD'!$AH$3</f>
        <v>0</v>
      </c>
      <c r="L46" s="33" t="str">
        <f>IF($K$20&lt;=0," ",K46/$K$20)</f>
        <v xml:space="preserve"> </v>
      </c>
      <c r="M46" s="31">
        <f>'VZLA BFS'!M46/'VENEZUELA USD'!$AH$3</f>
        <v>2610.9525045419155</v>
      </c>
      <c r="N46" s="33">
        <f>+M46/$M$20</f>
        <v>0.48599928336845233</v>
      </c>
      <c r="O46" s="33" t="str">
        <f>IF(K46=0,"",(M46-K46)/ABS(K46)+1)</f>
        <v/>
      </c>
      <c r="P46" s="62">
        <f>+'VZLA BFS'!P46/'VENEZUELA USD'!$AH$4</f>
        <v>2262.2674167027262</v>
      </c>
      <c r="Q46" s="33">
        <f>IF($P$20&lt;=0," ",P46/$P$20)</f>
        <v>0.40835563377448908</v>
      </c>
      <c r="R46" s="33">
        <f>IF(M46=0,"",(M46-P46)/ABS(P46))</f>
        <v>0.15413080048131564</v>
      </c>
      <c r="AL46" s="103" t="s">
        <v>18</v>
      </c>
      <c r="AM46" s="104">
        <v>4.6900000000000004</v>
      </c>
      <c r="AN46" s="107">
        <f>1/AM46</f>
        <v>0.21321961620469082</v>
      </c>
      <c r="AO46" s="105" t="s">
        <v>140</v>
      </c>
      <c r="AP46" s="105">
        <v>11272</v>
      </c>
      <c r="AQ46" s="108">
        <f>+AP46*AN46</f>
        <v>2403.4115138592751</v>
      </c>
      <c r="AT46" s="103" t="s">
        <v>18</v>
      </c>
      <c r="AU46" s="104">
        <v>18.600000000000001</v>
      </c>
      <c r="AV46" s="107">
        <f>1/AU46</f>
        <v>5.3763440860215048E-2</v>
      </c>
      <c r="AW46" s="105" t="s">
        <v>140</v>
      </c>
      <c r="AX46" s="109">
        <v>11272</v>
      </c>
      <c r="AY46" s="108">
        <f>+AX46*AV46</f>
        <v>606.02150537634407</v>
      </c>
    </row>
    <row r="47" spans="2:51" ht="15" x14ac:dyDescent="0.25">
      <c r="E47" s="52"/>
      <c r="M47" s="52"/>
      <c r="P47" s="62">
        <f>+'VZLA BFS'!P47/'VENEZUELA USD'!$AH$4</f>
        <v>0</v>
      </c>
      <c r="AL47" s="105" t="s">
        <v>141</v>
      </c>
      <c r="AM47" s="110">
        <f>AVERAGE(AM35:AM46)</f>
        <v>2329383.6866666665</v>
      </c>
      <c r="AN47" s="107">
        <f>1/AM47</f>
        <v>4.2929810392507461E-7</v>
      </c>
      <c r="AO47" s="105" t="s">
        <v>142</v>
      </c>
      <c r="AP47" s="111">
        <v>11272</v>
      </c>
      <c r="AQ47" s="112">
        <f>+AP47*AN47</f>
        <v>4.8390482274434411E-3</v>
      </c>
      <c r="AT47" s="105" t="s">
        <v>141</v>
      </c>
      <c r="AU47" s="110">
        <f>AVERAGE(AU35:AU46)</f>
        <v>7.725833333333334</v>
      </c>
      <c r="AV47" s="107">
        <f>1/AU47</f>
        <v>0.12943587531010678</v>
      </c>
      <c r="AW47" s="105" t="s">
        <v>142</v>
      </c>
      <c r="AX47" s="111">
        <v>11272</v>
      </c>
      <c r="AY47" s="112">
        <f>+AX47*AV47</f>
        <v>1459.0011864955236</v>
      </c>
    </row>
    <row r="51" spans="38:43" x14ac:dyDescent="0.2">
      <c r="AL51" s="78" t="s">
        <v>143</v>
      </c>
    </row>
    <row r="52" spans="38:43" ht="15" x14ac:dyDescent="0.25">
      <c r="AL52" s="103" t="s">
        <v>6</v>
      </c>
      <c r="AM52" s="104">
        <v>23.11</v>
      </c>
      <c r="AN52" s="105"/>
      <c r="AO52" s="105"/>
      <c r="AP52" s="105"/>
      <c r="AQ52" s="105"/>
    </row>
    <row r="53" spans="38:43" ht="15" x14ac:dyDescent="0.25">
      <c r="AL53" s="103" t="s">
        <v>8</v>
      </c>
      <c r="AM53" s="104">
        <v>25.1</v>
      </c>
      <c r="AN53" s="105"/>
      <c r="AO53" s="105"/>
      <c r="AP53" s="105"/>
      <c r="AQ53" s="105"/>
    </row>
    <row r="54" spans="38:43" ht="15" x14ac:dyDescent="0.25">
      <c r="AL54" s="103" t="s">
        <v>9</v>
      </c>
      <c r="AM54" s="104">
        <v>24.95</v>
      </c>
      <c r="AN54" s="105"/>
      <c r="AO54" s="105"/>
      <c r="AP54" s="105"/>
      <c r="AQ54" s="105"/>
    </row>
    <row r="55" spans="38:43" ht="15" x14ac:dyDescent="0.25">
      <c r="AL55" s="103" t="s">
        <v>10</v>
      </c>
      <c r="AM55" s="104">
        <v>28.23</v>
      </c>
      <c r="AN55" s="105"/>
      <c r="AO55" s="105"/>
      <c r="AP55" s="105"/>
      <c r="AQ55" s="105"/>
    </row>
    <row r="56" spans="38:43" ht="15" x14ac:dyDescent="0.25">
      <c r="AL56" s="103" t="s">
        <v>11</v>
      </c>
      <c r="AM56" s="104">
        <v>28.23</v>
      </c>
      <c r="AN56" s="105"/>
      <c r="AO56" s="105"/>
      <c r="AP56" s="105"/>
      <c r="AQ56" s="105"/>
    </row>
    <row r="57" spans="38:43" ht="15" x14ac:dyDescent="0.25">
      <c r="AL57" s="103" t="s">
        <v>12</v>
      </c>
      <c r="AM57" s="104">
        <v>28.35</v>
      </c>
      <c r="AN57" s="105"/>
      <c r="AO57" s="105"/>
      <c r="AP57" s="105"/>
      <c r="AQ57" s="105"/>
    </row>
    <row r="58" spans="38:43" ht="15" x14ac:dyDescent="0.25">
      <c r="AL58" s="103" t="s">
        <v>13</v>
      </c>
      <c r="AM58" s="104">
        <v>33.93</v>
      </c>
      <c r="AN58" s="105"/>
      <c r="AO58" s="105"/>
      <c r="AP58" s="105"/>
      <c r="AQ58" s="105"/>
    </row>
    <row r="59" spans="38:43" ht="15" x14ac:dyDescent="0.25">
      <c r="AL59" s="103" t="s">
        <v>14</v>
      </c>
      <c r="AM59" s="104">
        <v>34.659999999999997</v>
      </c>
      <c r="AN59" s="105"/>
      <c r="AO59" s="105"/>
      <c r="AP59" s="105"/>
      <c r="AQ59" s="105"/>
    </row>
    <row r="60" spans="38:43" ht="15" x14ac:dyDescent="0.25">
      <c r="AL60" s="103" t="s">
        <v>15</v>
      </c>
      <c r="AM60" s="104">
        <v>35.74</v>
      </c>
      <c r="AN60" s="105"/>
      <c r="AO60" s="105"/>
      <c r="AP60" s="105"/>
      <c r="AQ60" s="105"/>
    </row>
    <row r="61" spans="38:43" ht="15" x14ac:dyDescent="0.25">
      <c r="AL61" s="103" t="s">
        <v>16</v>
      </c>
      <c r="AM61" s="104">
        <v>37.29</v>
      </c>
      <c r="AN61" s="105"/>
      <c r="AO61" s="105"/>
      <c r="AP61" s="105"/>
      <c r="AQ61" s="105"/>
    </row>
    <row r="62" spans="38:43" ht="23.25" x14ac:dyDescent="0.25">
      <c r="AL62" s="103" t="s">
        <v>17</v>
      </c>
      <c r="AM62" s="104">
        <v>37.950000000000003</v>
      </c>
      <c r="AN62" s="105"/>
      <c r="AO62" s="105"/>
      <c r="AP62" s="106" t="s">
        <v>138</v>
      </c>
      <c r="AQ62" s="105" t="s">
        <v>139</v>
      </c>
    </row>
    <row r="63" spans="38:43" ht="15" x14ac:dyDescent="0.25">
      <c r="AL63" s="103" t="s">
        <v>18</v>
      </c>
      <c r="AM63" s="104">
        <v>39.08</v>
      </c>
      <c r="AN63" s="107">
        <f>1/AM63</f>
        <v>2.5588536335721598E-2</v>
      </c>
      <c r="AO63" s="105" t="s">
        <v>140</v>
      </c>
      <c r="AP63" s="109">
        <v>394358</v>
      </c>
      <c r="AQ63" s="108">
        <f>+AP63*AN63</f>
        <v>10091.044012282498</v>
      </c>
    </row>
    <row r="64" spans="38:43" ht="15" x14ac:dyDescent="0.25">
      <c r="AL64" s="105" t="s">
        <v>141</v>
      </c>
      <c r="AM64" s="110">
        <f>AVERAGE(AM52:AM63)</f>
        <v>31.385000000000002</v>
      </c>
      <c r="AN64" s="107">
        <f>1/AM64</f>
        <v>3.186235462800701E-2</v>
      </c>
      <c r="AO64" s="105" t="s">
        <v>142</v>
      </c>
      <c r="AP64" s="109">
        <v>394358</v>
      </c>
      <c r="AQ64" s="112">
        <f>+AP64*AN64</f>
        <v>12565.174446391589</v>
      </c>
    </row>
    <row r="69" spans="38:43" x14ac:dyDescent="0.2">
      <c r="AL69" s="78" t="s">
        <v>144</v>
      </c>
    </row>
    <row r="70" spans="38:43" ht="15" x14ac:dyDescent="0.25">
      <c r="AL70" s="103" t="s">
        <v>6</v>
      </c>
      <c r="AM70" s="104">
        <v>38.53</v>
      </c>
      <c r="AN70" s="105"/>
      <c r="AO70" s="105"/>
      <c r="AP70" s="105"/>
      <c r="AQ70" s="105"/>
    </row>
    <row r="71" spans="38:43" ht="15" x14ac:dyDescent="0.25">
      <c r="AL71" s="103" t="s">
        <v>8</v>
      </c>
      <c r="AM71" s="104"/>
      <c r="AN71" s="105"/>
      <c r="AO71" s="105"/>
      <c r="AP71" s="105"/>
      <c r="AQ71" s="105"/>
    </row>
    <row r="72" spans="38:43" ht="15" x14ac:dyDescent="0.25">
      <c r="AL72" s="103" t="s">
        <v>9</v>
      </c>
      <c r="AM72" s="104"/>
      <c r="AN72" s="105"/>
      <c r="AO72" s="105"/>
      <c r="AP72" s="105"/>
      <c r="AQ72" s="105"/>
    </row>
    <row r="73" spans="38:43" ht="15" x14ac:dyDescent="0.25">
      <c r="AL73" s="103" t="s">
        <v>10</v>
      </c>
      <c r="AM73" s="104"/>
      <c r="AN73" s="105"/>
      <c r="AO73" s="105"/>
      <c r="AP73" s="105"/>
      <c r="AQ73" s="105"/>
    </row>
    <row r="74" spans="38:43" ht="15" x14ac:dyDescent="0.25">
      <c r="AL74" s="103" t="s">
        <v>11</v>
      </c>
      <c r="AM74" s="104"/>
      <c r="AN74" s="105"/>
      <c r="AO74" s="105"/>
      <c r="AP74" s="105"/>
      <c r="AQ74" s="105"/>
    </row>
    <row r="75" spans="38:43" ht="15" x14ac:dyDescent="0.25">
      <c r="AL75" s="103" t="s">
        <v>12</v>
      </c>
      <c r="AM75" s="104"/>
      <c r="AN75" s="105"/>
      <c r="AO75" s="105"/>
      <c r="AP75" s="105"/>
      <c r="AQ75" s="105"/>
    </row>
    <row r="76" spans="38:43" ht="15" x14ac:dyDescent="0.25">
      <c r="AL76" s="103" t="s">
        <v>13</v>
      </c>
      <c r="AM76" s="104"/>
      <c r="AN76" s="105"/>
      <c r="AO76" s="105"/>
      <c r="AP76" s="105"/>
      <c r="AQ76" s="105"/>
    </row>
    <row r="77" spans="38:43" ht="15" x14ac:dyDescent="0.25">
      <c r="AL77" s="103" t="s">
        <v>14</v>
      </c>
      <c r="AM77" s="104"/>
      <c r="AN77" s="105"/>
      <c r="AO77" s="105"/>
      <c r="AP77" s="105"/>
      <c r="AQ77" s="105"/>
    </row>
    <row r="78" spans="38:43" ht="15" x14ac:dyDescent="0.25">
      <c r="AL78" s="103" t="s">
        <v>15</v>
      </c>
      <c r="AM78" s="104"/>
      <c r="AN78" s="105"/>
      <c r="AO78" s="105"/>
      <c r="AP78" s="105"/>
      <c r="AQ78" s="105"/>
    </row>
    <row r="79" spans="38:43" ht="15" x14ac:dyDescent="0.25">
      <c r="AL79" s="103" t="s">
        <v>16</v>
      </c>
      <c r="AM79" s="104"/>
      <c r="AN79" s="105"/>
      <c r="AO79" s="105"/>
      <c r="AP79" s="105"/>
      <c r="AQ79" s="105"/>
    </row>
    <row r="80" spans="38:43" ht="23.25" x14ac:dyDescent="0.25">
      <c r="AL80" s="103" t="s">
        <v>17</v>
      </c>
      <c r="AM80" s="104"/>
      <c r="AN80" s="105"/>
      <c r="AO80" s="105"/>
      <c r="AP80" s="106" t="s">
        <v>138</v>
      </c>
      <c r="AQ80" s="105" t="s">
        <v>139</v>
      </c>
    </row>
    <row r="81" spans="38:43" ht="15" x14ac:dyDescent="0.25">
      <c r="AL81" s="103" t="s">
        <v>18</v>
      </c>
      <c r="AM81" s="104"/>
      <c r="AN81" s="107" t="e">
        <f>1/AM81</f>
        <v>#DIV/0!</v>
      </c>
      <c r="AO81" s="105" t="s">
        <v>140</v>
      </c>
      <c r="AP81" s="109"/>
      <c r="AQ81" s="108" t="e">
        <f>+AP81*AN81</f>
        <v>#DIV/0!</v>
      </c>
    </row>
    <row r="82" spans="38:43" ht="15" x14ac:dyDescent="0.25">
      <c r="AL82" s="105" t="s">
        <v>141</v>
      </c>
      <c r="AM82" s="110">
        <f>AVERAGE(AM70:AM81)</f>
        <v>38.53</v>
      </c>
      <c r="AN82" s="107">
        <f>1/AM82</f>
        <v>2.5953802232026993E-2</v>
      </c>
      <c r="AO82" s="105" t="s">
        <v>142</v>
      </c>
      <c r="AP82" s="109"/>
      <c r="AQ82" s="112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54C7C-AF72-4CC3-A175-4C442722706C}">
  <sheetPr>
    <tabColor theme="2" tint="-0.249977111117893"/>
  </sheetPr>
  <dimension ref="A1:AH48"/>
  <sheetViews>
    <sheetView showGridLines="0" topLeftCell="AJ1" zoomScale="93" zoomScaleNormal="93" workbookViewId="0">
      <selection activeCell="AP1" sqref="AP1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3" customFormat="1" ht="14.25" customHeight="1" x14ac:dyDescent="0.2"/>
    <row r="3" spans="1:34" ht="14.25" customHeight="1" x14ac:dyDescent="0.25">
      <c r="B3" s="15" t="s">
        <v>145</v>
      </c>
      <c r="T3" s="17" t="s">
        <v>145</v>
      </c>
    </row>
    <row r="4" spans="1:34" ht="14.25" customHeight="1" x14ac:dyDescent="0.2">
      <c r="A4" s="77" t="str">
        <f>+Paramet!A3</f>
        <v>202301</v>
      </c>
      <c r="B4" s="2" t="s">
        <v>20</v>
      </c>
      <c r="K4" s="113"/>
      <c r="L4" s="113"/>
      <c r="M4" s="113"/>
      <c r="N4" s="113"/>
      <c r="O4" s="113"/>
      <c r="P4" s="113"/>
      <c r="Q4" s="113"/>
      <c r="R4" s="113"/>
      <c r="S4" s="113"/>
      <c r="T4" s="3" t="s">
        <v>21</v>
      </c>
    </row>
    <row r="5" spans="1:34" ht="14.25" customHeight="1" x14ac:dyDescent="0.2">
      <c r="A5" s="77" t="str">
        <f>+Paramet!A4</f>
        <v>202301</v>
      </c>
      <c r="B5" s="3" t="s">
        <v>146</v>
      </c>
      <c r="K5" s="12"/>
      <c r="L5" s="12"/>
      <c r="M5" s="22"/>
      <c r="N5" s="22"/>
      <c r="O5" s="9"/>
      <c r="P5" s="12"/>
      <c r="Q5" s="12"/>
      <c r="R5" s="9"/>
      <c r="S5" s="9"/>
      <c r="T5" s="3" t="s">
        <v>146</v>
      </c>
    </row>
    <row r="6" spans="1:34" ht="14.25" customHeight="1" thickBot="1" x14ac:dyDescent="0.25">
      <c r="A6" s="77" t="str">
        <f>+Paramet!B3</f>
        <v>202401</v>
      </c>
      <c r="B6" s="19" t="str">
        <f>+'COLOMB$ '!B6</f>
        <v>ENERO de 2024</v>
      </c>
      <c r="K6" s="20" t="s">
        <v>23</v>
      </c>
      <c r="L6" s="20"/>
      <c r="M6" s="20"/>
      <c r="N6" s="20"/>
      <c r="O6" s="20"/>
      <c r="P6" s="20"/>
      <c r="Q6" s="20"/>
      <c r="R6" s="20"/>
      <c r="S6" s="14"/>
      <c r="T6" s="19" t="str">
        <f>+B6</f>
        <v>ENERO de 2024</v>
      </c>
      <c r="X6" s="20" t="s">
        <v>23</v>
      </c>
      <c r="Y6" s="20"/>
      <c r="Z6" s="20"/>
      <c r="AA6" s="20"/>
      <c r="AB6" s="20"/>
      <c r="AC6" s="20"/>
    </row>
    <row r="7" spans="1:34" ht="14.25" customHeight="1" x14ac:dyDescent="0.2">
      <c r="A7" s="77" t="str">
        <f>+Paramet!B4</f>
        <v>202401</v>
      </c>
      <c r="B7" s="60"/>
      <c r="C7" s="60" t="str">
        <f>+'COLOMB$ '!D7:D7</f>
        <v>Ppto 2024</v>
      </c>
      <c r="D7" s="60"/>
      <c r="E7" s="60" t="str">
        <f>+'COLOMB$ '!F7:F7</f>
        <v>Real 2024</v>
      </c>
      <c r="F7" s="60"/>
      <c r="G7" s="60" t="s">
        <v>24</v>
      </c>
      <c r="H7" s="60" t="str">
        <f>+'COLOMB$ '!I7:I7</f>
        <v>Real 2023</v>
      </c>
      <c r="I7" s="60"/>
      <c r="J7" s="60" t="s">
        <v>25</v>
      </c>
      <c r="K7" s="60" t="str">
        <f>+C7</f>
        <v>Ppto 2024</v>
      </c>
      <c r="L7" s="60"/>
      <c r="M7" s="60" t="str">
        <f>+E7</f>
        <v>Real 2024</v>
      </c>
      <c r="N7" s="60"/>
      <c r="O7" s="60" t="s">
        <v>24</v>
      </c>
      <c r="P7" s="60" t="str">
        <f>+H7</f>
        <v>Real 2023</v>
      </c>
      <c r="Q7" s="60"/>
      <c r="R7" s="60" t="s">
        <v>25</v>
      </c>
      <c r="T7" s="53"/>
      <c r="U7" s="53" t="str">
        <f>+C7</f>
        <v>Ppto 2024</v>
      </c>
      <c r="V7" s="53" t="str">
        <f>+M7</f>
        <v>Real 2024</v>
      </c>
      <c r="W7" s="53" t="str">
        <f>+H7</f>
        <v>Real 2023</v>
      </c>
      <c r="X7" s="114" t="str">
        <f>+K7</f>
        <v>Ppto 2024</v>
      </c>
      <c r="Y7" s="53" t="str">
        <f>+V7</f>
        <v>Real 2024</v>
      </c>
      <c r="Z7" s="53" t="s">
        <v>26</v>
      </c>
      <c r="AA7" s="53" t="s">
        <v>24</v>
      </c>
      <c r="AB7" s="53" t="str">
        <f>+W7</f>
        <v>Real 2023</v>
      </c>
      <c r="AC7" s="53" t="s">
        <v>25</v>
      </c>
    </row>
    <row r="8" spans="1:34" ht="14.25" customHeight="1" thickBot="1" x14ac:dyDescent="0.25">
      <c r="B8" s="25" t="s">
        <v>27</v>
      </c>
      <c r="C8" s="26" t="s">
        <v>28</v>
      </c>
      <c r="D8" s="26" t="s">
        <v>29</v>
      </c>
      <c r="E8" s="26" t="s">
        <v>28</v>
      </c>
      <c r="F8" s="26" t="s">
        <v>29</v>
      </c>
      <c r="G8" s="26" t="s">
        <v>30</v>
      </c>
      <c r="H8" s="26" t="s">
        <v>28</v>
      </c>
      <c r="I8" s="26" t="s">
        <v>29</v>
      </c>
      <c r="J8" s="26" t="s">
        <v>30</v>
      </c>
      <c r="K8" s="26" t="s">
        <v>28</v>
      </c>
      <c r="L8" s="26" t="s">
        <v>29</v>
      </c>
      <c r="M8" s="26" t="s">
        <v>28</v>
      </c>
      <c r="N8" s="26" t="s">
        <v>29</v>
      </c>
      <c r="O8" s="26" t="s">
        <v>30</v>
      </c>
      <c r="P8" s="26" t="s">
        <v>28</v>
      </c>
      <c r="Q8" s="26" t="s">
        <v>29</v>
      </c>
      <c r="R8" s="26" t="s">
        <v>30</v>
      </c>
      <c r="T8" s="28"/>
      <c r="U8" s="29"/>
      <c r="V8" s="29"/>
      <c r="W8" s="29"/>
      <c r="X8" s="29"/>
      <c r="Y8" s="29"/>
      <c r="Z8" s="29"/>
      <c r="AA8" s="29" t="s">
        <v>30</v>
      </c>
      <c r="AB8" s="29"/>
      <c r="AC8" s="29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1">
        <f>+E10</f>
        <v>0</v>
      </c>
      <c r="D10" s="33" t="str">
        <f>IF($C$20&lt;=0," ",C10/$C$20)</f>
        <v xml:space="preserve"> </v>
      </c>
      <c r="E10" s="31">
        <v>0</v>
      </c>
      <c r="F10" s="33" t="str">
        <f>IF($E$20&lt;=0," ",E10/$E$20)</f>
        <v xml:space="preserve"> </v>
      </c>
      <c r="G10" s="33" t="str">
        <f>IF(C10=0,"",(E10-C10)/ABS(C10)+1)</f>
        <v/>
      </c>
      <c r="H10" s="31">
        <v>0</v>
      </c>
      <c r="I10" s="33" t="str">
        <f>IF(E10=0,"",(G10-E10)/ABS(E10)+1)</f>
        <v/>
      </c>
      <c r="J10" s="33" t="str">
        <f>IF($H$20&lt;=0," ",I10/$H$20)</f>
        <v xml:space="preserve"> </v>
      </c>
      <c r="K10" s="31">
        <f t="shared" ref="K10:K15" si="0">+M10</f>
        <v>0</v>
      </c>
      <c r="L10" s="33" t="str">
        <f>IF($K$20&lt;=0," ",K10/$K$20)</f>
        <v xml:space="preserve"> </v>
      </c>
      <c r="M10" s="31">
        <v>0</v>
      </c>
      <c r="N10" s="33" t="str">
        <f>IF($M$20&lt;=0," ",M10/$M$20)</f>
        <v xml:space="preserve"> </v>
      </c>
      <c r="O10" s="33" t="str">
        <f t="shared" ref="O10:O15" si="1">IF(K10=0,"",(M10-K10)/ABS(K10)+1)</f>
        <v/>
      </c>
      <c r="P10" s="31">
        <v>0</v>
      </c>
      <c r="Q10" s="33" t="e">
        <f t="shared" ref="Q10:Q15" si="2">+P10/$P$20</f>
        <v>#DIV/0!</v>
      </c>
      <c r="R10" s="33" t="str">
        <f>IF(P10=0,"",(M10-P10)/ABS(P10))</f>
        <v/>
      </c>
      <c r="T10" s="3" t="s">
        <v>31</v>
      </c>
      <c r="U10" s="31">
        <f>+V10</f>
        <v>0</v>
      </c>
      <c r="V10" s="31">
        <v>0</v>
      </c>
      <c r="W10" s="31">
        <v>8811.7900000000009</v>
      </c>
      <c r="X10" s="31">
        <f>+Y10</f>
        <v>0</v>
      </c>
      <c r="Y10" s="31">
        <v>0</v>
      </c>
      <c r="Z10" s="62">
        <f>+Y10-X10</f>
        <v>0</v>
      </c>
      <c r="AA10" s="67" t="str">
        <f>IF(X10=0,"",(Y10-X10)/ABS(X10)+1)</f>
        <v/>
      </c>
      <c r="AB10" s="31">
        <v>9874.7900000000009</v>
      </c>
      <c r="AC10" s="67">
        <f>IF(W10=0,"",(Y10-AB10)/ABS(AB10))</f>
        <v>-1</v>
      </c>
      <c r="AE10" s="31"/>
      <c r="AF10" s="31"/>
    </row>
    <row r="11" spans="1:34" ht="14.25" customHeight="1" x14ac:dyDescent="0.2">
      <c r="B11" s="3" t="s">
        <v>67</v>
      </c>
      <c r="C11" s="31">
        <v>0</v>
      </c>
      <c r="D11" s="33" t="str">
        <f t="shared" ref="D11:D20" si="3">IF($C$20&lt;=0," ",C11/$C$20)</f>
        <v xml:space="preserve"> </v>
      </c>
      <c r="E11" s="31">
        <v>0</v>
      </c>
      <c r="F11" s="33" t="str">
        <f t="shared" ref="F11:F20" si="4">IF($E$20&lt;=0," ",E11/$E$20)</f>
        <v xml:space="preserve"> </v>
      </c>
      <c r="G11" s="33" t="str">
        <f t="shared" ref="G11:G46" si="5">IF(C11=0,"",(E11-C11)/ABS(C11)+1)</f>
        <v/>
      </c>
      <c r="H11" s="31">
        <v>0</v>
      </c>
      <c r="I11" s="33" t="str">
        <f t="shared" ref="I11:I46" si="6">IF(E11=0,"",(G11-E11)/ABS(E11)+1)</f>
        <v/>
      </c>
      <c r="J11" s="33" t="str">
        <f>IF(H11=0,"",(E11-H11)/ABS(H11))</f>
        <v/>
      </c>
      <c r="K11" s="31">
        <f t="shared" si="0"/>
        <v>0</v>
      </c>
      <c r="L11" s="33" t="str">
        <f t="shared" ref="L11:L20" si="7">IF($K$20&lt;=0," ",K11/$K$20)</f>
        <v xml:space="preserve"> </v>
      </c>
      <c r="M11" s="31">
        <v>0</v>
      </c>
      <c r="N11" s="33" t="str">
        <f t="shared" ref="N11:N24" si="8">IF($M$20&lt;=0," ",M11/$M$20)</f>
        <v xml:space="preserve"> </v>
      </c>
      <c r="O11" s="33" t="str">
        <f t="shared" si="1"/>
        <v/>
      </c>
      <c r="P11" s="31">
        <v>0</v>
      </c>
      <c r="Q11" s="33" t="e">
        <f t="shared" si="2"/>
        <v>#DIV/0!</v>
      </c>
      <c r="R11" s="33" t="str">
        <f t="shared" ref="R11:R46" si="9">IF(P11=0,"",(M11-P11)/ABS(P11))</f>
        <v/>
      </c>
      <c r="T11" s="3" t="s">
        <v>32</v>
      </c>
      <c r="U11" s="31">
        <f>+V11</f>
        <v>0</v>
      </c>
      <c r="V11" s="31">
        <v>0</v>
      </c>
      <c r="W11" s="31">
        <v>0</v>
      </c>
      <c r="X11" s="31">
        <f>+Y11</f>
        <v>0</v>
      </c>
      <c r="Y11" s="31">
        <v>0</v>
      </c>
      <c r="Z11" s="62">
        <f>+Y11-X11</f>
        <v>0</v>
      </c>
      <c r="AA11" s="67" t="str">
        <f>IF(X11=0,"",(Y11-X11)/ABS(X11)+1)</f>
        <v/>
      </c>
      <c r="AB11" s="31">
        <v>47375</v>
      </c>
      <c r="AC11" s="67">
        <f>IF(AB11=0,"",(Y11-AB11)/ABS(AB11))</f>
        <v>-1</v>
      </c>
      <c r="AD11" s="66"/>
      <c r="AE11" s="66"/>
      <c r="AF11" s="66"/>
      <c r="AH11" s="54"/>
    </row>
    <row r="12" spans="1:34" ht="14.25" customHeight="1" x14ac:dyDescent="0.2">
      <c r="B12" s="3" t="s">
        <v>69</v>
      </c>
      <c r="C12" s="31">
        <v>0</v>
      </c>
      <c r="D12" s="33" t="str">
        <f t="shared" si="3"/>
        <v xml:space="preserve"> </v>
      </c>
      <c r="E12" s="31">
        <v>0</v>
      </c>
      <c r="F12" s="33" t="str">
        <f t="shared" si="4"/>
        <v xml:space="preserve"> </v>
      </c>
      <c r="G12" s="33" t="str">
        <f t="shared" si="5"/>
        <v/>
      </c>
      <c r="H12" s="31">
        <v>0</v>
      </c>
      <c r="I12" s="33" t="str">
        <f t="shared" si="6"/>
        <v/>
      </c>
      <c r="J12" s="33" t="str">
        <f>IF(H12=0,"",(E12-H12)/ABS(H12))</f>
        <v/>
      </c>
      <c r="K12" s="31">
        <f t="shared" si="0"/>
        <v>0</v>
      </c>
      <c r="L12" s="33" t="str">
        <f t="shared" si="7"/>
        <v xml:space="preserve"> </v>
      </c>
      <c r="M12" s="31">
        <v>0</v>
      </c>
      <c r="N12" s="33" t="str">
        <f t="shared" si="8"/>
        <v xml:space="preserve"> </v>
      </c>
      <c r="O12" s="33" t="str">
        <f t="shared" si="1"/>
        <v/>
      </c>
      <c r="P12" s="31">
        <v>0</v>
      </c>
      <c r="Q12" s="33" t="e">
        <f t="shared" si="2"/>
        <v>#DIV/0!</v>
      </c>
      <c r="R12" s="33" t="str">
        <f t="shared" si="9"/>
        <v/>
      </c>
      <c r="AE12" s="66"/>
      <c r="AF12" s="66"/>
    </row>
    <row r="13" spans="1:34" ht="14.25" customHeight="1" x14ac:dyDescent="0.2">
      <c r="B13" s="3" t="s">
        <v>71</v>
      </c>
      <c r="C13" s="31">
        <v>0</v>
      </c>
      <c r="D13" s="33" t="str">
        <f t="shared" si="3"/>
        <v xml:space="preserve"> </v>
      </c>
      <c r="E13" s="31">
        <v>0</v>
      </c>
      <c r="F13" s="33" t="str">
        <f t="shared" si="4"/>
        <v xml:space="preserve"> </v>
      </c>
      <c r="G13" s="33" t="str">
        <f t="shared" si="5"/>
        <v/>
      </c>
      <c r="H13" s="31">
        <v>0</v>
      </c>
      <c r="I13" s="33" t="str">
        <f t="shared" si="6"/>
        <v/>
      </c>
      <c r="J13" s="33" t="str">
        <f>IF(H13=0,"",(E13-H13)/ABS(H13))</f>
        <v/>
      </c>
      <c r="K13" s="31">
        <f t="shared" si="0"/>
        <v>0</v>
      </c>
      <c r="L13" s="33" t="str">
        <f t="shared" si="7"/>
        <v xml:space="preserve"> </v>
      </c>
      <c r="M13" s="31">
        <v>0</v>
      </c>
      <c r="N13" s="33" t="str">
        <f t="shared" si="8"/>
        <v xml:space="preserve"> </v>
      </c>
      <c r="O13" s="33" t="str">
        <f t="shared" si="1"/>
        <v/>
      </c>
      <c r="P13" s="31"/>
      <c r="Q13" s="33" t="e">
        <f t="shared" si="2"/>
        <v>#DIV/0!</v>
      </c>
      <c r="R13" s="33" t="str">
        <f t="shared" si="9"/>
        <v/>
      </c>
      <c r="T13" s="3" t="s">
        <v>33</v>
      </c>
      <c r="U13" s="31">
        <v>0</v>
      </c>
      <c r="V13" s="31">
        <v>0</v>
      </c>
      <c r="W13" s="31">
        <v>0</v>
      </c>
      <c r="X13" s="31"/>
      <c r="Y13" s="31"/>
      <c r="Z13" s="62">
        <f>+X13-Y13</f>
        <v>0</v>
      </c>
      <c r="AA13" s="67" t="str">
        <f>IF(X13=0,"",(Y13-X13)/ABS(X13)+1)</f>
        <v/>
      </c>
      <c r="AB13" s="31"/>
      <c r="AC13" s="67" t="str">
        <f>IF(AB13=0,"",(Y13-AB13)/ABS(AB13))</f>
        <v/>
      </c>
      <c r="AE13" s="66"/>
      <c r="AF13" s="66"/>
    </row>
    <row r="14" spans="1:34" ht="14.25" customHeight="1" x14ac:dyDescent="0.2">
      <c r="B14" s="3" t="s">
        <v>72</v>
      </c>
      <c r="C14" s="31">
        <v>0</v>
      </c>
      <c r="D14" s="33" t="str">
        <f t="shared" si="3"/>
        <v xml:space="preserve"> </v>
      </c>
      <c r="E14" s="31">
        <v>0</v>
      </c>
      <c r="F14" s="33" t="str">
        <f t="shared" si="4"/>
        <v xml:space="preserve"> </v>
      </c>
      <c r="G14" s="33" t="str">
        <f t="shared" si="5"/>
        <v/>
      </c>
      <c r="H14" s="31">
        <v>0</v>
      </c>
      <c r="I14" s="33" t="str">
        <f t="shared" si="6"/>
        <v/>
      </c>
      <c r="J14" s="33" t="str">
        <f>IF(H14=0,"",(E14-H14)/ABS(H14))</f>
        <v/>
      </c>
      <c r="K14" s="31">
        <f t="shared" si="0"/>
        <v>0</v>
      </c>
      <c r="L14" s="33" t="str">
        <f t="shared" si="7"/>
        <v xml:space="preserve"> </v>
      </c>
      <c r="M14" s="31">
        <v>0</v>
      </c>
      <c r="N14" s="33" t="str">
        <f t="shared" si="8"/>
        <v xml:space="preserve"> </v>
      </c>
      <c r="O14" s="33" t="str">
        <f t="shared" si="1"/>
        <v/>
      </c>
      <c r="P14" s="31">
        <v>0</v>
      </c>
      <c r="Q14" s="33" t="e">
        <f t="shared" si="2"/>
        <v>#DIV/0!</v>
      </c>
      <c r="R14" s="33" t="str">
        <f t="shared" si="9"/>
        <v/>
      </c>
      <c r="T14" s="3" t="s">
        <v>34</v>
      </c>
      <c r="U14" s="31">
        <v>0</v>
      </c>
      <c r="V14" s="31">
        <v>0</v>
      </c>
      <c r="W14" s="31">
        <v>0</v>
      </c>
      <c r="X14" s="31"/>
      <c r="Y14" s="31"/>
      <c r="Z14" s="62">
        <f>+X14-Y14</f>
        <v>0</v>
      </c>
      <c r="AA14" s="67" t="str">
        <f>IF(X14=0,"",(Y14-X14)/ABS(X14)+1)</f>
        <v/>
      </c>
      <c r="AB14" s="31"/>
      <c r="AC14" s="67" t="str">
        <f>IF(AB14=0,"",(Y14-AB14)/ABS(AB14))</f>
        <v/>
      </c>
      <c r="AE14" s="66"/>
      <c r="AF14" s="66"/>
    </row>
    <row r="15" spans="1:34" ht="14.25" customHeight="1" x14ac:dyDescent="0.2">
      <c r="B15" s="3" t="s">
        <v>74</v>
      </c>
      <c r="C15" s="31">
        <v>0</v>
      </c>
      <c r="D15" s="33" t="str">
        <f t="shared" si="3"/>
        <v xml:space="preserve"> </v>
      </c>
      <c r="E15" s="31">
        <v>0</v>
      </c>
      <c r="F15" s="33" t="str">
        <f t="shared" si="4"/>
        <v xml:space="preserve"> </v>
      </c>
      <c r="G15" s="33" t="str">
        <f t="shared" si="5"/>
        <v/>
      </c>
      <c r="H15" s="31">
        <v>0</v>
      </c>
      <c r="I15" s="33" t="str">
        <f t="shared" si="6"/>
        <v/>
      </c>
      <c r="J15" s="33" t="str">
        <f>IF(H15=0,"",(E15-H15)/ABS(H15))</f>
        <v/>
      </c>
      <c r="K15" s="31">
        <f t="shared" si="0"/>
        <v>0</v>
      </c>
      <c r="L15" s="33" t="str">
        <f t="shared" si="7"/>
        <v xml:space="preserve"> </v>
      </c>
      <c r="M15" s="31">
        <v>0</v>
      </c>
      <c r="N15" s="33" t="str">
        <f t="shared" si="8"/>
        <v xml:space="preserve"> </v>
      </c>
      <c r="O15" s="33" t="str">
        <f t="shared" si="1"/>
        <v/>
      </c>
      <c r="P15" s="31">
        <v>0</v>
      </c>
      <c r="Q15" s="33" t="e">
        <f t="shared" si="2"/>
        <v>#DIV/0!</v>
      </c>
      <c r="R15" s="33" t="str">
        <f t="shared" si="9"/>
        <v/>
      </c>
      <c r="T15" s="3" t="s">
        <v>35</v>
      </c>
      <c r="U15" s="31"/>
      <c r="V15" s="31">
        <v>0</v>
      </c>
      <c r="W15" s="31">
        <v>0</v>
      </c>
      <c r="X15" s="31"/>
      <c r="Y15" s="31"/>
      <c r="Z15" s="62">
        <f>+X15-Y15</f>
        <v>0</v>
      </c>
      <c r="AA15" s="67" t="str">
        <f>IF(X15=0,"",(Y15-X15)/ABS(X15)+1)</f>
        <v/>
      </c>
      <c r="AB15" s="31"/>
      <c r="AC15" s="67" t="str">
        <f>IF(AB15=0,"",(Y15-AB15)/ABS(AB15))</f>
        <v/>
      </c>
      <c r="AE15" s="66"/>
      <c r="AF15" s="66"/>
    </row>
    <row r="16" spans="1:34" ht="14.25" customHeight="1" x14ac:dyDescent="0.2">
      <c r="B16" s="3" t="s">
        <v>75</v>
      </c>
      <c r="C16" s="31"/>
      <c r="D16" s="33" t="str">
        <f t="shared" si="3"/>
        <v xml:space="preserve"> </v>
      </c>
      <c r="E16" s="31"/>
      <c r="F16" s="33" t="str">
        <f t="shared" si="4"/>
        <v xml:space="preserve"> </v>
      </c>
      <c r="G16" s="33" t="str">
        <f t="shared" si="5"/>
        <v/>
      </c>
      <c r="H16" s="31"/>
      <c r="I16" s="33" t="str">
        <f t="shared" si="6"/>
        <v/>
      </c>
      <c r="J16" s="33"/>
      <c r="K16" s="31"/>
      <c r="L16" s="33" t="str">
        <f t="shared" si="7"/>
        <v xml:space="preserve"> </v>
      </c>
      <c r="M16" s="31"/>
      <c r="N16" s="33" t="str">
        <f t="shared" si="8"/>
        <v xml:space="preserve"> </v>
      </c>
      <c r="O16" s="33"/>
      <c r="P16" s="31"/>
      <c r="Q16" s="33"/>
      <c r="R16" s="33" t="str">
        <f t="shared" si="9"/>
        <v/>
      </c>
      <c r="T16" s="3" t="s">
        <v>36</v>
      </c>
      <c r="U16" s="31">
        <f>+V16</f>
        <v>0</v>
      </c>
      <c r="V16" s="31">
        <v>0</v>
      </c>
      <c r="W16" s="31">
        <v>1934</v>
      </c>
      <c r="X16" s="31">
        <f>+Y16</f>
        <v>0</v>
      </c>
      <c r="Y16" s="31">
        <v>0</v>
      </c>
      <c r="Z16" s="62">
        <f>+X16-Y16</f>
        <v>0</v>
      </c>
      <c r="AA16" s="67" t="str">
        <f>IF(X16=0,"",(Y16-X16)/ABS(X16)+1)</f>
        <v/>
      </c>
      <c r="AB16" s="31">
        <v>4372</v>
      </c>
      <c r="AC16" s="67">
        <f>IF(AB16=0,"",(Y16-AB16)/ABS(AB16))</f>
        <v>-1</v>
      </c>
      <c r="AE16" s="66"/>
      <c r="AF16" s="66"/>
    </row>
    <row r="17" spans="1:32" ht="14.25" customHeight="1" x14ac:dyDescent="0.2">
      <c r="B17" s="3" t="s">
        <v>76</v>
      </c>
      <c r="C17" s="31"/>
      <c r="D17" s="33" t="str">
        <f t="shared" si="3"/>
        <v xml:space="preserve"> </v>
      </c>
      <c r="E17" s="31"/>
      <c r="F17" s="33" t="str">
        <f t="shared" si="4"/>
        <v xml:space="preserve"> </v>
      </c>
      <c r="G17" s="33" t="str">
        <f t="shared" si="5"/>
        <v/>
      </c>
      <c r="H17" s="31"/>
      <c r="I17" s="33" t="str">
        <f t="shared" si="6"/>
        <v/>
      </c>
      <c r="J17" s="33"/>
      <c r="K17" s="31"/>
      <c r="L17" s="33" t="str">
        <f t="shared" si="7"/>
        <v xml:space="preserve"> </v>
      </c>
      <c r="M17" s="31"/>
      <c r="N17" s="33" t="str">
        <f t="shared" si="8"/>
        <v xml:space="preserve"> </v>
      </c>
      <c r="O17" s="33"/>
      <c r="P17" s="31"/>
      <c r="Q17" s="33"/>
      <c r="R17" s="33" t="str">
        <f t="shared" si="9"/>
        <v/>
      </c>
      <c r="T17" s="3" t="s">
        <v>37</v>
      </c>
      <c r="U17" s="31">
        <f>SUM(U16)</f>
        <v>0</v>
      </c>
      <c r="V17" s="31">
        <f>+V16</f>
        <v>0</v>
      </c>
      <c r="W17" s="31">
        <v>1934</v>
      </c>
      <c r="X17" s="31">
        <f>SUM(X16)</f>
        <v>0</v>
      </c>
      <c r="Y17" s="31">
        <f>+Y16</f>
        <v>0</v>
      </c>
      <c r="Z17" s="62">
        <f>+Y17-X17</f>
        <v>0</v>
      </c>
      <c r="AA17" s="67" t="str">
        <f>IF(X17=0,"",(Y17-X17)/ABS(X17)+1)</f>
        <v/>
      </c>
      <c r="AB17" s="31">
        <v>4372</v>
      </c>
      <c r="AC17" s="67">
        <f>IF(AB17=0,"",(Y17-AB17)/ABS(AB17))</f>
        <v>-1</v>
      </c>
    </row>
    <row r="18" spans="1:32" ht="14.25" customHeight="1" x14ac:dyDescent="0.2">
      <c r="B18" s="3" t="s">
        <v>78</v>
      </c>
      <c r="C18" s="31"/>
      <c r="D18" s="33" t="str">
        <f t="shared" si="3"/>
        <v xml:space="preserve"> </v>
      </c>
      <c r="E18" s="31"/>
      <c r="F18" s="33" t="str">
        <f t="shared" si="4"/>
        <v xml:space="preserve"> </v>
      </c>
      <c r="G18" s="33" t="str">
        <f t="shared" si="5"/>
        <v/>
      </c>
      <c r="H18" s="31"/>
      <c r="I18" s="33" t="str">
        <f t="shared" si="6"/>
        <v/>
      </c>
      <c r="J18" s="33"/>
      <c r="K18" s="31"/>
      <c r="L18" s="33" t="str">
        <f t="shared" si="7"/>
        <v xml:space="preserve"> </v>
      </c>
      <c r="M18" s="31"/>
      <c r="N18" s="33" t="str">
        <f t="shared" si="8"/>
        <v xml:space="preserve"> </v>
      </c>
      <c r="O18" s="33"/>
      <c r="P18" s="31"/>
      <c r="Q18" s="33"/>
      <c r="R18" s="33" t="str">
        <f t="shared" si="9"/>
        <v/>
      </c>
      <c r="AD18" s="66"/>
      <c r="AE18" s="66"/>
      <c r="AF18" s="66"/>
    </row>
    <row r="19" spans="1:32" ht="14.25" customHeight="1" x14ac:dyDescent="0.2">
      <c r="B19" s="3" t="s">
        <v>80</v>
      </c>
      <c r="C19" s="31">
        <f>+E19</f>
        <v>0</v>
      </c>
      <c r="D19" s="33" t="str">
        <f t="shared" si="3"/>
        <v xml:space="preserve"> </v>
      </c>
      <c r="E19" s="31">
        <v>0</v>
      </c>
      <c r="F19" s="33" t="str">
        <f t="shared" si="4"/>
        <v xml:space="preserve"> </v>
      </c>
      <c r="G19" s="33" t="str">
        <f t="shared" si="5"/>
        <v/>
      </c>
      <c r="H19" s="31">
        <v>0</v>
      </c>
      <c r="I19" s="33" t="str">
        <f t="shared" si="6"/>
        <v/>
      </c>
      <c r="J19" s="33"/>
      <c r="K19" s="31">
        <f>+M19</f>
        <v>0</v>
      </c>
      <c r="L19" s="33" t="str">
        <f t="shared" si="7"/>
        <v xml:space="preserve"> </v>
      </c>
      <c r="M19" s="31">
        <v>0</v>
      </c>
      <c r="N19" s="33" t="str">
        <f t="shared" si="8"/>
        <v xml:space="preserve"> </v>
      </c>
      <c r="O19" s="33"/>
      <c r="P19" s="31">
        <v>0</v>
      </c>
      <c r="Q19" s="31" t="e">
        <f>+P19/$P$20</f>
        <v>#DIV/0!</v>
      </c>
      <c r="R19" s="33" t="str">
        <f t="shared" si="9"/>
        <v/>
      </c>
      <c r="T19" s="3" t="s">
        <v>38</v>
      </c>
      <c r="U19" s="31">
        <f>+U11-U16</f>
        <v>0</v>
      </c>
      <c r="V19" s="31">
        <f>+V11-V16</f>
        <v>0</v>
      </c>
      <c r="W19" s="31">
        <v>-1934</v>
      </c>
      <c r="X19" s="31">
        <f>+X11-X16</f>
        <v>0</v>
      </c>
      <c r="Y19" s="31">
        <f>+Y11-Y16</f>
        <v>0</v>
      </c>
      <c r="Z19" s="62">
        <f>+Y19-X19</f>
        <v>0</v>
      </c>
      <c r="AA19" s="67" t="str">
        <f>IF(X19=0,"",(Y19-X19)/ABS(X19)+1)</f>
        <v/>
      </c>
      <c r="AB19" s="31">
        <v>43003</v>
      </c>
      <c r="AC19" s="67">
        <f>IF(AB19=0,"",(Y19-AB19)/ABS(AB19))</f>
        <v>-1</v>
      </c>
      <c r="AD19" s="66"/>
      <c r="AE19" s="66"/>
      <c r="AF19" s="66"/>
    </row>
    <row r="20" spans="1:32" ht="14.25" customHeight="1" x14ac:dyDescent="0.2">
      <c r="B20" s="19" t="s">
        <v>39</v>
      </c>
      <c r="C20" s="68">
        <f>SUM(C10:C16)</f>
        <v>0</v>
      </c>
      <c r="D20" s="44" t="str">
        <f t="shared" si="3"/>
        <v xml:space="preserve"> </v>
      </c>
      <c r="E20" s="68">
        <f>SUM(E10:E16)</f>
        <v>0</v>
      </c>
      <c r="F20" s="44" t="str">
        <f t="shared" si="4"/>
        <v xml:space="preserve"> </v>
      </c>
      <c r="G20" s="33" t="str">
        <f t="shared" si="5"/>
        <v/>
      </c>
      <c r="H20" s="68">
        <v>0</v>
      </c>
      <c r="I20" s="33" t="str">
        <f t="shared" si="6"/>
        <v/>
      </c>
      <c r="J20" s="44" t="str">
        <f>IF(H20=0,"",(E20-H20)/ABS(H20))</f>
        <v/>
      </c>
      <c r="K20" s="68">
        <f>SUM(K10:K16)</f>
        <v>0</v>
      </c>
      <c r="L20" s="44" t="str">
        <f t="shared" si="7"/>
        <v xml:space="preserve"> </v>
      </c>
      <c r="M20" s="68">
        <f>SUM(M10:M16)</f>
        <v>0</v>
      </c>
      <c r="N20" s="33" t="str">
        <f t="shared" si="8"/>
        <v xml:space="preserve"> </v>
      </c>
      <c r="O20" s="44" t="str">
        <f>IF(K20=0,"",(M20-K20)/ABS(K20)+1)</f>
        <v/>
      </c>
      <c r="P20" s="68">
        <f>+P10</f>
        <v>0</v>
      </c>
      <c r="Q20" s="44" t="e">
        <f>+P20/$P$20</f>
        <v>#DIV/0!</v>
      </c>
      <c r="R20" s="44" t="str">
        <f t="shared" si="9"/>
        <v/>
      </c>
      <c r="T20" s="3"/>
      <c r="U20" s="31"/>
      <c r="V20" s="31"/>
      <c r="W20" s="31"/>
      <c r="X20" s="31"/>
      <c r="Y20" s="31"/>
      <c r="Z20" s="62"/>
      <c r="AA20" s="67"/>
      <c r="AB20" s="31"/>
      <c r="AC20" s="67"/>
      <c r="AD20" s="66"/>
      <c r="AE20" s="66"/>
      <c r="AF20" s="66"/>
    </row>
    <row r="21" spans="1:32" ht="14.25" customHeight="1" x14ac:dyDescent="0.2">
      <c r="G21" s="33" t="str">
        <f t="shared" si="5"/>
        <v/>
      </c>
      <c r="I21" s="33" t="str">
        <f t="shared" si="6"/>
        <v/>
      </c>
      <c r="N21" s="33" t="str">
        <f t="shared" si="8"/>
        <v xml:space="preserve"> </v>
      </c>
      <c r="R21" s="33" t="str">
        <f t="shared" si="9"/>
        <v/>
      </c>
      <c r="T21" s="3" t="s">
        <v>40</v>
      </c>
      <c r="U21" s="31">
        <f>+U10+U19</f>
        <v>0</v>
      </c>
      <c r="V21" s="31">
        <f>+V10+V19</f>
        <v>0</v>
      </c>
      <c r="W21" s="31">
        <v>6877.7900000000009</v>
      </c>
      <c r="X21" s="31">
        <f>+X10+X19</f>
        <v>0</v>
      </c>
      <c r="Y21" s="31">
        <f>+Y10+Y19</f>
        <v>0</v>
      </c>
      <c r="Z21" s="62">
        <f>+Y21-X21</f>
        <v>0</v>
      </c>
      <c r="AA21" s="67" t="str">
        <f>IF(X21=0,"",(Y21-X21)/ABS(X21)+1)</f>
        <v/>
      </c>
      <c r="AB21" s="31">
        <v>52877.79</v>
      </c>
      <c r="AC21" s="67">
        <f>IF(AB21=0,"",(Y21-AB21)/ABS(AB21))</f>
        <v>-1</v>
      </c>
      <c r="AD21" s="66"/>
      <c r="AE21" s="66"/>
      <c r="AF21" s="66"/>
    </row>
    <row r="22" spans="1:32" ht="14.25" customHeight="1" x14ac:dyDescent="0.2">
      <c r="B22" s="3" t="s">
        <v>41</v>
      </c>
      <c r="C22" s="31">
        <v>0</v>
      </c>
      <c r="D22" s="33" t="str">
        <f>IF($C$20&lt;=0," ",C22/$C$20)</f>
        <v xml:space="preserve"> </v>
      </c>
      <c r="E22" s="31">
        <v>0</v>
      </c>
      <c r="F22" s="33" t="str">
        <f>IF($E$20&lt;=0," ",E22/$E$20)</f>
        <v xml:space="preserve"> </v>
      </c>
      <c r="G22" s="33" t="str">
        <f t="shared" si="5"/>
        <v/>
      </c>
      <c r="H22" s="31">
        <v>0</v>
      </c>
      <c r="I22" s="33" t="str">
        <f t="shared" si="6"/>
        <v/>
      </c>
      <c r="J22" s="33" t="str">
        <f>IF(H22=0,"",(E22-H22)/ABS(H22))</f>
        <v/>
      </c>
      <c r="K22" s="31">
        <v>0</v>
      </c>
      <c r="L22" s="33" t="str">
        <f>IF($K$20&lt;=0," ",K22/$K$20)</f>
        <v xml:space="preserve"> </v>
      </c>
      <c r="M22" s="31">
        <f>+M17</f>
        <v>0</v>
      </c>
      <c r="N22" s="33" t="str">
        <f t="shared" si="8"/>
        <v xml:space="preserve"> </v>
      </c>
      <c r="O22" s="33" t="str">
        <f>IF(K22=0,"",(M22-K22)/ABS(K22)+1)</f>
        <v/>
      </c>
      <c r="P22" s="31">
        <v>0</v>
      </c>
      <c r="Q22" s="33" t="e">
        <f>+P22/$P$20</f>
        <v>#DIV/0!</v>
      </c>
      <c r="R22" s="33" t="str">
        <f t="shared" si="9"/>
        <v/>
      </c>
      <c r="AD22" s="66"/>
      <c r="AE22" s="66"/>
      <c r="AF22" s="66"/>
    </row>
    <row r="23" spans="1:32" ht="14.25" customHeight="1" x14ac:dyDescent="0.2">
      <c r="G23" s="33" t="str">
        <f t="shared" si="5"/>
        <v/>
      </c>
      <c r="I23" s="33" t="str">
        <f t="shared" si="6"/>
        <v/>
      </c>
      <c r="N23" s="33" t="str">
        <f t="shared" si="8"/>
        <v xml:space="preserve"> </v>
      </c>
      <c r="R23" s="33" t="str">
        <f t="shared" si="9"/>
        <v/>
      </c>
      <c r="T23" s="3" t="s">
        <v>42</v>
      </c>
      <c r="U23" s="31"/>
      <c r="V23" s="31"/>
      <c r="W23" s="31"/>
      <c r="X23" s="31">
        <f>+AD21+U23</f>
        <v>0</v>
      </c>
      <c r="Y23" s="31">
        <f>+V23+AF21</f>
        <v>0</v>
      </c>
      <c r="Z23" s="62">
        <f>+Y23-X23</f>
        <v>0</v>
      </c>
      <c r="AA23" s="67" t="str">
        <f>IF(X23=0,"",(Y23-X23)/ABS(X23)+1)</f>
        <v/>
      </c>
      <c r="AB23" s="31">
        <v>0</v>
      </c>
      <c r="AC23" s="67" t="str">
        <f>IF(AB23=0,"",(Y23-AB23)/ABS(AB23))</f>
        <v/>
      </c>
      <c r="AD23" s="66"/>
      <c r="AE23" s="66"/>
      <c r="AF23" s="66"/>
    </row>
    <row r="24" spans="1:32" ht="14.25" customHeight="1" x14ac:dyDescent="0.2">
      <c r="B24" s="3" t="s">
        <v>43</v>
      </c>
      <c r="C24" s="31">
        <f>+C19</f>
        <v>0</v>
      </c>
      <c r="D24" s="33" t="str">
        <f>IF($C$20&lt;=0," ",C24/$C$20)</f>
        <v xml:space="preserve"> </v>
      </c>
      <c r="E24" s="31">
        <f>+E19</f>
        <v>0</v>
      </c>
      <c r="F24" s="33" t="str">
        <f>IF($E$20&lt;=0," ",E24/$E$20)</f>
        <v xml:space="preserve"> </v>
      </c>
      <c r="G24" s="33" t="str">
        <f t="shared" si="5"/>
        <v/>
      </c>
      <c r="H24" s="31">
        <f>+H19</f>
        <v>0</v>
      </c>
      <c r="I24" s="33" t="str">
        <f t="shared" si="6"/>
        <v/>
      </c>
      <c r="J24" s="33" t="str">
        <f>IF(H24=0,"",(E24-H24)/ABS(H24))</f>
        <v/>
      </c>
      <c r="K24" s="31">
        <f>+K19</f>
        <v>0</v>
      </c>
      <c r="L24" s="33" t="str">
        <f>IF($K$20&lt;=0," ",K24/$K$20)</f>
        <v xml:space="preserve"> </v>
      </c>
      <c r="M24" s="31">
        <f>+M19</f>
        <v>0</v>
      </c>
      <c r="N24" s="33" t="str">
        <f t="shared" si="8"/>
        <v xml:space="preserve"> </v>
      </c>
      <c r="O24" s="33" t="str">
        <f>IF(K24=0,"",(M24-K24)/ABS(K24)+1)</f>
        <v/>
      </c>
      <c r="P24" s="31">
        <f>+P19</f>
        <v>0</v>
      </c>
      <c r="Q24" s="33" t="e">
        <f>+P24/$P$20</f>
        <v>#DIV/0!</v>
      </c>
      <c r="R24" s="33" t="str">
        <f t="shared" si="9"/>
        <v/>
      </c>
      <c r="AD24" s="66"/>
      <c r="AE24" s="66"/>
      <c r="AF24" s="66"/>
    </row>
    <row r="25" spans="1:32" ht="14.25" customHeight="1" x14ac:dyDescent="0.2">
      <c r="G25" s="33" t="str">
        <f t="shared" si="5"/>
        <v/>
      </c>
      <c r="I25" s="33" t="str">
        <f t="shared" si="6"/>
        <v/>
      </c>
      <c r="R25" s="33" t="str">
        <f t="shared" si="9"/>
        <v/>
      </c>
      <c r="T25" s="3" t="s">
        <v>44</v>
      </c>
      <c r="U25" s="31"/>
      <c r="V25" s="31"/>
      <c r="W25" s="31"/>
      <c r="X25" s="31">
        <f>+AD22+U25</f>
        <v>0</v>
      </c>
      <c r="Y25" s="31">
        <f>+V25+AF22</f>
        <v>0</v>
      </c>
      <c r="Z25" s="62">
        <f>+Y25-X25</f>
        <v>0</v>
      </c>
      <c r="AA25" s="67" t="str">
        <f>IF(X25=0,"",(Y25-X25)/ABS(X25)+1)</f>
        <v/>
      </c>
      <c r="AB25" s="31">
        <v>0</v>
      </c>
      <c r="AC25" s="67" t="str">
        <f>IF(AB25=0,"",(Y25-AB25)/ABS(AB25))</f>
        <v/>
      </c>
      <c r="AD25" s="66"/>
      <c r="AE25" s="66"/>
      <c r="AF25" s="66"/>
    </row>
    <row r="26" spans="1:32" ht="14.25" customHeight="1" x14ac:dyDescent="0.2">
      <c r="B26" s="3" t="s">
        <v>45</v>
      </c>
      <c r="C26" s="31">
        <f>+E26</f>
        <v>0</v>
      </c>
      <c r="D26" s="33" t="str">
        <f>IF($C$20&lt;=0," ",C26/$C$20)</f>
        <v xml:space="preserve"> </v>
      </c>
      <c r="E26" s="31">
        <v>0</v>
      </c>
      <c r="F26" s="33" t="str">
        <f>IF($E$20&lt;=0," ",E26/$E$20)</f>
        <v xml:space="preserve"> </v>
      </c>
      <c r="G26" s="33" t="str">
        <f t="shared" si="5"/>
        <v/>
      </c>
      <c r="H26" s="31">
        <v>0</v>
      </c>
      <c r="I26" s="33" t="str">
        <f t="shared" si="6"/>
        <v/>
      </c>
      <c r="J26" s="33" t="str">
        <f>IF(H26=0,"",(E26-H26)/ABS(H26))</f>
        <v/>
      </c>
      <c r="K26" s="31">
        <f>+K20</f>
        <v>0</v>
      </c>
      <c r="L26" s="33" t="str">
        <f>IF($K$20&lt;=0," ",K26/$K$20)</f>
        <v xml:space="preserve"> </v>
      </c>
      <c r="M26" s="31"/>
      <c r="N26" s="33" t="str">
        <f>IF($M$20&lt;=0," ",M26/$M$20)</f>
        <v xml:space="preserve"> </v>
      </c>
      <c r="O26" s="33" t="str">
        <f>IF(K26=0,"",(M26-K26)/ABS(K26)+1)</f>
        <v/>
      </c>
      <c r="P26" s="31">
        <v>0</v>
      </c>
      <c r="Q26" s="33" t="e">
        <f>+P26/$P$20</f>
        <v>#DIV/0!</v>
      </c>
      <c r="R26" s="33" t="str">
        <f t="shared" si="9"/>
        <v/>
      </c>
    </row>
    <row r="27" spans="1:32" ht="14.25" customHeight="1" x14ac:dyDescent="0.2">
      <c r="A27" s="93"/>
      <c r="B27" s="3" t="s">
        <v>46</v>
      </c>
      <c r="C27" s="31">
        <f>+E27</f>
        <v>0</v>
      </c>
      <c r="D27" s="33" t="str">
        <f>IF($C$20&lt;=0," ",C27/$C$20)</f>
        <v xml:space="preserve"> </v>
      </c>
      <c r="E27" s="31">
        <v>0</v>
      </c>
      <c r="F27" s="33" t="str">
        <f>IF($E$20&lt;=0," ",E27/$E$20)</f>
        <v xml:space="preserve"> </v>
      </c>
      <c r="G27" s="33" t="str">
        <f t="shared" si="5"/>
        <v/>
      </c>
      <c r="H27" s="31">
        <v>0</v>
      </c>
      <c r="I27" s="33" t="str">
        <f t="shared" si="6"/>
        <v/>
      </c>
      <c r="J27" s="33" t="str">
        <f>IF(H27=0,"",(E27-H27)/ABS(H27))</f>
        <v/>
      </c>
      <c r="K27" s="31">
        <f>+K22</f>
        <v>0</v>
      </c>
      <c r="L27" s="33" t="str">
        <f>IF($K$20&lt;=0," ",K27/$K$20)</f>
        <v xml:space="preserve"> </v>
      </c>
      <c r="M27" s="31"/>
      <c r="N27" s="33" t="str">
        <f>IF($M$20&lt;=0," ",M27/$M$20)</f>
        <v xml:space="preserve"> </v>
      </c>
      <c r="O27" s="33" t="str">
        <f>IF(K27=0,"",(M27-K27)/ABS(K27)+1)</f>
        <v/>
      </c>
      <c r="P27" s="31">
        <v>0</v>
      </c>
      <c r="Q27" s="33" t="e">
        <f>+P27/$P$20</f>
        <v>#DIV/0!</v>
      </c>
      <c r="R27" s="33" t="str">
        <f t="shared" si="9"/>
        <v/>
      </c>
      <c r="T27" s="3" t="s">
        <v>47</v>
      </c>
      <c r="U27" s="31"/>
      <c r="V27" s="31"/>
      <c r="W27" s="31"/>
      <c r="X27" s="31">
        <f>+AD23+U27</f>
        <v>0</v>
      </c>
      <c r="Y27" s="31">
        <f>+AE23+V27</f>
        <v>0</v>
      </c>
      <c r="Z27" s="62">
        <f>+Y27-X27</f>
        <v>0</v>
      </c>
      <c r="AA27" s="67" t="str">
        <f>IF(X27=0,"",(Y27-X27)/ABS(X27)+1)</f>
        <v/>
      </c>
      <c r="AB27" s="31">
        <v>0</v>
      </c>
      <c r="AC27" s="67" t="str">
        <f>IF(AB27=0,"",(Y27-AB27)/ABS(AB27))</f>
        <v/>
      </c>
    </row>
    <row r="28" spans="1:32" ht="14.25" customHeight="1" x14ac:dyDescent="0.2">
      <c r="A28" s="93"/>
      <c r="B28" s="3" t="s">
        <v>48</v>
      </c>
      <c r="C28" s="31">
        <f>SUM(C26:C27)</f>
        <v>0</v>
      </c>
      <c r="D28" s="33" t="str">
        <f>IF($C$20&lt;=0," ",C28/$C$20)</f>
        <v xml:space="preserve"> </v>
      </c>
      <c r="E28" s="31">
        <f>SUM(E26:E27)</f>
        <v>0</v>
      </c>
      <c r="F28" s="33" t="str">
        <f>IF($E$20&lt;=0," ",E28/$E$20)</f>
        <v xml:space="preserve"> </v>
      </c>
      <c r="G28" s="33" t="str">
        <f t="shared" si="5"/>
        <v/>
      </c>
      <c r="H28" s="31">
        <f>SUM(H26:H27)</f>
        <v>0</v>
      </c>
      <c r="I28" s="33" t="str">
        <f t="shared" si="6"/>
        <v/>
      </c>
      <c r="J28" s="33" t="str">
        <f>IF(H28=0,"",(E28-H28)/ABS(H28))</f>
        <v/>
      </c>
      <c r="K28" s="31">
        <f>+K24</f>
        <v>0</v>
      </c>
      <c r="L28" s="33" t="str">
        <f>IF($K$20&lt;=0," ",K28/$K$20)</f>
        <v xml:space="preserve"> </v>
      </c>
      <c r="M28" s="31"/>
      <c r="N28" s="33" t="str">
        <f>IF($M$20&lt;=0," ",M28/$M$20)</f>
        <v xml:space="preserve"> </v>
      </c>
      <c r="O28" s="33" t="str">
        <f>IF(K28=0,"",(M28-K28)/ABS(K28)+1)</f>
        <v/>
      </c>
      <c r="P28" s="31">
        <f>+P27+P26</f>
        <v>0</v>
      </c>
      <c r="Q28" s="33" t="e">
        <f>+P28/$P$20</f>
        <v>#DIV/0!</v>
      </c>
      <c r="R28" s="33" t="str">
        <f t="shared" si="9"/>
        <v/>
      </c>
      <c r="T28" s="3" t="s">
        <v>147</v>
      </c>
      <c r="U28" s="31">
        <f>+V28</f>
        <v>0</v>
      </c>
      <c r="V28" s="31">
        <v>0</v>
      </c>
      <c r="W28" s="31">
        <v>0</v>
      </c>
      <c r="X28" s="31">
        <f>+Y28</f>
        <v>0</v>
      </c>
      <c r="Y28" s="31">
        <v>0</v>
      </c>
      <c r="Z28" s="62">
        <f>+Y28-X28</f>
        <v>0</v>
      </c>
      <c r="AA28" s="67" t="str">
        <f>IF(X28=0,"",(Y28-X28)/ABS(X28)+1)</f>
        <v/>
      </c>
      <c r="AB28" s="31">
        <v>46000</v>
      </c>
      <c r="AC28" s="67">
        <f>IF(AB28=0,"",(Y28-AB28)/ABS(AB28))</f>
        <v>-1</v>
      </c>
      <c r="AD28" s="54"/>
    </row>
    <row r="29" spans="1:32" ht="14.25" customHeight="1" x14ac:dyDescent="0.2">
      <c r="A29" s="93"/>
      <c r="G29" s="33" t="str">
        <f t="shared" si="5"/>
        <v/>
      </c>
      <c r="I29" s="33" t="str">
        <f t="shared" si="6"/>
        <v/>
      </c>
      <c r="R29" s="33" t="str">
        <f t="shared" si="9"/>
        <v/>
      </c>
    </row>
    <row r="30" spans="1:32" ht="14.25" customHeight="1" x14ac:dyDescent="0.2">
      <c r="A30" s="93"/>
      <c r="B30" s="3" t="s">
        <v>50</v>
      </c>
      <c r="C30" s="31">
        <f>+E30</f>
        <v>0</v>
      </c>
      <c r="D30" s="33" t="str">
        <f>IF($C$20&lt;=0," ",C30/$C$20)</f>
        <v xml:space="preserve"> </v>
      </c>
      <c r="E30" s="31"/>
      <c r="F30" s="33" t="str">
        <f>IF($E$20&lt;=0," ",E30/$E$20)</f>
        <v xml:space="preserve"> </v>
      </c>
      <c r="G30" s="33" t="str">
        <f t="shared" si="5"/>
        <v/>
      </c>
      <c r="H30" s="31"/>
      <c r="I30" s="33" t="str">
        <f t="shared" si="6"/>
        <v/>
      </c>
      <c r="J30" s="33" t="str">
        <f>IF(H30=0,"",(E30-H30)/ABS(H30))</f>
        <v/>
      </c>
      <c r="K30" s="31">
        <f>+K26</f>
        <v>0</v>
      </c>
      <c r="L30" s="33" t="str">
        <f>IF($K$20&lt;=0," ",K30/$K$20)</f>
        <v xml:space="preserve"> </v>
      </c>
      <c r="M30" s="31"/>
      <c r="N30" s="33" t="str">
        <f>IF($M$20&lt;=0," ",M30/$M$20)</f>
        <v xml:space="preserve"> </v>
      </c>
      <c r="O30" s="33" t="str">
        <f>IF(K30=0,"",(M30-K30)/ABS(K30)+1)</f>
        <v/>
      </c>
      <c r="P30" s="31"/>
      <c r="Q30" s="33" t="e">
        <f>+P30/$P$20</f>
        <v>#DIV/0!</v>
      </c>
      <c r="R30" s="33" t="str">
        <f t="shared" si="9"/>
        <v/>
      </c>
      <c r="T30" s="19" t="s">
        <v>51</v>
      </c>
      <c r="U30" s="68">
        <f>U21-U23-U25-U27-U28</f>
        <v>0</v>
      </c>
      <c r="V30" s="68">
        <f>V21-V23-V25-V27-V28</f>
        <v>0</v>
      </c>
      <c r="W30" s="68">
        <v>6877.7900000000009</v>
      </c>
      <c r="X30" s="68">
        <f>X21-X23-X25-X27-X28</f>
        <v>0</v>
      </c>
      <c r="Y30" s="68">
        <f>Y21-Y23-Y25-Y27-Y28</f>
        <v>0</v>
      </c>
      <c r="Z30" s="70">
        <f>V30-U30</f>
        <v>0</v>
      </c>
      <c r="AA30" s="71" t="str">
        <f>IF(U30=0,"",(V30-U30)/ABS(U30)+1)</f>
        <v/>
      </c>
      <c r="AB30" s="68">
        <v>6877.7900000000009</v>
      </c>
      <c r="AC30" s="71">
        <f>IF(W30=0,"",(V30-W30)/ABS(W30))</f>
        <v>-1</v>
      </c>
    </row>
    <row r="31" spans="1:32" ht="14.25" customHeight="1" x14ac:dyDescent="0.2">
      <c r="A31" s="93"/>
      <c r="B31" s="3" t="s">
        <v>148</v>
      </c>
      <c r="C31" s="31">
        <f>+E31</f>
        <v>0</v>
      </c>
      <c r="D31" s="33" t="str">
        <f>IF($C$20&lt;=0," ",C31/$C$20)</f>
        <v xml:space="preserve"> </v>
      </c>
      <c r="E31" s="31">
        <v>0</v>
      </c>
      <c r="F31" s="33" t="str">
        <f>IF($E$20&lt;=0," ",E31/$E$20)</f>
        <v xml:space="preserve"> </v>
      </c>
      <c r="G31" s="33" t="str">
        <f t="shared" si="5"/>
        <v/>
      </c>
      <c r="H31" s="31">
        <v>0</v>
      </c>
      <c r="I31" s="33" t="str">
        <f t="shared" si="6"/>
        <v/>
      </c>
      <c r="J31" s="33" t="str">
        <f>IF(H31=0,"",(E31-H31)/ABS(H31))</f>
        <v/>
      </c>
      <c r="K31" s="31">
        <f>+K27</f>
        <v>0</v>
      </c>
      <c r="L31" s="33" t="str">
        <f>IF($K$20&lt;=0," ",K31/$K$20)</f>
        <v xml:space="preserve"> </v>
      </c>
      <c r="M31" s="31">
        <v>0</v>
      </c>
      <c r="N31" s="33" t="str">
        <f>IF($M$20&lt;=0," ",M31/$M$20)</f>
        <v xml:space="preserve"> </v>
      </c>
      <c r="O31" s="33" t="str">
        <f>IF(K31=0,"",(M31-K31)/ABS(K31)+1)</f>
        <v/>
      </c>
      <c r="P31" s="31">
        <v>0</v>
      </c>
      <c r="Q31" s="33" t="e">
        <f>+P31/$P$20</f>
        <v>#DIV/0!</v>
      </c>
      <c r="R31" s="33" t="str">
        <f t="shared" si="9"/>
        <v/>
      </c>
    </row>
    <row r="32" spans="1:32" ht="14.25" customHeight="1" x14ac:dyDescent="0.2">
      <c r="A32" s="93"/>
      <c r="B32" s="3" t="s">
        <v>53</v>
      </c>
      <c r="C32" s="31">
        <f>SUM(C30:C31)</f>
        <v>0</v>
      </c>
      <c r="D32" s="33" t="str">
        <f>IF($C$20&lt;=0," ",C32/$C$20)</f>
        <v xml:space="preserve"> </v>
      </c>
      <c r="E32" s="31">
        <f>SUM(E30:E31)</f>
        <v>0</v>
      </c>
      <c r="F32" s="33" t="str">
        <f>IF($E$20&lt;=0," ",E32/$E$20)</f>
        <v xml:space="preserve"> </v>
      </c>
      <c r="G32" s="33" t="str">
        <f t="shared" si="5"/>
        <v/>
      </c>
      <c r="H32" s="31">
        <f>SUM(H30:H31)</f>
        <v>0</v>
      </c>
      <c r="I32" s="33" t="str">
        <f t="shared" si="6"/>
        <v/>
      </c>
      <c r="J32" s="33" t="str">
        <f>IF(H32=0,"",(E32-H32)/ABS(H32))</f>
        <v/>
      </c>
      <c r="K32" s="31">
        <f>+K28</f>
        <v>0</v>
      </c>
      <c r="L32" s="33" t="str">
        <f>IF($K$20&lt;=0," ",K32/$K$20)</f>
        <v xml:space="preserve"> </v>
      </c>
      <c r="M32" s="31">
        <f>SUM(M30:M31)</f>
        <v>0</v>
      </c>
      <c r="N32" s="33" t="str">
        <f>IF($M$20&lt;=0," ",M32/$M$20)</f>
        <v xml:space="preserve"> </v>
      </c>
      <c r="O32" s="33" t="str">
        <f>IF(K32=0,"",(M32-K32)/ABS(K32)+1)</f>
        <v/>
      </c>
      <c r="P32" s="31">
        <f>+P31</f>
        <v>0</v>
      </c>
      <c r="Q32" s="33" t="e">
        <f>+P32/$P$20</f>
        <v>#DIV/0!</v>
      </c>
      <c r="R32" s="33" t="str">
        <f t="shared" si="9"/>
        <v/>
      </c>
    </row>
    <row r="33" spans="1:20" ht="14.25" customHeight="1" x14ac:dyDescent="0.2">
      <c r="A33" s="93"/>
      <c r="G33" s="33" t="str">
        <f t="shared" si="5"/>
        <v/>
      </c>
      <c r="I33" s="33" t="str">
        <f t="shared" si="6"/>
        <v/>
      </c>
      <c r="R33" s="33" t="str">
        <f t="shared" si="9"/>
        <v/>
      </c>
    </row>
    <row r="34" spans="1:20" ht="14.25" customHeight="1" x14ac:dyDescent="0.2">
      <c r="A34" s="93"/>
      <c r="B34" s="3" t="s">
        <v>54</v>
      </c>
      <c r="C34" s="31">
        <f>C28+C32</f>
        <v>0</v>
      </c>
      <c r="D34" s="33" t="str">
        <f>IF($C$20&lt;=0," ",C34/$C$20)</f>
        <v xml:space="preserve"> </v>
      </c>
      <c r="E34" s="31">
        <f>E28+E32</f>
        <v>0</v>
      </c>
      <c r="F34" s="33" t="str">
        <f>IF($E$20&lt;=0," ",E34/$E$20)</f>
        <v xml:space="preserve"> </v>
      </c>
      <c r="G34" s="33" t="str">
        <f t="shared" si="5"/>
        <v/>
      </c>
      <c r="H34" s="31">
        <f>H28+H32</f>
        <v>0</v>
      </c>
      <c r="I34" s="33" t="str">
        <f t="shared" si="6"/>
        <v/>
      </c>
      <c r="J34" s="33" t="str">
        <f>IF(H34=0,"",(E34-H34)/ABS(H34))</f>
        <v/>
      </c>
      <c r="K34" s="31">
        <f>+K30</f>
        <v>0</v>
      </c>
      <c r="L34" s="33" t="str">
        <f>IF($K$20&lt;=0," ",K34/$K$20)</f>
        <v xml:space="preserve"> </v>
      </c>
      <c r="M34" s="31">
        <f>M28+M32</f>
        <v>0</v>
      </c>
      <c r="N34" s="33" t="str">
        <f>IF($M$20&lt;=0," ",M34/$M$20)</f>
        <v xml:space="preserve"> </v>
      </c>
      <c r="O34" s="33" t="str">
        <f>IF(K34=0,"",(M34-K34)/ABS(K34)+1)</f>
        <v/>
      </c>
      <c r="P34" s="31">
        <f>+P32</f>
        <v>0</v>
      </c>
      <c r="Q34" s="33" t="e">
        <f>+P34/$P$20</f>
        <v>#DIV/0!</v>
      </c>
      <c r="R34" s="33" t="str">
        <f t="shared" si="9"/>
        <v/>
      </c>
    </row>
    <row r="35" spans="1:20" ht="14.25" customHeight="1" x14ac:dyDescent="0.2">
      <c r="G35" s="33" t="str">
        <f t="shared" si="5"/>
        <v/>
      </c>
      <c r="I35" s="33" t="str">
        <f t="shared" si="6"/>
        <v/>
      </c>
      <c r="R35" s="33" t="str">
        <f t="shared" si="9"/>
        <v/>
      </c>
    </row>
    <row r="36" spans="1:20" ht="14.25" customHeight="1" x14ac:dyDescent="0.2">
      <c r="B36" s="19" t="s">
        <v>55</v>
      </c>
      <c r="C36" s="68">
        <f>+C24-C34</f>
        <v>0</v>
      </c>
      <c r="D36" s="44" t="str">
        <f>IF($C$20&lt;=0," ",C36/$C$20)</f>
        <v xml:space="preserve"> </v>
      </c>
      <c r="E36" s="68">
        <f>+E24-E34</f>
        <v>0</v>
      </c>
      <c r="F36" s="44" t="str">
        <f>IF($E$20&lt;=0," ",E36/$E$20)</f>
        <v xml:space="preserve"> </v>
      </c>
      <c r="G36" s="33" t="str">
        <f t="shared" si="5"/>
        <v/>
      </c>
      <c r="H36" s="68">
        <f>+H24-H34</f>
        <v>0</v>
      </c>
      <c r="I36" s="33" t="str">
        <f t="shared" si="6"/>
        <v/>
      </c>
      <c r="J36" s="44" t="str">
        <f>IF(H36=0,"",(E36-H36)/ABS(H36))</f>
        <v/>
      </c>
      <c r="K36" s="68">
        <f>+K31</f>
        <v>0</v>
      </c>
      <c r="L36" s="44" t="str">
        <f>IF($K$20&lt;=0," ",K36/$K$20)</f>
        <v xml:space="preserve"> </v>
      </c>
      <c r="M36" s="68">
        <f>+M24-M34</f>
        <v>0</v>
      </c>
      <c r="N36" s="44" t="str">
        <f>IF($M$20&lt;=0," ",M36/$M$20)</f>
        <v xml:space="preserve"> </v>
      </c>
      <c r="O36" s="44" t="str">
        <f>IF(K36=0,"",(M36-K36)/ABS(K36)+1)</f>
        <v/>
      </c>
      <c r="P36" s="68">
        <f>+P24-P34</f>
        <v>0</v>
      </c>
      <c r="Q36" s="44" t="e">
        <f>+P36/$P$20</f>
        <v>#DIV/0!</v>
      </c>
      <c r="R36" s="44" t="str">
        <f t="shared" si="9"/>
        <v/>
      </c>
    </row>
    <row r="37" spans="1:20" ht="14.25" customHeight="1" x14ac:dyDescent="0.2">
      <c r="G37" s="33" t="str">
        <f t="shared" si="5"/>
        <v/>
      </c>
      <c r="I37" s="33" t="str">
        <f t="shared" si="6"/>
        <v/>
      </c>
      <c r="R37" s="33" t="str">
        <f t="shared" si="9"/>
        <v/>
      </c>
      <c r="T37" s="54"/>
    </row>
    <row r="38" spans="1:20" ht="14.25" customHeight="1" x14ac:dyDescent="0.2">
      <c r="B38" s="3" t="s">
        <v>56</v>
      </c>
      <c r="C38" s="31">
        <f>+E38</f>
        <v>0</v>
      </c>
      <c r="D38" s="33" t="str">
        <f>IF($C$20&lt;=0," ",C38/$C$20)</f>
        <v xml:space="preserve"> </v>
      </c>
      <c r="E38" s="31">
        <v>0</v>
      </c>
      <c r="F38" s="33" t="str">
        <f>IF($E$20&lt;=0," ",E38/$E$20)</f>
        <v xml:space="preserve"> </v>
      </c>
      <c r="G38" s="33" t="str">
        <f t="shared" si="5"/>
        <v/>
      </c>
      <c r="H38" s="31">
        <v>0</v>
      </c>
      <c r="I38" s="33" t="str">
        <f t="shared" si="6"/>
        <v/>
      </c>
      <c r="J38" s="33" t="str">
        <f>IF(H38=0,"",(E38-H38)/ABS(H38))</f>
        <v/>
      </c>
      <c r="K38" s="31">
        <f>+K32</f>
        <v>0</v>
      </c>
      <c r="L38" s="33" t="str">
        <f>IF($K$20&lt;=0," ",K38/$K$20)</f>
        <v xml:space="preserve"> </v>
      </c>
      <c r="M38" s="31">
        <v>0</v>
      </c>
      <c r="N38" s="33" t="str">
        <f>IF($M$20&lt;=0," ",M38/$M$20)</f>
        <v xml:space="preserve"> </v>
      </c>
      <c r="O38" s="33" t="str">
        <f>IF(K38=0,"",(M38-K38)/ABS(K38)+1)</f>
        <v/>
      </c>
      <c r="P38" s="31">
        <v>0</v>
      </c>
      <c r="Q38" s="33" t="e">
        <f>+P38/$P$20</f>
        <v>#DIV/0!</v>
      </c>
      <c r="R38" s="33" t="str">
        <f t="shared" si="9"/>
        <v/>
      </c>
    </row>
    <row r="39" spans="1:20" ht="14.25" customHeight="1" x14ac:dyDescent="0.2">
      <c r="B39" s="3" t="s">
        <v>57</v>
      </c>
      <c r="C39" s="31">
        <f>+E39</f>
        <v>0</v>
      </c>
      <c r="D39" s="33" t="str">
        <f>IF($C$20&lt;=0," ",C39/$C$20)</f>
        <v xml:space="preserve"> </v>
      </c>
      <c r="E39" s="31">
        <v>0</v>
      </c>
      <c r="F39" s="33" t="str">
        <f>IF($E$20&lt;=0," ",E39/$E$20)</f>
        <v xml:space="preserve"> </v>
      </c>
      <c r="G39" s="33" t="str">
        <f t="shared" si="5"/>
        <v/>
      </c>
      <c r="H39" s="31">
        <v>0</v>
      </c>
      <c r="I39" s="33" t="str">
        <f t="shared" si="6"/>
        <v/>
      </c>
      <c r="J39" s="33" t="str">
        <f>IF(H39=0,"",(E39-H39)/ABS(H39))</f>
        <v/>
      </c>
      <c r="K39" s="31">
        <f>+K34</f>
        <v>0</v>
      </c>
      <c r="L39" s="33" t="str">
        <f>IF($K$20&lt;=0," ",K39/$K$20)</f>
        <v xml:space="preserve"> </v>
      </c>
      <c r="M39" s="31">
        <v>0</v>
      </c>
      <c r="N39" s="33" t="str">
        <f>IF($M$20&lt;=0," ",M39/$M$20)</f>
        <v xml:space="preserve"> </v>
      </c>
      <c r="O39" s="33" t="str">
        <f>IF(K39=0,"",(M39-K39)/ABS(K39)+1)</f>
        <v/>
      </c>
      <c r="P39" s="31">
        <v>0</v>
      </c>
      <c r="Q39" s="33" t="e">
        <f>+P39/$P$20</f>
        <v>#DIV/0!</v>
      </c>
      <c r="R39" s="33" t="str">
        <f t="shared" si="9"/>
        <v/>
      </c>
    </row>
    <row r="40" spans="1:20" ht="14.25" customHeight="1" x14ac:dyDescent="0.2">
      <c r="G40" s="33" t="str">
        <f t="shared" si="5"/>
        <v/>
      </c>
      <c r="I40" s="33" t="str">
        <f t="shared" si="6"/>
        <v/>
      </c>
      <c r="R40" s="33" t="str">
        <f t="shared" si="9"/>
        <v/>
      </c>
    </row>
    <row r="41" spans="1:20" ht="14.25" customHeight="1" x14ac:dyDescent="0.2">
      <c r="B41" s="3" t="s">
        <v>58</v>
      </c>
      <c r="C41" s="31">
        <f>C36+C38-C39</f>
        <v>0</v>
      </c>
      <c r="D41" s="33" t="str">
        <f>IF($C$20&lt;=0," ",C41/$C$20)</f>
        <v xml:space="preserve"> </v>
      </c>
      <c r="E41" s="31">
        <f>+E36-E39+E38</f>
        <v>0</v>
      </c>
      <c r="F41" s="33" t="str">
        <f>IF($E$20&lt;=0," ",E41/$E$20)</f>
        <v xml:space="preserve"> </v>
      </c>
      <c r="G41" s="33" t="str">
        <f t="shared" si="5"/>
        <v/>
      </c>
      <c r="H41" s="31">
        <f>+H36-H39+H38</f>
        <v>0</v>
      </c>
      <c r="I41" s="33" t="str">
        <f t="shared" si="6"/>
        <v/>
      </c>
      <c r="J41" s="33" t="str">
        <f>IF(H41=0,"",(E41-H41)/ABS(H41))</f>
        <v/>
      </c>
      <c r="K41" s="31">
        <f>+K36</f>
        <v>0</v>
      </c>
      <c r="L41" s="33" t="str">
        <f>IF($K$20&lt;=0," ",K41/$K$20)</f>
        <v xml:space="preserve"> </v>
      </c>
      <c r="M41" s="31">
        <f>+M36-M39+M38</f>
        <v>0</v>
      </c>
      <c r="N41" s="33" t="str">
        <f>IF($M$20&lt;=0," ",M41/$M$20)</f>
        <v xml:space="preserve"> </v>
      </c>
      <c r="O41" s="33" t="str">
        <f>IF(K41=0,"",(M41-K41)/ABS(K41)+1)</f>
        <v/>
      </c>
      <c r="P41" s="31">
        <f>P36+P38-P39</f>
        <v>0</v>
      </c>
      <c r="Q41" s="33" t="e">
        <f>+P41/$P$20</f>
        <v>#DIV/0!</v>
      </c>
      <c r="R41" s="33" t="str">
        <f t="shared" si="9"/>
        <v/>
      </c>
    </row>
    <row r="42" spans="1:20" ht="14.25" customHeight="1" x14ac:dyDescent="0.2">
      <c r="B42" s="3" t="s">
        <v>44</v>
      </c>
      <c r="C42" s="31"/>
      <c r="D42" s="33" t="str">
        <f>IF($C$20&lt;=0," ",C42/$C$20)</f>
        <v xml:space="preserve"> </v>
      </c>
      <c r="E42" s="31"/>
      <c r="F42" s="33" t="str">
        <f>IF($E$20&lt;=0," ",E42/$E$20)</f>
        <v xml:space="preserve"> </v>
      </c>
      <c r="G42" s="33" t="str">
        <f t="shared" si="5"/>
        <v/>
      </c>
      <c r="H42" s="31"/>
      <c r="I42" s="33" t="str">
        <f t="shared" si="6"/>
        <v/>
      </c>
      <c r="J42" s="33" t="str">
        <f>IF(H42=0,"",(E42-H42)/ABS(H42))</f>
        <v/>
      </c>
      <c r="K42" s="31">
        <f>+K38</f>
        <v>0</v>
      </c>
      <c r="L42" s="33" t="str">
        <f>IF($K$20&lt;=0," ",K42/$K$20)</f>
        <v xml:space="preserve"> </v>
      </c>
      <c r="M42" s="31"/>
      <c r="N42" s="33" t="str">
        <f>IF($M$20&lt;=0," ",M42/$M$20)</f>
        <v xml:space="preserve"> </v>
      </c>
      <c r="O42" s="33" t="str">
        <f>IF(K42=0,"",(M42-K42)/ABS(K42)+1)</f>
        <v/>
      </c>
      <c r="P42" s="31">
        <f>+H42</f>
        <v>0</v>
      </c>
      <c r="Q42" s="33" t="e">
        <f>+P42/$P$20</f>
        <v>#DIV/0!</v>
      </c>
      <c r="R42" s="33" t="str">
        <f t="shared" si="9"/>
        <v/>
      </c>
    </row>
    <row r="43" spans="1:20" ht="14.25" customHeight="1" x14ac:dyDescent="0.2">
      <c r="B43" s="19" t="s">
        <v>59</v>
      </c>
      <c r="C43" s="68">
        <f>+C41-C42</f>
        <v>0</v>
      </c>
      <c r="D43" s="44" t="str">
        <f>IF($C$20&lt;=0," ",C43/$C$20)</f>
        <v xml:space="preserve"> </v>
      </c>
      <c r="E43" s="68">
        <f>E41-E42</f>
        <v>0</v>
      </c>
      <c r="F43" s="44" t="str">
        <f>IF($E$20&lt;=0," ",E43/$E$20)</f>
        <v xml:space="preserve"> </v>
      </c>
      <c r="G43" s="33" t="str">
        <f t="shared" si="5"/>
        <v/>
      </c>
      <c r="H43" s="68">
        <f>H41-H42</f>
        <v>0</v>
      </c>
      <c r="I43" s="33" t="str">
        <f t="shared" si="6"/>
        <v/>
      </c>
      <c r="J43" s="44" t="str">
        <f>IF(H43=0,"",(E43-H43)/ABS(H43))</f>
        <v/>
      </c>
      <c r="K43" s="68">
        <f>+K39</f>
        <v>0</v>
      </c>
      <c r="L43" s="44" t="str">
        <f>IF($K$20&lt;=0," ",K43/$K$20)</f>
        <v xml:space="preserve"> </v>
      </c>
      <c r="M43" s="68">
        <f>M41-M42</f>
        <v>0</v>
      </c>
      <c r="N43" s="44" t="str">
        <f>IF($M$20&lt;=0," ",M43/$M$20)</f>
        <v xml:space="preserve"> </v>
      </c>
      <c r="O43" s="44" t="str">
        <f>IF(K43=0,"",(M43-K43)/ABS(K43)+1)</f>
        <v/>
      </c>
      <c r="P43" s="68">
        <f>P41-P42</f>
        <v>0</v>
      </c>
      <c r="Q43" s="44" t="e">
        <f>+P43/$P$20</f>
        <v>#DIV/0!</v>
      </c>
      <c r="R43" s="44" t="str">
        <f t="shared" si="9"/>
        <v/>
      </c>
    </row>
    <row r="44" spans="1:20" ht="14.25" customHeight="1" x14ac:dyDescent="0.2">
      <c r="G44" s="33" t="str">
        <f t="shared" si="5"/>
        <v/>
      </c>
      <c r="I44" s="33" t="str">
        <f t="shared" si="6"/>
        <v/>
      </c>
      <c r="R44" s="33" t="str">
        <f t="shared" si="9"/>
        <v/>
      </c>
    </row>
    <row r="45" spans="1:20" ht="14.25" customHeight="1" x14ac:dyDescent="0.2">
      <c r="B45" s="3" t="s">
        <v>60</v>
      </c>
      <c r="C45" s="31">
        <f>+C36</f>
        <v>0</v>
      </c>
      <c r="D45" s="33" t="str">
        <f>IF($C$20&lt;=0," ",C45/$C$20)</f>
        <v xml:space="preserve"> </v>
      </c>
      <c r="E45" s="31">
        <f>+E36</f>
        <v>0</v>
      </c>
      <c r="F45" s="33" t="str">
        <f>IF($E$20&lt;=0," ",E45/$E$20)</f>
        <v xml:space="preserve"> </v>
      </c>
      <c r="G45" s="33" t="str">
        <f t="shared" si="5"/>
        <v/>
      </c>
      <c r="H45" s="31">
        <f>+H36</f>
        <v>0</v>
      </c>
      <c r="I45" s="33" t="str">
        <f t="shared" si="6"/>
        <v/>
      </c>
      <c r="J45" s="33" t="str">
        <f>IF(H45=0,"",(E45-H45)/ABS(H45))</f>
        <v/>
      </c>
      <c r="K45" s="31">
        <f>+K41</f>
        <v>0</v>
      </c>
      <c r="L45" s="33" t="str">
        <f>IF($K$20&lt;=0," ",K45/$K$20)</f>
        <v xml:space="preserve"> </v>
      </c>
      <c r="M45" s="31">
        <f>+M36</f>
        <v>0</v>
      </c>
      <c r="N45" s="33" t="str">
        <f>IF($M$20&lt;=0," ",M45/$M$20)</f>
        <v xml:space="preserve"> </v>
      </c>
      <c r="O45" s="33" t="str">
        <f>IF(K45=0,"",(M45-K45)/ABS(K45)+1)</f>
        <v/>
      </c>
      <c r="P45" s="31">
        <f>+P36</f>
        <v>0</v>
      </c>
      <c r="Q45" s="33" t="e">
        <f>+P45/$P$20</f>
        <v>#DIV/0!</v>
      </c>
      <c r="R45" s="33" t="str">
        <f t="shared" si="9"/>
        <v/>
      </c>
    </row>
    <row r="46" spans="1:20" ht="14.25" customHeight="1" x14ac:dyDescent="0.2">
      <c r="B46" s="3" t="s">
        <v>35</v>
      </c>
      <c r="C46" s="31">
        <v>0</v>
      </c>
      <c r="D46" s="33" t="str">
        <f>IF($C$20&lt;=0," ",C46/$C$20)</f>
        <v xml:space="preserve"> </v>
      </c>
      <c r="E46" s="31">
        <v>0</v>
      </c>
      <c r="F46" s="33" t="str">
        <f>IF($E$20&lt;=0," ",E46/$E$20)</f>
        <v xml:space="preserve"> </v>
      </c>
      <c r="G46" s="33" t="str">
        <f t="shared" si="5"/>
        <v/>
      </c>
      <c r="H46" s="31">
        <v>0</v>
      </c>
      <c r="I46" s="33" t="str">
        <f t="shared" si="6"/>
        <v/>
      </c>
      <c r="J46" s="33" t="str">
        <f>IF(H46=0,"",(E46-H46)/ABS(H46))</f>
        <v/>
      </c>
      <c r="K46" s="31">
        <f>+K42</f>
        <v>0</v>
      </c>
      <c r="L46" s="33" t="str">
        <f>IF($K$20&lt;=0," ",K46/$K$20)</f>
        <v xml:space="preserve"> </v>
      </c>
      <c r="M46" s="31">
        <v>0</v>
      </c>
      <c r="N46" s="33" t="str">
        <f>IF($M$20&lt;=0," ",M46/$M$20)</f>
        <v xml:space="preserve"> </v>
      </c>
      <c r="O46" s="33" t="str">
        <f>IF(K46=0,"",(M46-K46)/ABS(K46)+1)</f>
        <v/>
      </c>
      <c r="P46" s="31">
        <v>0</v>
      </c>
      <c r="Q46" s="33" t="e">
        <f>+P46/$P$20</f>
        <v>#DIV/0!</v>
      </c>
      <c r="R46" s="33" t="str">
        <f t="shared" si="9"/>
        <v/>
      </c>
    </row>
    <row r="47" spans="1:20" ht="14.25" customHeight="1" x14ac:dyDescent="0.2">
      <c r="C47" s="66"/>
      <c r="D47" s="66"/>
      <c r="E47" s="66"/>
      <c r="F47" s="66"/>
      <c r="G47" s="66"/>
      <c r="H47" s="66"/>
      <c r="I47" s="66"/>
      <c r="J47" s="66"/>
      <c r="K47" s="66"/>
      <c r="L47" s="66"/>
      <c r="N47" s="66"/>
      <c r="O47" s="66"/>
    </row>
    <row r="48" spans="1:20" ht="14.25" customHeight="1" x14ac:dyDescent="0.2">
      <c r="M48" s="6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2024-02-20T15:15:35Z</dcterms:created>
  <dcterms:modified xsi:type="dcterms:W3CDTF">2024-02-20T15:32:36Z</dcterms:modified>
</cp:coreProperties>
</file>